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97CF06C-95C8-4621-9184-A680313B09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заказа'!$W$574:$W$574</definedName>
    <definedName name="GrossWeightTotalR">'Бланк заказа'!$X$574:$X$574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заказа'!$W$575:$W$575</definedName>
    <definedName name="PalletQtyTotalR">'Бланк заказа'!$X$575:$X$575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заказа'!$B$344:$B$344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заказа'!$B$351:$B$351</definedName>
    <definedName name="ProductId204">'Бланк заказа'!$B$352:$B$352</definedName>
    <definedName name="ProductId205">'Бланк заказа'!$B$353:$B$353</definedName>
    <definedName name="ProductId206">'Бланк заказа'!$B$357:$B$357</definedName>
    <definedName name="ProductId207">'Бланк заказа'!$B$358:$B$358</definedName>
    <definedName name="ProductId208">'Бланк заказа'!$B$363:$B$363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заказа'!$B$370:$B$370</definedName>
    <definedName name="ProductId213">'Бланк заказа'!$B$371:$B$371</definedName>
    <definedName name="ProductId214">'Бланк заказа'!$B$372:$B$372</definedName>
    <definedName name="ProductId215">'Бланк заказа'!$B$376:$B$376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заказа'!$B$384:$B$384</definedName>
    <definedName name="ProductId221">'Бланк заказа'!$B$385:$B$385</definedName>
    <definedName name="ProductId222">'Бланк заказа'!$B$391:$B$391</definedName>
    <definedName name="ProductId223">'Бланк заказа'!$B$392:$B$392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заказа'!$B$424:$B$424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заказа'!$B$430:$B$430</definedName>
    <definedName name="ProductId253">'Бланк заказа'!$B$434:$B$434</definedName>
    <definedName name="ProductId254">'Бланк заказа'!$B$435:$B$435</definedName>
    <definedName name="ProductId255">'Бланк заказа'!$B$436:$B$436</definedName>
    <definedName name="ProductId256">'Бланк заказа'!$B$441:$B$441</definedName>
    <definedName name="ProductId257">'Бланк заказа'!$B$442:$B$442</definedName>
    <definedName name="ProductId258">'Бланк заказа'!$B$446:$B$446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заказа'!$B$458:$B$458</definedName>
    <definedName name="ProductId268">'Бланк заказа'!$B$459:$B$459</definedName>
    <definedName name="ProductId269">'Бланк заказа'!$B$463:$B$463</definedName>
    <definedName name="ProductId27">'Бланк заказа'!$B$73:$B$73</definedName>
    <definedName name="ProductId270">'Бланк заказа'!$B$467:$B$467</definedName>
    <definedName name="ProductId271">'Бланк заказа'!$B$472:$B$472</definedName>
    <definedName name="ProductId272">'Бланк заказа'!$B$473:$B$473</definedName>
    <definedName name="ProductId273">'Бланк заказа'!$B$474:$B$474</definedName>
    <definedName name="ProductId274">'Бланк заказа'!$B$479:$B$479</definedName>
    <definedName name="ProductId275">'Бланк заказа'!$B$480:$B$480</definedName>
    <definedName name="ProductId276">'Бланк заказа'!$B$484:$B$484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заказа'!$B$505:$B$505</definedName>
    <definedName name="ProductId29">'Бланк заказа'!$B$75:$B$75</definedName>
    <definedName name="ProductId290">'Бланк заказа'!$B$506:$B$506</definedName>
    <definedName name="ProductId291">'Бланк заказа'!$B$510:$B$510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заказа'!$B$519:$B$519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заказа'!$B$525:$B$525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заказа'!$B$543:$B$543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заказа'!$B$551:$B$551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заказа'!$B$559:$B$559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заказа'!$B$567:$B$567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заказа'!$W$344:$W$344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заказа'!$W$351:$W$351</definedName>
    <definedName name="SalesQty204">'Бланк заказа'!$W$352:$W$352</definedName>
    <definedName name="SalesQty205">'Бланк заказа'!$W$353:$W$353</definedName>
    <definedName name="SalesQty206">'Бланк заказа'!$W$357:$W$357</definedName>
    <definedName name="SalesQty207">'Бланк заказа'!$W$358:$W$358</definedName>
    <definedName name="SalesQty208">'Бланк заказа'!$W$363:$W$363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заказа'!$W$370:$W$370</definedName>
    <definedName name="SalesQty213">'Бланк заказа'!$W$371:$W$371</definedName>
    <definedName name="SalesQty214">'Бланк заказа'!$W$372:$W$372</definedName>
    <definedName name="SalesQty215">'Бланк заказа'!$W$376:$W$376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заказа'!$W$384:$W$384</definedName>
    <definedName name="SalesQty221">'Бланк заказа'!$W$385:$W$385</definedName>
    <definedName name="SalesQty222">'Бланк заказа'!$W$391:$W$391</definedName>
    <definedName name="SalesQty223">'Бланк заказа'!$W$392:$W$392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заказа'!$W$424:$W$424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заказа'!$W$430:$W$430</definedName>
    <definedName name="SalesQty253">'Бланк заказа'!$W$434:$W$434</definedName>
    <definedName name="SalesQty254">'Бланк заказа'!$W$435:$W$435</definedName>
    <definedName name="SalesQty255">'Бланк заказа'!$W$436:$W$436</definedName>
    <definedName name="SalesQty256">'Бланк заказа'!$W$441:$W$441</definedName>
    <definedName name="SalesQty257">'Бланк заказа'!$W$442:$W$442</definedName>
    <definedName name="SalesQty258">'Бланк заказа'!$W$446:$W$446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заказа'!$W$458:$W$458</definedName>
    <definedName name="SalesQty268">'Бланк заказа'!$W$459:$W$459</definedName>
    <definedName name="SalesQty269">'Бланк заказа'!$W$463:$W$463</definedName>
    <definedName name="SalesQty27">'Бланк заказа'!$W$73:$W$73</definedName>
    <definedName name="SalesQty270">'Бланк заказа'!$W$467:$W$467</definedName>
    <definedName name="SalesQty271">'Бланк заказа'!$W$472:$W$472</definedName>
    <definedName name="SalesQty272">'Бланк заказа'!$W$473:$W$473</definedName>
    <definedName name="SalesQty273">'Бланк заказа'!$W$474:$W$474</definedName>
    <definedName name="SalesQty274">'Бланк заказа'!$W$479:$W$479</definedName>
    <definedName name="SalesQty275">'Бланк заказа'!$W$480:$W$480</definedName>
    <definedName name="SalesQty276">'Бланк заказа'!$W$484:$W$484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заказа'!$W$505:$W$505</definedName>
    <definedName name="SalesQty29">'Бланк заказа'!$W$75:$W$75</definedName>
    <definedName name="SalesQty290">'Бланк заказа'!$W$506:$W$506</definedName>
    <definedName name="SalesQty291">'Бланк заказа'!$W$510:$W$510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заказа'!$W$519:$W$519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заказа'!$W$525:$W$525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заказа'!$W$543:$W$543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заказа'!$W$551:$W$551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заказа'!$W$559:$W$559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заказа'!$W$567:$W$567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заказа'!$X$344:$X$344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заказа'!$X$351:$X$351</definedName>
    <definedName name="SalesRoundBox204">'Бланк заказа'!$X$352:$X$352</definedName>
    <definedName name="SalesRoundBox205">'Бланк заказа'!$X$353:$X$353</definedName>
    <definedName name="SalesRoundBox206">'Бланк заказа'!$X$357:$X$357</definedName>
    <definedName name="SalesRoundBox207">'Бланк заказа'!$X$358:$X$358</definedName>
    <definedName name="SalesRoundBox208">'Бланк заказа'!$X$363:$X$363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заказа'!$X$370:$X$370</definedName>
    <definedName name="SalesRoundBox213">'Бланк заказа'!$X$371:$X$371</definedName>
    <definedName name="SalesRoundBox214">'Бланк заказа'!$X$372:$X$372</definedName>
    <definedName name="SalesRoundBox215">'Бланк заказа'!$X$376:$X$376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заказа'!$X$384:$X$384</definedName>
    <definedName name="SalesRoundBox221">'Бланк заказа'!$X$385:$X$385</definedName>
    <definedName name="SalesRoundBox222">'Бланк заказа'!$X$391:$X$391</definedName>
    <definedName name="SalesRoundBox223">'Бланк заказа'!$X$392:$X$392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заказа'!$X$424:$X$424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заказа'!$X$430:$X$430</definedName>
    <definedName name="SalesRoundBox253">'Бланк заказа'!$X$434:$X$434</definedName>
    <definedName name="SalesRoundBox254">'Бланк заказа'!$X$435:$X$435</definedName>
    <definedName name="SalesRoundBox255">'Бланк заказа'!$X$436:$X$436</definedName>
    <definedName name="SalesRoundBox256">'Бланк заказа'!$X$441:$X$441</definedName>
    <definedName name="SalesRoundBox257">'Бланк заказа'!$X$442:$X$442</definedName>
    <definedName name="SalesRoundBox258">'Бланк заказа'!$X$446:$X$446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заказа'!$X$458:$X$458</definedName>
    <definedName name="SalesRoundBox268">'Бланк заказа'!$X$459:$X$459</definedName>
    <definedName name="SalesRoundBox269">'Бланк заказа'!$X$463:$X$463</definedName>
    <definedName name="SalesRoundBox27">'Бланк заказа'!$X$73:$X$73</definedName>
    <definedName name="SalesRoundBox270">'Бланк заказа'!$X$467:$X$467</definedName>
    <definedName name="SalesRoundBox271">'Бланк заказа'!$X$472:$X$472</definedName>
    <definedName name="SalesRoundBox272">'Бланк заказа'!$X$473:$X$473</definedName>
    <definedName name="SalesRoundBox273">'Бланк заказа'!$X$474:$X$474</definedName>
    <definedName name="SalesRoundBox274">'Бланк заказа'!$X$479:$X$479</definedName>
    <definedName name="SalesRoundBox275">'Бланк заказа'!$X$480:$X$480</definedName>
    <definedName name="SalesRoundBox276">'Бланк заказа'!$X$484:$X$484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заказа'!$X$505:$X$505</definedName>
    <definedName name="SalesRoundBox29">'Бланк заказа'!$X$75:$X$75</definedName>
    <definedName name="SalesRoundBox290">'Бланк заказа'!$X$506:$X$506</definedName>
    <definedName name="SalesRoundBox291">'Бланк заказа'!$X$510:$X$510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заказа'!$X$519:$X$519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заказа'!$X$525:$X$525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заказа'!$X$543:$X$543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заказа'!$X$551:$X$551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заказа'!$X$559:$X$559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заказа'!$X$567:$X$567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заказа'!$V$344:$V$344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заказа'!$V$351:$V$351</definedName>
    <definedName name="UnitOfMeasure204">'Бланк заказа'!$V$352:$V$352</definedName>
    <definedName name="UnitOfMeasure205">'Бланк заказа'!$V$353:$V$353</definedName>
    <definedName name="UnitOfMeasure206">'Бланк заказа'!$V$357:$V$357</definedName>
    <definedName name="UnitOfMeasure207">'Бланк заказа'!$V$358:$V$358</definedName>
    <definedName name="UnitOfMeasure208">'Бланк заказа'!$V$363:$V$363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заказа'!$V$370:$V$370</definedName>
    <definedName name="UnitOfMeasure213">'Бланк заказа'!$V$371:$V$371</definedName>
    <definedName name="UnitOfMeasure214">'Бланк заказа'!$V$372:$V$372</definedName>
    <definedName name="UnitOfMeasure215">'Бланк заказа'!$V$376:$V$376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заказа'!$V$384:$V$384</definedName>
    <definedName name="UnitOfMeasure221">'Бланк заказа'!$V$385:$V$385</definedName>
    <definedName name="UnitOfMeasure222">'Бланк заказа'!$V$391:$V$391</definedName>
    <definedName name="UnitOfMeasure223">'Бланк заказа'!$V$392:$V$392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заказа'!$V$424:$V$424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заказа'!$V$430:$V$430</definedName>
    <definedName name="UnitOfMeasure253">'Бланк заказа'!$V$434:$V$434</definedName>
    <definedName name="UnitOfMeasure254">'Бланк заказа'!$V$435:$V$435</definedName>
    <definedName name="UnitOfMeasure255">'Бланк заказа'!$V$436:$V$436</definedName>
    <definedName name="UnitOfMeasure256">'Бланк заказа'!$V$441:$V$441</definedName>
    <definedName name="UnitOfMeasure257">'Бланк заказа'!$V$442:$V$442</definedName>
    <definedName name="UnitOfMeasure258">'Бланк заказа'!$V$446:$V$446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заказа'!$V$458:$V$458</definedName>
    <definedName name="UnitOfMeasure268">'Бланк заказа'!$V$459:$V$459</definedName>
    <definedName name="UnitOfMeasure269">'Бланк заказа'!$V$463:$V$463</definedName>
    <definedName name="UnitOfMeasure27">'Бланк заказа'!$V$73:$V$73</definedName>
    <definedName name="UnitOfMeasure270">'Бланк заказа'!$V$467:$V$467</definedName>
    <definedName name="UnitOfMeasure271">'Бланк заказа'!$V$472:$V$472</definedName>
    <definedName name="UnitOfMeasure272">'Бланк заказа'!$V$473:$V$473</definedName>
    <definedName name="UnitOfMeasure273">'Бланк заказа'!$V$474:$V$474</definedName>
    <definedName name="UnitOfMeasure274">'Бланк заказа'!$V$479:$V$479</definedName>
    <definedName name="UnitOfMeasure275">'Бланк заказа'!$V$480:$V$480</definedName>
    <definedName name="UnitOfMeasure276">'Бланк заказа'!$V$484:$V$484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заказа'!$V$505:$V$505</definedName>
    <definedName name="UnitOfMeasure29">'Бланк заказа'!$V$75:$V$75</definedName>
    <definedName name="UnitOfMeasure290">'Бланк заказа'!$V$506:$V$506</definedName>
    <definedName name="UnitOfMeasure291">'Бланк заказа'!$V$510:$V$510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заказа'!$V$519:$V$519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заказа'!$V$525:$V$525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заказа'!$V$543:$V$543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заказа'!$V$551:$V$551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заказа'!$V$559:$V$559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заказа'!$V$567:$V$567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2" i="1" l="1"/>
  <c r="X571" i="1"/>
  <c r="W571" i="1"/>
  <c r="BO570" i="1"/>
  <c r="BN570" i="1"/>
  <c r="BM570" i="1"/>
  <c r="BL570" i="1"/>
  <c r="Y570" i="1"/>
  <c r="X570" i="1"/>
  <c r="BO569" i="1"/>
  <c r="BN569" i="1"/>
  <c r="BM569" i="1"/>
  <c r="BL569" i="1"/>
  <c r="Y569" i="1"/>
  <c r="X569" i="1"/>
  <c r="BO568" i="1"/>
  <c r="BN568" i="1"/>
  <c r="BM568" i="1"/>
  <c r="BL568" i="1"/>
  <c r="Y568" i="1"/>
  <c r="X568" i="1"/>
  <c r="BO567" i="1"/>
  <c r="BN567" i="1"/>
  <c r="BM567" i="1"/>
  <c r="BL567" i="1"/>
  <c r="Y567" i="1"/>
  <c r="Y571" i="1" s="1"/>
  <c r="X567" i="1"/>
  <c r="X572" i="1" s="1"/>
  <c r="W565" i="1"/>
  <c r="W564" i="1"/>
  <c r="BN563" i="1"/>
  <c r="BL563" i="1"/>
  <c r="X563" i="1"/>
  <c r="BN562" i="1"/>
  <c r="BL562" i="1"/>
  <c r="X562" i="1"/>
  <c r="BN561" i="1"/>
  <c r="BL561" i="1"/>
  <c r="X561" i="1"/>
  <c r="BN560" i="1"/>
  <c r="BL560" i="1"/>
  <c r="X560" i="1"/>
  <c r="BN559" i="1"/>
  <c r="BL559" i="1"/>
  <c r="X559" i="1"/>
  <c r="W557" i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Y556" i="1" s="1"/>
  <c r="X551" i="1"/>
  <c r="X557" i="1" s="1"/>
  <c r="W549" i="1"/>
  <c r="W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40" i="1" s="1"/>
  <c r="X531" i="1"/>
  <c r="W583" i="1" s="1"/>
  <c r="W527" i="1"/>
  <c r="W526" i="1"/>
  <c r="BN525" i="1"/>
  <c r="BL525" i="1"/>
  <c r="X525" i="1"/>
  <c r="O525" i="1"/>
  <c r="W523" i="1"/>
  <c r="W522" i="1"/>
  <c r="BN521" i="1"/>
  <c r="BL521" i="1"/>
  <c r="X521" i="1"/>
  <c r="O521" i="1"/>
  <c r="BO520" i="1"/>
  <c r="BN520" i="1"/>
  <c r="BM520" i="1"/>
  <c r="BL520" i="1"/>
  <c r="Y520" i="1"/>
  <c r="X520" i="1"/>
  <c r="O520" i="1"/>
  <c r="BN519" i="1"/>
  <c r="BL519" i="1"/>
  <c r="X519" i="1"/>
  <c r="O519" i="1"/>
  <c r="W517" i="1"/>
  <c r="W516" i="1"/>
  <c r="BN515" i="1"/>
  <c r="BL515" i="1"/>
  <c r="X515" i="1"/>
  <c r="O515" i="1"/>
  <c r="BO514" i="1"/>
  <c r="BN514" i="1"/>
  <c r="BM514" i="1"/>
  <c r="BL514" i="1"/>
  <c r="Y514" i="1"/>
  <c r="X514" i="1"/>
  <c r="O514" i="1"/>
  <c r="BN513" i="1"/>
  <c r="BL513" i="1"/>
  <c r="X513" i="1"/>
  <c r="O513" i="1"/>
  <c r="BO512" i="1"/>
  <c r="BN512" i="1"/>
  <c r="BM512" i="1"/>
  <c r="BL512" i="1"/>
  <c r="Y512" i="1"/>
  <c r="X512" i="1"/>
  <c r="O512" i="1"/>
  <c r="BN511" i="1"/>
  <c r="BL511" i="1"/>
  <c r="X511" i="1"/>
  <c r="O511" i="1"/>
  <c r="BO510" i="1"/>
  <c r="BN510" i="1"/>
  <c r="BM510" i="1"/>
  <c r="BL510" i="1"/>
  <c r="Y510" i="1"/>
  <c r="X510" i="1"/>
  <c r="O510" i="1"/>
  <c r="W508" i="1"/>
  <c r="X507" i="1"/>
  <c r="W507" i="1"/>
  <c r="BO506" i="1"/>
  <c r="BN506" i="1"/>
  <c r="BM506" i="1"/>
  <c r="BL506" i="1"/>
  <c r="Y506" i="1"/>
  <c r="X506" i="1"/>
  <c r="O506" i="1"/>
  <c r="BN505" i="1"/>
  <c r="BL505" i="1"/>
  <c r="X505" i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W486" i="1"/>
  <c r="X485" i="1"/>
  <c r="W485" i="1"/>
  <c r="BO484" i="1"/>
  <c r="BN484" i="1"/>
  <c r="BM484" i="1"/>
  <c r="BL484" i="1"/>
  <c r="Y484" i="1"/>
  <c r="Y485" i="1" s="1"/>
  <c r="X484" i="1"/>
  <c r="X486" i="1" s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W476" i="1"/>
  <c r="W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W469" i="1"/>
  <c r="W468" i="1"/>
  <c r="BN467" i="1"/>
  <c r="BL467" i="1"/>
  <c r="X467" i="1"/>
  <c r="O467" i="1"/>
  <c r="W465" i="1"/>
  <c r="W464" i="1"/>
  <c r="BN463" i="1"/>
  <c r="BL463" i="1"/>
  <c r="X463" i="1"/>
  <c r="O463" i="1"/>
  <c r="W461" i="1"/>
  <c r="W460" i="1"/>
  <c r="BN459" i="1"/>
  <c r="BL459" i="1"/>
  <c r="X459" i="1"/>
  <c r="O459" i="1"/>
  <c r="BO458" i="1"/>
  <c r="BN458" i="1"/>
  <c r="BM458" i="1"/>
  <c r="BL458" i="1"/>
  <c r="Y458" i="1"/>
  <c r="X458" i="1"/>
  <c r="O458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BN452" i="1"/>
  <c r="BL452" i="1"/>
  <c r="X452" i="1"/>
  <c r="O452" i="1"/>
  <c r="BO451" i="1"/>
  <c r="BN451" i="1"/>
  <c r="BM451" i="1"/>
  <c r="BL451" i="1"/>
  <c r="Y451" i="1"/>
  <c r="X451" i="1"/>
  <c r="BO450" i="1"/>
  <c r="BN450" i="1"/>
  <c r="BM450" i="1"/>
  <c r="BL450" i="1"/>
  <c r="Y450" i="1"/>
  <c r="X450" i="1"/>
  <c r="O450" i="1"/>
  <c r="BN449" i="1"/>
  <c r="BL449" i="1"/>
  <c r="X449" i="1"/>
  <c r="O449" i="1"/>
  <c r="BO448" i="1"/>
  <c r="BN448" i="1"/>
  <c r="BM448" i="1"/>
  <c r="BL448" i="1"/>
  <c r="Y448" i="1"/>
  <c r="X448" i="1"/>
  <c r="O448" i="1"/>
  <c r="BN447" i="1"/>
  <c r="BL447" i="1"/>
  <c r="X447" i="1"/>
  <c r="BN446" i="1"/>
  <c r="BL446" i="1"/>
  <c r="X446" i="1"/>
  <c r="O446" i="1"/>
  <c r="W444" i="1"/>
  <c r="W443" i="1"/>
  <c r="BN442" i="1"/>
  <c r="BL442" i="1"/>
  <c r="X442" i="1"/>
  <c r="O442" i="1"/>
  <c r="BN441" i="1"/>
  <c r="BL441" i="1"/>
  <c r="X441" i="1"/>
  <c r="O441" i="1"/>
  <c r="W438" i="1"/>
  <c r="W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W428" i="1"/>
  <c r="W427" i="1"/>
  <c r="BN426" i="1"/>
  <c r="BL426" i="1"/>
  <c r="X426" i="1"/>
  <c r="O426" i="1"/>
  <c r="BO425" i="1"/>
  <c r="BN425" i="1"/>
  <c r="BM425" i="1"/>
  <c r="BL425" i="1"/>
  <c r="Y425" i="1"/>
  <c r="X425" i="1"/>
  <c r="O425" i="1"/>
  <c r="BN424" i="1"/>
  <c r="BL424" i="1"/>
  <c r="X424" i="1"/>
  <c r="O424" i="1"/>
  <c r="W422" i="1"/>
  <c r="W421" i="1"/>
  <c r="BN420" i="1"/>
  <c r="BL420" i="1"/>
  <c r="X420" i="1"/>
  <c r="BN419" i="1"/>
  <c r="BL419" i="1"/>
  <c r="X419" i="1"/>
  <c r="O419" i="1"/>
  <c r="BO418" i="1"/>
  <c r="BN418" i="1"/>
  <c r="BM418" i="1"/>
  <c r="BL418" i="1"/>
  <c r="Y418" i="1"/>
  <c r="X418" i="1"/>
  <c r="BO417" i="1"/>
  <c r="BN417" i="1"/>
  <c r="BM417" i="1"/>
  <c r="BL417" i="1"/>
  <c r="Y417" i="1"/>
  <c r="X417" i="1"/>
  <c r="O417" i="1"/>
  <c r="BN416" i="1"/>
  <c r="BL416" i="1"/>
  <c r="X416" i="1"/>
  <c r="BN415" i="1"/>
  <c r="BL415" i="1"/>
  <c r="X415" i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O413" i="1"/>
  <c r="BN412" i="1"/>
  <c r="BL412" i="1"/>
  <c r="X412" i="1"/>
  <c r="BN411" i="1"/>
  <c r="BL411" i="1"/>
  <c r="X411" i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O409" i="1"/>
  <c r="BN408" i="1"/>
  <c r="BL408" i="1"/>
  <c r="X408" i="1"/>
  <c r="BN407" i="1"/>
  <c r="BL407" i="1"/>
  <c r="X407" i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O405" i="1"/>
  <c r="BN404" i="1"/>
  <c r="BL404" i="1"/>
  <c r="X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BO398" i="1"/>
  <c r="BN398" i="1"/>
  <c r="BM398" i="1"/>
  <c r="BL398" i="1"/>
  <c r="Y398" i="1"/>
  <c r="X398" i="1"/>
  <c r="O398" i="1"/>
  <c r="BN397" i="1"/>
  <c r="BL397" i="1"/>
  <c r="X397" i="1"/>
  <c r="BN396" i="1"/>
  <c r="BL396" i="1"/>
  <c r="X396" i="1"/>
  <c r="O396" i="1"/>
  <c r="W394" i="1"/>
  <c r="W393" i="1"/>
  <c r="BN392" i="1"/>
  <c r="BL392" i="1"/>
  <c r="X392" i="1"/>
  <c r="O392" i="1"/>
  <c r="BO391" i="1"/>
  <c r="BN391" i="1"/>
  <c r="BM391" i="1"/>
  <c r="BL391" i="1"/>
  <c r="Y391" i="1"/>
  <c r="X391" i="1"/>
  <c r="X393" i="1" s="1"/>
  <c r="O391" i="1"/>
  <c r="W387" i="1"/>
  <c r="W386" i="1"/>
  <c r="BO385" i="1"/>
  <c r="BN385" i="1"/>
  <c r="BM385" i="1"/>
  <c r="BL385" i="1"/>
  <c r="Y385" i="1"/>
  <c r="X385" i="1"/>
  <c r="O385" i="1"/>
  <c r="BN384" i="1"/>
  <c r="BL384" i="1"/>
  <c r="X384" i="1"/>
  <c r="W382" i="1"/>
  <c r="W381" i="1"/>
  <c r="BO380" i="1"/>
  <c r="BN380" i="1"/>
  <c r="BM380" i="1"/>
  <c r="BL380" i="1"/>
  <c r="Y380" i="1"/>
  <c r="X380" i="1"/>
  <c r="O380" i="1"/>
  <c r="BN379" i="1"/>
  <c r="BL379" i="1"/>
  <c r="X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W374" i="1"/>
  <c r="X373" i="1"/>
  <c r="W373" i="1"/>
  <c r="BO372" i="1"/>
  <c r="BN372" i="1"/>
  <c r="BM372" i="1"/>
  <c r="BL372" i="1"/>
  <c r="Y372" i="1"/>
  <c r="X372" i="1"/>
  <c r="BO371" i="1"/>
  <c r="BN371" i="1"/>
  <c r="BM371" i="1"/>
  <c r="BL371" i="1"/>
  <c r="Y371" i="1"/>
  <c r="X371" i="1"/>
  <c r="BO370" i="1"/>
  <c r="BN370" i="1"/>
  <c r="BM370" i="1"/>
  <c r="BL370" i="1"/>
  <c r="Y370" i="1"/>
  <c r="Y373" i="1" s="1"/>
  <c r="X370" i="1"/>
  <c r="X374" i="1" s="1"/>
  <c r="O370" i="1"/>
  <c r="W368" i="1"/>
  <c r="W367" i="1"/>
  <c r="BO366" i="1"/>
  <c r="BN366" i="1"/>
  <c r="BM366" i="1"/>
  <c r="BL366" i="1"/>
  <c r="Y366" i="1"/>
  <c r="X366" i="1"/>
  <c r="O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W360" i="1"/>
  <c r="W359" i="1"/>
  <c r="BN358" i="1"/>
  <c r="BL358" i="1"/>
  <c r="X358" i="1"/>
  <c r="BN357" i="1"/>
  <c r="BL357" i="1"/>
  <c r="X357" i="1"/>
  <c r="O357" i="1"/>
  <c r="W355" i="1"/>
  <c r="W354" i="1"/>
  <c r="BN353" i="1"/>
  <c r="BL353" i="1"/>
  <c r="X353" i="1"/>
  <c r="BN352" i="1"/>
  <c r="BL352" i="1"/>
  <c r="X352" i="1"/>
  <c r="O352" i="1"/>
  <c r="BO351" i="1"/>
  <c r="BN351" i="1"/>
  <c r="BM351" i="1"/>
  <c r="BL351" i="1"/>
  <c r="Y351" i="1"/>
  <c r="X351" i="1"/>
  <c r="X354" i="1" s="1"/>
  <c r="W349" i="1"/>
  <c r="W348" i="1"/>
  <c r="BN347" i="1"/>
  <c r="BL347" i="1"/>
  <c r="X347" i="1"/>
  <c r="O347" i="1"/>
  <c r="BO346" i="1"/>
  <c r="BN346" i="1"/>
  <c r="BM346" i="1"/>
  <c r="BL346" i="1"/>
  <c r="Y346" i="1"/>
  <c r="X346" i="1"/>
  <c r="O346" i="1"/>
  <c r="BN345" i="1"/>
  <c r="BL345" i="1"/>
  <c r="X345" i="1"/>
  <c r="O345" i="1"/>
  <c r="BO344" i="1"/>
  <c r="BN344" i="1"/>
  <c r="BM344" i="1"/>
  <c r="BL344" i="1"/>
  <c r="Y344" i="1"/>
  <c r="X344" i="1"/>
  <c r="O344" i="1"/>
  <c r="W342" i="1"/>
  <c r="W341" i="1"/>
  <c r="BO340" i="1"/>
  <c r="BN340" i="1"/>
  <c r="BM340" i="1"/>
  <c r="BL340" i="1"/>
  <c r="Y340" i="1"/>
  <c r="X340" i="1"/>
  <c r="O340" i="1"/>
  <c r="BN339" i="1"/>
  <c r="BL339" i="1"/>
  <c r="X339" i="1"/>
  <c r="BN338" i="1"/>
  <c r="BL338" i="1"/>
  <c r="X338" i="1"/>
  <c r="BN337" i="1"/>
  <c r="BL337" i="1"/>
  <c r="X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M304" i="1"/>
  <c r="BL304" i="1"/>
  <c r="Y304" i="1"/>
  <c r="X304" i="1"/>
  <c r="BO304" i="1" s="1"/>
  <c r="O304" i="1"/>
  <c r="BN303" i="1"/>
  <c r="BL303" i="1"/>
  <c r="X303" i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X283" i="1" s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X271" i="1" s="1"/>
  <c r="O261" i="1"/>
  <c r="W259" i="1"/>
  <c r="W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BO254" i="1"/>
  <c r="BN254" i="1"/>
  <c r="BM254" i="1"/>
  <c r="BL254" i="1"/>
  <c r="Y254" i="1"/>
  <c r="X254" i="1"/>
  <c r="O254" i="1"/>
  <c r="W252" i="1"/>
  <c r="W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BN242" i="1"/>
  <c r="BL242" i="1"/>
  <c r="X242" i="1"/>
  <c r="BN241" i="1"/>
  <c r="BL241" i="1"/>
  <c r="X241" i="1"/>
  <c r="W238" i="1"/>
  <c r="W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X237" i="1" s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BN224" i="1"/>
  <c r="BL224" i="1"/>
  <c r="X224" i="1"/>
  <c r="W222" i="1"/>
  <c r="W221" i="1"/>
  <c r="BO220" i="1"/>
  <c r="BN220" i="1"/>
  <c r="BM220" i="1"/>
  <c r="BL220" i="1"/>
  <c r="Y220" i="1"/>
  <c r="X220" i="1"/>
  <c r="O220" i="1"/>
  <c r="BN219" i="1"/>
  <c r="BL219" i="1"/>
  <c r="X219" i="1"/>
  <c r="O219" i="1"/>
  <c r="BO218" i="1"/>
  <c r="BN218" i="1"/>
  <c r="BM218" i="1"/>
  <c r="BL218" i="1"/>
  <c r="Y218" i="1"/>
  <c r="X218" i="1"/>
  <c r="O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X221" i="1" s="1"/>
  <c r="O215" i="1"/>
  <c r="BO214" i="1"/>
  <c r="BN214" i="1"/>
  <c r="BM214" i="1"/>
  <c r="BL214" i="1"/>
  <c r="Y214" i="1"/>
  <c r="X214" i="1"/>
  <c r="O214" i="1"/>
  <c r="W211" i="1"/>
  <c r="W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O207" i="1"/>
  <c r="BN206" i="1"/>
  <c r="BL206" i="1"/>
  <c r="X206" i="1"/>
  <c r="O206" i="1"/>
  <c r="W204" i="1"/>
  <c r="W203" i="1"/>
  <c r="BN202" i="1"/>
  <c r="BL202" i="1"/>
  <c r="X202" i="1"/>
  <c r="O202" i="1"/>
  <c r="BO201" i="1"/>
  <c r="BN201" i="1"/>
  <c r="BM201" i="1"/>
  <c r="BL201" i="1"/>
  <c r="Y201" i="1"/>
  <c r="X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O198" i="1"/>
  <c r="BN197" i="1"/>
  <c r="BL197" i="1"/>
  <c r="X197" i="1"/>
  <c r="O197" i="1"/>
  <c r="BO196" i="1"/>
  <c r="BN196" i="1"/>
  <c r="BM196" i="1"/>
  <c r="BL196" i="1"/>
  <c r="Y196" i="1"/>
  <c r="X196" i="1"/>
  <c r="O196" i="1"/>
  <c r="BN195" i="1"/>
  <c r="BL195" i="1"/>
  <c r="X195" i="1"/>
  <c r="O195" i="1"/>
  <c r="BO194" i="1"/>
  <c r="BN194" i="1"/>
  <c r="BM194" i="1"/>
  <c r="BL194" i="1"/>
  <c r="Y194" i="1"/>
  <c r="X194" i="1"/>
  <c r="O194" i="1"/>
  <c r="BN193" i="1"/>
  <c r="BL193" i="1"/>
  <c r="X193" i="1"/>
  <c r="BN192" i="1"/>
  <c r="BL192" i="1"/>
  <c r="X192" i="1"/>
  <c r="O192" i="1"/>
  <c r="BO191" i="1"/>
  <c r="BN191" i="1"/>
  <c r="BM191" i="1"/>
  <c r="BL191" i="1"/>
  <c r="Y191" i="1"/>
  <c r="X191" i="1"/>
  <c r="BO190" i="1"/>
  <c r="BN190" i="1"/>
  <c r="BM190" i="1"/>
  <c r="BL190" i="1"/>
  <c r="Y190" i="1"/>
  <c r="X190" i="1"/>
  <c r="O190" i="1"/>
  <c r="BN189" i="1"/>
  <c r="BL189" i="1"/>
  <c r="X189" i="1"/>
  <c r="X204" i="1" s="1"/>
  <c r="O189" i="1"/>
  <c r="BO188" i="1"/>
  <c r="BN188" i="1"/>
  <c r="BM188" i="1"/>
  <c r="BL188" i="1"/>
  <c r="Y188" i="1"/>
  <c r="X188" i="1"/>
  <c r="X203" i="1" s="1"/>
  <c r="O188" i="1"/>
  <c r="W186" i="1"/>
  <c r="W185" i="1"/>
  <c r="BO184" i="1"/>
  <c r="BN184" i="1"/>
  <c r="BM184" i="1"/>
  <c r="BL184" i="1"/>
  <c r="Y184" i="1"/>
  <c r="X184" i="1"/>
  <c r="BO183" i="1"/>
  <c r="BN183" i="1"/>
  <c r="BM183" i="1"/>
  <c r="BL183" i="1"/>
  <c r="Y183" i="1"/>
  <c r="X183" i="1"/>
  <c r="O183" i="1"/>
  <c r="BN182" i="1"/>
  <c r="BL182" i="1"/>
  <c r="X182" i="1"/>
  <c r="BO182" i="1" s="1"/>
  <c r="BN181" i="1"/>
  <c r="BL181" i="1"/>
  <c r="X181" i="1"/>
  <c r="BO181" i="1" s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BO178" i="1" s="1"/>
  <c r="O178" i="1"/>
  <c r="BO177" i="1"/>
  <c r="BN177" i="1"/>
  <c r="BM177" i="1"/>
  <c r="BL177" i="1"/>
  <c r="Y177" i="1"/>
  <c r="X177" i="1"/>
  <c r="O177" i="1"/>
  <c r="W175" i="1"/>
  <c r="W174" i="1"/>
  <c r="BO173" i="1"/>
  <c r="BN173" i="1"/>
  <c r="BM173" i="1"/>
  <c r="BL173" i="1"/>
  <c r="Y173" i="1"/>
  <c r="X173" i="1"/>
  <c r="O173" i="1"/>
  <c r="BN172" i="1"/>
  <c r="BL172" i="1"/>
  <c r="X172" i="1"/>
  <c r="X175" i="1" s="1"/>
  <c r="O172" i="1"/>
  <c r="W170" i="1"/>
  <c r="W169" i="1"/>
  <c r="BN168" i="1"/>
  <c r="BL168" i="1"/>
  <c r="X168" i="1"/>
  <c r="BO168" i="1" s="1"/>
  <c r="O168" i="1"/>
  <c r="BO167" i="1"/>
  <c r="BN167" i="1"/>
  <c r="BM167" i="1"/>
  <c r="BL167" i="1"/>
  <c r="Y167" i="1"/>
  <c r="X167" i="1"/>
  <c r="X170" i="1" s="1"/>
  <c r="O167" i="1"/>
  <c r="W164" i="1"/>
  <c r="W163" i="1"/>
  <c r="BN162" i="1"/>
  <c r="BL162" i="1"/>
  <c r="Y162" i="1"/>
  <c r="X162" i="1"/>
  <c r="BO162" i="1" s="1"/>
  <c r="O162" i="1"/>
  <c r="BN161" i="1"/>
  <c r="BL161" i="1"/>
  <c r="X161" i="1"/>
  <c r="BO161" i="1" s="1"/>
  <c r="O161" i="1"/>
  <c r="BN160" i="1"/>
  <c r="BL160" i="1"/>
  <c r="Y160" i="1"/>
  <c r="X160" i="1"/>
  <c r="BO160" i="1" s="1"/>
  <c r="O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X163" i="1" s="1"/>
  <c r="O154" i="1"/>
  <c r="W151" i="1"/>
  <c r="W150" i="1"/>
  <c r="BO149" i="1"/>
  <c r="BN149" i="1"/>
  <c r="BM149" i="1"/>
  <c r="BL149" i="1"/>
  <c r="Y149" i="1"/>
  <c r="X149" i="1"/>
  <c r="BO148" i="1"/>
  <c r="BN148" i="1"/>
  <c r="BM148" i="1"/>
  <c r="BL148" i="1"/>
  <c r="Y148" i="1"/>
  <c r="X148" i="1"/>
  <c r="O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G583" i="1" s="1"/>
  <c r="O145" i="1"/>
  <c r="W141" i="1"/>
  <c r="W140" i="1"/>
  <c r="BN139" i="1"/>
  <c r="BL139" i="1"/>
  <c r="X139" i="1"/>
  <c r="BO139" i="1" s="1"/>
  <c r="O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F583" i="1" s="1"/>
  <c r="O135" i="1"/>
  <c r="W132" i="1"/>
  <c r="W131" i="1"/>
  <c r="BN130" i="1"/>
  <c r="BL130" i="1"/>
  <c r="X130" i="1"/>
  <c r="BO130" i="1" s="1"/>
  <c r="O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X131" i="1" s="1"/>
  <c r="O125" i="1"/>
  <c r="W123" i="1"/>
  <c r="W122" i="1"/>
  <c r="BO121" i="1"/>
  <c r="BN121" i="1"/>
  <c r="BM121" i="1"/>
  <c r="BL121" i="1"/>
  <c r="Y121" i="1"/>
  <c r="X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X123" i="1" s="1"/>
  <c r="W105" i="1"/>
  <c r="W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X105" i="1" s="1"/>
  <c r="O97" i="1"/>
  <c r="W95" i="1"/>
  <c r="W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X95" i="1" s="1"/>
  <c r="O90" i="1"/>
  <c r="W88" i="1"/>
  <c r="W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X88" i="1" s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83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6" i="1" s="1"/>
  <c r="O27" i="1"/>
  <c r="W25" i="1"/>
  <c r="W573" i="1" s="1"/>
  <c r="W24" i="1"/>
  <c r="W577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7" i="1"/>
  <c r="X41" i="1"/>
  <c r="X45" i="1"/>
  <c r="X49" i="1"/>
  <c r="X55" i="1"/>
  <c r="X63" i="1"/>
  <c r="X94" i="1"/>
  <c r="X104" i="1"/>
  <c r="X122" i="1"/>
  <c r="X132" i="1"/>
  <c r="X141" i="1"/>
  <c r="X150" i="1"/>
  <c r="BM160" i="1"/>
  <c r="BM162" i="1"/>
  <c r="X174" i="1"/>
  <c r="BO192" i="1"/>
  <c r="BM192" i="1"/>
  <c r="Y192" i="1"/>
  <c r="BO195" i="1"/>
  <c r="BM195" i="1"/>
  <c r="Y195" i="1"/>
  <c r="BO202" i="1"/>
  <c r="BM202" i="1"/>
  <c r="Y202" i="1"/>
  <c r="X211" i="1"/>
  <c r="BO206" i="1"/>
  <c r="BM206" i="1"/>
  <c r="Y206" i="1"/>
  <c r="Y210" i="1" s="1"/>
  <c r="BO217" i="1"/>
  <c r="BM217" i="1"/>
  <c r="Y217" i="1"/>
  <c r="X227" i="1"/>
  <c r="BO224" i="1"/>
  <c r="BM224" i="1"/>
  <c r="Y224" i="1"/>
  <c r="BO233" i="1"/>
  <c r="BM233" i="1"/>
  <c r="Y233" i="1"/>
  <c r="L583" i="1"/>
  <c r="X252" i="1"/>
  <c r="BO241" i="1"/>
  <c r="BM241" i="1"/>
  <c r="Y241" i="1"/>
  <c r="BO243" i="1"/>
  <c r="BM243" i="1"/>
  <c r="Y243" i="1"/>
  <c r="BO247" i="1"/>
  <c r="BM247" i="1"/>
  <c r="Y247" i="1"/>
  <c r="X251" i="1"/>
  <c r="BO255" i="1"/>
  <c r="BM255" i="1"/>
  <c r="Y255" i="1"/>
  <c r="Y258" i="1" s="1"/>
  <c r="BO263" i="1"/>
  <c r="BM263" i="1"/>
  <c r="Y263" i="1"/>
  <c r="BO267" i="1"/>
  <c r="BM267" i="1"/>
  <c r="Y267" i="1"/>
  <c r="X277" i="1"/>
  <c r="BO274" i="1"/>
  <c r="BM274" i="1"/>
  <c r="Y274" i="1"/>
  <c r="BO288" i="1"/>
  <c r="BM288" i="1"/>
  <c r="Y288" i="1"/>
  <c r="X290" i="1"/>
  <c r="N583" i="1"/>
  <c r="X300" i="1"/>
  <c r="BO293" i="1"/>
  <c r="BM293" i="1"/>
  <c r="Y293" i="1"/>
  <c r="BO297" i="1"/>
  <c r="BM297" i="1"/>
  <c r="Y297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6" i="1"/>
  <c r="BM336" i="1"/>
  <c r="Y336" i="1"/>
  <c r="BO338" i="1"/>
  <c r="BM338" i="1"/>
  <c r="Y338" i="1"/>
  <c r="X341" i="1"/>
  <c r="BO345" i="1"/>
  <c r="BM345" i="1"/>
  <c r="Y345" i="1"/>
  <c r="Y348" i="1" s="1"/>
  <c r="X349" i="1"/>
  <c r="BO353" i="1"/>
  <c r="BM353" i="1"/>
  <c r="Y353" i="1"/>
  <c r="X355" i="1"/>
  <c r="X359" i="1"/>
  <c r="BO357" i="1"/>
  <c r="BM357" i="1"/>
  <c r="Y357" i="1"/>
  <c r="X360" i="1"/>
  <c r="BO365" i="1"/>
  <c r="BM365" i="1"/>
  <c r="Y365" i="1"/>
  <c r="BO397" i="1"/>
  <c r="BM397" i="1"/>
  <c r="Y397" i="1"/>
  <c r="R583" i="1"/>
  <c r="BO401" i="1"/>
  <c r="BM401" i="1"/>
  <c r="Y401" i="1"/>
  <c r="BO404" i="1"/>
  <c r="BM404" i="1"/>
  <c r="Y404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X422" i="1"/>
  <c r="X427" i="1"/>
  <c r="BO424" i="1"/>
  <c r="BM424" i="1"/>
  <c r="Y424" i="1"/>
  <c r="X428" i="1"/>
  <c r="BO436" i="1"/>
  <c r="BM436" i="1"/>
  <c r="Y436" i="1"/>
  <c r="X438" i="1"/>
  <c r="H9" i="1"/>
  <c r="B583" i="1"/>
  <c r="W574" i="1"/>
  <c r="W575" i="1"/>
  <c r="Y23" i="1"/>
  <c r="Y24" i="1" s="1"/>
  <c r="BM23" i="1"/>
  <c r="X574" i="1" s="1"/>
  <c r="X24" i="1"/>
  <c r="Y27" i="1"/>
  <c r="BM27" i="1"/>
  <c r="BO27" i="1"/>
  <c r="X575" i="1" s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83" i="1"/>
  <c r="Y60" i="1"/>
  <c r="Y63" i="1" s="1"/>
  <c r="BM60" i="1"/>
  <c r="X64" i="1"/>
  <c r="E583" i="1"/>
  <c r="Y68" i="1"/>
  <c r="Y87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Y94" i="1" s="1"/>
  <c r="BM90" i="1"/>
  <c r="BO90" i="1"/>
  <c r="Y92" i="1"/>
  <c r="BM92" i="1"/>
  <c r="Y98" i="1"/>
  <c r="Y104" i="1" s="1"/>
  <c r="BM98" i="1"/>
  <c r="Y100" i="1"/>
  <c r="BM100" i="1"/>
  <c r="Y102" i="1"/>
  <c r="BM102" i="1"/>
  <c r="Y107" i="1"/>
  <c r="BM107" i="1"/>
  <c r="BO107" i="1"/>
  <c r="Y109" i="1"/>
  <c r="BM109" i="1"/>
  <c r="Y111" i="1"/>
  <c r="BM111" i="1"/>
  <c r="Y113" i="1"/>
  <c r="BM113" i="1"/>
  <c r="Y115" i="1"/>
  <c r="BM115" i="1"/>
  <c r="Y118" i="1"/>
  <c r="BM118" i="1"/>
  <c r="Y126" i="1"/>
  <c r="Y131" i="1" s="1"/>
  <c r="BM126" i="1"/>
  <c r="Y128" i="1"/>
  <c r="BM128" i="1"/>
  <c r="Y130" i="1"/>
  <c r="BM130" i="1"/>
  <c r="Y135" i="1"/>
  <c r="Y140" i="1" s="1"/>
  <c r="BM135" i="1"/>
  <c r="BO135" i="1"/>
  <c r="Y137" i="1"/>
  <c r="BM137" i="1"/>
  <c r="Y139" i="1"/>
  <c r="BM139" i="1"/>
  <c r="X140" i="1"/>
  <c r="Y145" i="1"/>
  <c r="Y150" i="1" s="1"/>
  <c r="BM145" i="1"/>
  <c r="BO145" i="1"/>
  <c r="Y146" i="1"/>
  <c r="BM146" i="1"/>
  <c r="Y147" i="1"/>
  <c r="BM147" i="1"/>
  <c r="X151" i="1"/>
  <c r="H583" i="1"/>
  <c r="Y155" i="1"/>
  <c r="Y163" i="1" s="1"/>
  <c r="BM155" i="1"/>
  <c r="Y157" i="1"/>
  <c r="BM157" i="1"/>
  <c r="Y159" i="1"/>
  <c r="BM159" i="1"/>
  <c r="Y161" i="1"/>
  <c r="BM161" i="1"/>
  <c r="X164" i="1"/>
  <c r="I583" i="1"/>
  <c r="Y168" i="1"/>
  <c r="Y169" i="1" s="1"/>
  <c r="BM168" i="1"/>
  <c r="X169" i="1"/>
  <c r="Y172" i="1"/>
  <c r="Y174" i="1" s="1"/>
  <c r="BM172" i="1"/>
  <c r="BO172" i="1"/>
  <c r="X186" i="1"/>
  <c r="Y178" i="1"/>
  <c r="Y185" i="1" s="1"/>
  <c r="BM178" i="1"/>
  <c r="Y180" i="1"/>
  <c r="BM180" i="1"/>
  <c r="Y181" i="1"/>
  <c r="BM181" i="1"/>
  <c r="Y182" i="1"/>
  <c r="BM182" i="1"/>
  <c r="X185" i="1"/>
  <c r="BO189" i="1"/>
  <c r="BM189" i="1"/>
  <c r="Y189" i="1"/>
  <c r="Y203" i="1" s="1"/>
  <c r="BO193" i="1"/>
  <c r="BM193" i="1"/>
  <c r="Y193" i="1"/>
  <c r="BO197" i="1"/>
  <c r="BM197" i="1"/>
  <c r="Y197" i="1"/>
  <c r="X210" i="1"/>
  <c r="BO215" i="1"/>
  <c r="BM215" i="1"/>
  <c r="Y215" i="1"/>
  <c r="Y221" i="1" s="1"/>
  <c r="BO219" i="1"/>
  <c r="BM219" i="1"/>
  <c r="Y219" i="1"/>
  <c r="BO226" i="1"/>
  <c r="BM226" i="1"/>
  <c r="Y226" i="1"/>
  <c r="X228" i="1"/>
  <c r="K583" i="1"/>
  <c r="X238" i="1"/>
  <c r="BO231" i="1"/>
  <c r="BM231" i="1"/>
  <c r="Y231" i="1"/>
  <c r="Y237" i="1" s="1"/>
  <c r="BO235" i="1"/>
  <c r="BM235" i="1"/>
  <c r="Y235" i="1"/>
  <c r="BO242" i="1"/>
  <c r="BM242" i="1"/>
  <c r="Y242" i="1"/>
  <c r="BO245" i="1"/>
  <c r="BM245" i="1"/>
  <c r="Y245" i="1"/>
  <c r="BO249" i="1"/>
  <c r="BM249" i="1"/>
  <c r="Y249" i="1"/>
  <c r="X258" i="1"/>
  <c r="BO257" i="1"/>
  <c r="BM257" i="1"/>
  <c r="Y257" i="1"/>
  <c r="X259" i="1"/>
  <c r="X272" i="1"/>
  <c r="BO261" i="1"/>
  <c r="BM261" i="1"/>
  <c r="Y261" i="1"/>
  <c r="BO265" i="1"/>
  <c r="BM265" i="1"/>
  <c r="Y265" i="1"/>
  <c r="BO269" i="1"/>
  <c r="BM269" i="1"/>
  <c r="Y269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5" i="1"/>
  <c r="X306" i="1"/>
  <c r="BO303" i="1"/>
  <c r="BM303" i="1"/>
  <c r="Y303" i="1"/>
  <c r="Y305" i="1" s="1"/>
  <c r="BO378" i="1"/>
  <c r="BM378" i="1"/>
  <c r="Y378" i="1"/>
  <c r="X381" i="1"/>
  <c r="X387" i="1"/>
  <c r="BO384" i="1"/>
  <c r="BM384" i="1"/>
  <c r="Y384" i="1"/>
  <c r="Y386" i="1" s="1"/>
  <c r="X386" i="1"/>
  <c r="J583" i="1"/>
  <c r="X222" i="1"/>
  <c r="O583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7" i="1"/>
  <c r="BM337" i="1"/>
  <c r="Y337" i="1"/>
  <c r="Y341" i="1" s="1"/>
  <c r="BO339" i="1"/>
  <c r="BM339" i="1"/>
  <c r="Y339" i="1"/>
  <c r="X348" i="1"/>
  <c r="BO347" i="1"/>
  <c r="BM347" i="1"/>
  <c r="Y347" i="1"/>
  <c r="BO352" i="1"/>
  <c r="BM352" i="1"/>
  <c r="Y352" i="1"/>
  <c r="Y354" i="1" s="1"/>
  <c r="BO358" i="1"/>
  <c r="BM358" i="1"/>
  <c r="Y358" i="1"/>
  <c r="Q583" i="1"/>
  <c r="X368" i="1"/>
  <c r="BO363" i="1"/>
  <c r="BM363" i="1"/>
  <c r="Y363" i="1"/>
  <c r="Y367" i="1" s="1"/>
  <c r="X367" i="1"/>
  <c r="X382" i="1"/>
  <c r="BO376" i="1"/>
  <c r="BM376" i="1"/>
  <c r="Y376" i="1"/>
  <c r="BO379" i="1"/>
  <c r="BM379" i="1"/>
  <c r="Y379" i="1"/>
  <c r="BO392" i="1"/>
  <c r="BM392" i="1"/>
  <c r="Y392" i="1"/>
  <c r="Y393" i="1" s="1"/>
  <c r="X394" i="1"/>
  <c r="X421" i="1"/>
  <c r="BO396" i="1"/>
  <c r="BM396" i="1"/>
  <c r="Y396" i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6" i="1"/>
  <c r="BM426" i="1"/>
  <c r="Y426" i="1"/>
  <c r="X431" i="1"/>
  <c r="BO430" i="1"/>
  <c r="BM430" i="1"/>
  <c r="Y430" i="1"/>
  <c r="Y431" i="1" s="1"/>
  <c r="X432" i="1"/>
  <c r="X437" i="1"/>
  <c r="BO434" i="1"/>
  <c r="BM434" i="1"/>
  <c r="Y434" i="1"/>
  <c r="Y437" i="1" s="1"/>
  <c r="BO447" i="1"/>
  <c r="BM447" i="1"/>
  <c r="Y447" i="1"/>
  <c r="BO452" i="1"/>
  <c r="BM452" i="1"/>
  <c r="Y452" i="1"/>
  <c r="X455" i="1"/>
  <c r="BO459" i="1"/>
  <c r="BM459" i="1"/>
  <c r="Y459" i="1"/>
  <c r="Y460" i="1" s="1"/>
  <c r="X461" i="1"/>
  <c r="X464" i="1"/>
  <c r="BO463" i="1"/>
  <c r="BM463" i="1"/>
  <c r="Y463" i="1"/>
  <c r="Y464" i="1" s="1"/>
  <c r="X465" i="1"/>
  <c r="X468" i="1"/>
  <c r="BO467" i="1"/>
  <c r="BM467" i="1"/>
  <c r="Y467" i="1"/>
  <c r="Y468" i="1" s="1"/>
  <c r="X469" i="1"/>
  <c r="T583" i="1"/>
  <c r="X475" i="1"/>
  <c r="BO472" i="1"/>
  <c r="BM472" i="1"/>
  <c r="Y472" i="1"/>
  <c r="X476" i="1"/>
  <c r="BO494" i="1"/>
  <c r="BM494" i="1"/>
  <c r="Y494" i="1"/>
  <c r="BO498" i="1"/>
  <c r="BM498" i="1"/>
  <c r="Y498" i="1"/>
  <c r="S583" i="1"/>
  <c r="X443" i="1"/>
  <c r="X444" i="1"/>
  <c r="BO441" i="1"/>
  <c r="BM441" i="1"/>
  <c r="Y441" i="1"/>
  <c r="Y481" i="1"/>
  <c r="P583" i="1"/>
  <c r="X342" i="1"/>
  <c r="BO442" i="1"/>
  <c r="BM442" i="1"/>
  <c r="Y442" i="1"/>
  <c r="X456" i="1"/>
  <c r="BO446" i="1"/>
  <c r="BM446" i="1"/>
  <c r="Y446" i="1"/>
  <c r="BO449" i="1"/>
  <c r="BM449" i="1"/>
  <c r="Y449" i="1"/>
  <c r="BO453" i="1"/>
  <c r="BM453" i="1"/>
  <c r="Y453" i="1"/>
  <c r="X460" i="1"/>
  <c r="BO474" i="1"/>
  <c r="BM474" i="1"/>
  <c r="Y474" i="1"/>
  <c r="BO480" i="1"/>
  <c r="BM480" i="1"/>
  <c r="Y480" i="1"/>
  <c r="X482" i="1"/>
  <c r="BO491" i="1"/>
  <c r="BM491" i="1"/>
  <c r="Y491" i="1"/>
  <c r="Y502" i="1" s="1"/>
  <c r="BO496" i="1"/>
  <c r="BM496" i="1"/>
  <c r="Y496" i="1"/>
  <c r="BO499" i="1"/>
  <c r="BM499" i="1"/>
  <c r="Y499" i="1"/>
  <c r="BO511" i="1"/>
  <c r="BM511" i="1"/>
  <c r="Y511" i="1"/>
  <c r="Y516" i="1" s="1"/>
  <c r="BO515" i="1"/>
  <c r="BM515" i="1"/>
  <c r="Y515" i="1"/>
  <c r="X517" i="1"/>
  <c r="X522" i="1"/>
  <c r="BO519" i="1"/>
  <c r="BM519" i="1"/>
  <c r="Y519" i="1"/>
  <c r="X523" i="1"/>
  <c r="BO544" i="1"/>
  <c r="BM544" i="1"/>
  <c r="Y544" i="1"/>
  <c r="BO546" i="1"/>
  <c r="BM546" i="1"/>
  <c r="Y546" i="1"/>
  <c r="BO560" i="1"/>
  <c r="BM560" i="1"/>
  <c r="Y560" i="1"/>
  <c r="BO562" i="1"/>
  <c r="BM562" i="1"/>
  <c r="Y562" i="1"/>
  <c r="V583" i="1"/>
  <c r="U583" i="1"/>
  <c r="X481" i="1"/>
  <c r="X502" i="1"/>
  <c r="BO501" i="1"/>
  <c r="BM501" i="1"/>
  <c r="Y501" i="1"/>
  <c r="X503" i="1"/>
  <c r="X508" i="1"/>
  <c r="BO505" i="1"/>
  <c r="BM505" i="1"/>
  <c r="Y505" i="1"/>
  <c r="Y507" i="1" s="1"/>
  <c r="X516" i="1"/>
  <c r="BO513" i="1"/>
  <c r="BM513" i="1"/>
  <c r="Y513" i="1"/>
  <c r="BO521" i="1"/>
  <c r="BM521" i="1"/>
  <c r="Y521" i="1"/>
  <c r="X526" i="1"/>
  <c r="BO525" i="1"/>
  <c r="BM525" i="1"/>
  <c r="Y525" i="1"/>
  <c r="Y526" i="1" s="1"/>
  <c r="X527" i="1"/>
  <c r="X548" i="1"/>
  <c r="BO543" i="1"/>
  <c r="BM543" i="1"/>
  <c r="Y543" i="1"/>
  <c r="BO545" i="1"/>
  <c r="BM545" i="1"/>
  <c r="Y545" i="1"/>
  <c r="BO547" i="1"/>
  <c r="BM547" i="1"/>
  <c r="Y547" i="1"/>
  <c r="X549" i="1"/>
  <c r="X564" i="1"/>
  <c r="BO559" i="1"/>
  <c r="BM559" i="1"/>
  <c r="Y559" i="1"/>
  <c r="BO561" i="1"/>
  <c r="BM561" i="1"/>
  <c r="Y561" i="1"/>
  <c r="BO563" i="1"/>
  <c r="BM563" i="1"/>
  <c r="Y563" i="1"/>
  <c r="X565" i="1"/>
  <c r="X541" i="1"/>
  <c r="X576" i="1" l="1"/>
  <c r="Y455" i="1"/>
  <c r="Y475" i="1"/>
  <c r="Y421" i="1"/>
  <c r="Y36" i="1"/>
  <c r="Y578" i="1" s="1"/>
  <c r="Y427" i="1"/>
  <c r="Y277" i="1"/>
  <c r="Y251" i="1"/>
  <c r="Y227" i="1"/>
  <c r="X573" i="1"/>
  <c r="Y548" i="1"/>
  <c r="Y564" i="1"/>
  <c r="Y522" i="1"/>
  <c r="Y443" i="1"/>
  <c r="Y381" i="1"/>
  <c r="Y271" i="1"/>
  <c r="Y122" i="1"/>
  <c r="X577" i="1"/>
  <c r="W576" i="1"/>
  <c r="Y359" i="1"/>
  <c r="Y300" i="1"/>
</calcChain>
</file>

<file path=xl/sharedStrings.xml><?xml version="1.0" encoding="utf-8"?>
<sst xmlns="http://schemas.openxmlformats.org/spreadsheetml/2006/main" count="2572" uniqueCount="864">
  <si>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</si>
  <si>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</si>
  <si>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</si>
  <si>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</si>
  <si>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</si>
  <si>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</si>
  <si>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</si>
  <si>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</si>
  <si>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</si>
  <si>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</si>
  <si>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</si>
  <si>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</si>
  <si>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</si>
  <si>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</si>
  <si>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</si>
  <si>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</si>
  <si>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</si>
  <si>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</si>
  <si>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</si>
  <si>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</si>
  <si>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</si>
  <si>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</si>
  <si>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</si>
  <si>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</si>
  <si>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</si>
  <si>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</si>
  <si>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</si>
  <si>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</si>
  <si>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</si>
  <si>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</si>
  <si>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</si>
  <si>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</si>
  <si>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</si>
  <si>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</si>
  <si>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</si>
  <si>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</si>
  <si>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</si>
  <si>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</si>
  <si>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</si>
  <si>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</si>
  <si>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</si>
  <si>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</si>
  <si>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</si>
  <si>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</si>
  <si>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</si>
  <si>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</si>
  <si>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</si>
  <si>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</si>
  <si>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</si>
  <si>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</si>
  <si>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</si>
  <si>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</si>
  <si>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</si>
  <si>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</si>
  <si>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</si>
  <si>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</si>
  <si>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</si>
  <si>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</si>
  <si>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</si>
  <si>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</si>
  <si>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</si>
  <si>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</si>
  <si>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</si>
  <si>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</si>
  <si>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</si>
  <si>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</si>
  <si>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</si>
  <si>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</si>
  <si>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</si>
  <si>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</si>
  <si>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</si>
  <si>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</si>
  <si>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</si>
  <si>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</si>
  <si>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</si>
  <si>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</si>
  <si>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</si>
  <si>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</si>
  <si>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</si>
  <si>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</si>
  <si>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</si>
  <si>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</si>
  <si>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</si>
  <si>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</si>
  <si>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</si>
  <si>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</si>
  <si>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</si>
  <si>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</si>
  <si>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</si>
  <si>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</si>
  <si>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</si>
  <si>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</si>
  <si>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</si>
  <si>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</si>
  <si>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</si>
  <si>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</si>
  <si>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</si>
  <si>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</si>
  <si>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</si>
  <si>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</si>
  <si>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</si>
  <si>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</si>
  <si>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</si>
  <si>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</si>
  <si>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</si>
  <si>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</si>
  <si>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</si>
  <si>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</si>
  <si>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</si>
  <si>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</si>
  <si>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</si>
  <si>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</si>
  <si>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</si>
  <si>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</si>
  <si>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</si>
  <si>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</si>
  <si>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</si>
  <si>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</si>
  <si>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</si>
  <si>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</si>
  <si>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</si>
  <si>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</si>
  <si>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</si>
  <si>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</si>
  <si>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</si>
  <si>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</si>
  <si>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</si>
  <si>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</si>
  <si>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</si>
  <si>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</si>
  <si>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</si>
  <si>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</si>
  <si>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</si>
  <si>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</si>
  <si>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</si>
  <si>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</si>
  <si>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</si>
  <si>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</si>
  <si>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</si>
  <si>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</si>
  <si>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</si>
  <si>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</si>
  <si>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</si>
  <si>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</si>
  <si>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</si>
  <si>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</si>
  <si>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</si>
  <si>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</si>
  <si>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</si>
  <si>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</si>
  <si>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</si>
  <si>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</si>
  <si>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</si>
  <si>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</si>
  <si>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</si>
  <si>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</si>
  <si>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</si>
  <si>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</si>
  <si>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</si>
  <si>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</si>
  <si>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</si>
  <si>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</si>
  <si>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</si>
  <si>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</si>
  <si>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</si>
  <si>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</si>
  <si>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</si>
  <si>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</si>
  <si>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</si>
  <si>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</si>
  <si>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</si>
  <si>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</si>
  <si>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</si>
  <si>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</si>
  <si>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</si>
  <si>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</si>
  <si>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</si>
  <si>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</si>
  <si>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</si>
  <si>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</si>
  <si>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</si>
  <si>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</si>
  <si>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</si>
  <si>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</si>
  <si>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</si>
  <si>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</si>
  <si>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</si>
  <si>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</si>
  <si>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</si>
  <si>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</si>
  <si>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</si>
  <si>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</si>
  <si>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</si>
  <si>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</si>
  <si>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</si>
  <si>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</si>
  <si>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</si>
  <si>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</si>
  <si>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</si>
  <si>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</si>
  <si>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</si>
  <si>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</si>
  <si>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</si>
  <si>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</si>
  <si>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</si>
  <si>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</si>
  <si>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</si>
  <si>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</si>
  <si>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</si>
  <si>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</si>
  <si>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</si>
  <si>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</si>
  <si>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</si>
  <si>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</si>
  <si>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</si>
  <si>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</si>
  <si>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</si>
  <si>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</si>
  <si>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</si>
  <si>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</si>
  <si>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</si>
  <si>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</si>
  <si>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</si>
  <si>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</si>
  <si>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</si>
  <si>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</si>
  <si>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</si>
  <si>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</si>
  <si>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</si>
  <si>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</si>
  <si>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</si>
  <si>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</si>
  <si>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</si>
  <si>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</si>
  <si>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</si>
  <si>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</si>
  <si>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</si>
  <si>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</si>
  <si>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</si>
  <si>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</si>
  <si>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</si>
  <si>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</si>
  <si>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</si>
  <si>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</si>
  <si>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</si>
  <si>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</si>
  <si>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</si>
  <si>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</si>
  <si>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</si>
  <si>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</si>
  <si>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</si>
  <si>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</si>
  <si>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</si>
  <si>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</si>
  <si>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</si>
  <si>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</si>
  <si>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</si>
  <si>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</si>
  <si>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</si>
  <si>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</si>
  <si>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</si>
  <si>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</si>
  <si>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</si>
  <si>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</si>
  <si>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</si>
  <si>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</si>
  <si>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</si>
  <si>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</si>
  <si>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</si>
  <si>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</si>
  <si>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</si>
  <si>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</si>
  <si>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</si>
  <si>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</si>
  <si>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</si>
  <si>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</si>
  <si>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</si>
  <si>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</si>
  <si>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</si>
  <si>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</si>
  <si>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</si>
  <si>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</si>
  <si>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</si>
  <si>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</si>
  <si>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</si>
  <si>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</si>
  <si>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</si>
  <si>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</si>
  <si>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</si>
  <si>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</si>
  <si>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</si>
  <si>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</si>
  <si>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</si>
  <si>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</si>
  <si>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</si>
  <si>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</si>
  <si>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</si>
  <si>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</si>
  <si>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</si>
  <si>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</si>
  <si>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</si>
  <si>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</si>
  <si>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</si>
  <si>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</si>
  <si>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</si>
  <si>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</si>
  <si>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</si>
  <si>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</si>
  <si>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</si>
  <si>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</si>
  <si>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</si>
  <si>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</si>
  <si>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</si>
  <si>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</si>
  <si>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</si>
  <si>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</si>
  <si>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</si>
  <si>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</si>
  <si>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</si>
  <si>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</si>
  <si>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</si>
  <si>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</si>
  <si>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</si>
  <si>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</si>
  <si>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</si>
  <si>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</si>
  <si>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</si>
  <si>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</si>
  <si>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</si>
  <si>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</si>
  <si>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</si>
  <si>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</si>
  <si>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</si>
  <si>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</si>
  <si>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</si>
  <si>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</si>
  <si>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</si>
  <si>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</si>
  <si>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</si>
  <si>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</si>
  <si>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</si>
  <si>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</si>
  <si>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</si>
  <si>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</si>
  <si>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</si>
  <si>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</si>
  <si>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</si>
  <si>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</si>
  <si>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</si>
  <si>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</si>
  <si>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</si>
  <si>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</si>
  <si>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</si>
  <si>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</si>
  <si>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</si>
  <si>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</si>
  <si>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</si>
  <si>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</si>
  <si>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</si>
  <si>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</si>
  <si>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</si>
  <si>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</si>
  <si>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</si>
  <si>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</si>
  <si>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</si>
  <si>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</si>
  <si>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</si>
  <si>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</si>
  <si>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</si>
  <si>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</si>
  <si>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</si>
  <si>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</si>
  <si>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</si>
  <si>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</si>
  <si>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</si>
  <si>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</si>
  <si>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</si>
  <si>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</si>
  <si>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</si>
  <si>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</si>
  <si>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</si>
  <si>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</si>
  <si>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</si>
  <si>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</si>
  <si>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</si>
  <si>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</si>
  <si>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</si>
  <si>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</si>
  <si>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</si>
  <si>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</si>
  <si>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</si>
  <si>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</si>
  <si>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</si>
  <si>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</si>
  <si>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</si>
  <si>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</si>
  <si>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</si>
  <si>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</si>
  <si>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</si>
  <si>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</si>
  <si>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</si>
  <si>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</si>
  <si>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</si>
  <si>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</si>
  <si>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</si>
  <si>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</si>
  <si>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</si>
  <si>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</si>
  <si>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</si>
  <si>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</si>
  <si>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</si>
  <si>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</si>
  <si>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</si>
  <si>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</si>
  <si>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</si>
  <si>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</si>
  <si>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</si>
  <si>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</si>
  <si>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</si>
  <si>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</si>
  <si>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</si>
  <si>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</si>
  <si>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</si>
  <si>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</si>
  <si>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</si>
  <si>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</si>
  <si>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</si>
  <si>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</si>
  <si>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</si>
  <si>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</si>
  <si>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</si>
  <si>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</si>
  <si>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</si>
  <si>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</si>
  <si>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</si>
  <si>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</si>
  <si>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</si>
  <si>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</si>
  <si>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</si>
  <si>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</si>
  <si>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</si>
  <si>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</si>
  <si>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</si>
  <si>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</si>
  <si>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</si>
  <si>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</si>
  <si>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</si>
  <si>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</si>
  <si>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</si>
  <si>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</si>
  <si>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</si>
  <si>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</si>
  <si>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</si>
  <si>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</si>
  <si>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</si>
  <si>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</si>
  <si>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</si>
  <si>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</si>
  <si>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</si>
  <si>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</si>
  <si>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</si>
  <si>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</si>
  <si>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</si>
  <si>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</si>
  <si>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</si>
  <si>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</si>
  <si>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</si>
  <si>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</si>
  <si>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</si>
  <si>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</si>
  <si>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</si>
  <si>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</si>
  <si>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</si>
  <si>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</si>
  <si>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</si>
  <si>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</si>
  <si>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</si>
  <si>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</si>
  <si>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</si>
  <si>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</si>
  <si>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</si>
  <si>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</si>
  <si>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</si>
  <si>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</si>
  <si>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</si>
  <si>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</si>
  <si>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</si>
  <si>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</si>
  <si>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</si>
  <si>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</si>
  <si>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</si>
  <si>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</si>
  <si>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</si>
  <si>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</si>
  <si>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</si>
  <si>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</si>
  <si>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</si>
  <si>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</si>
  <si>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</si>
  <si>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</si>
  <si>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</si>
  <si>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</si>
  <si>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</si>
  <si>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</si>
  <si>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</si>
  <si>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</si>
  <si>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</si>
  <si>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</si>
  <si>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</si>
  <si>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</si>
  <si>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</si>
  <si>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</si>
  <si>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</si>
  <si>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</si>
  <si>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</si>
  <si>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</si>
  <si>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</si>
  <si>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</si>
  <si>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</si>
  <si>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</si>
  <si>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</si>
  <si>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</si>
  <si>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</si>
  <si>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</si>
  <si>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</si>
  <si>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</si>
  <si>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</si>
  <si>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</si>
  <si>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</si>
  <si>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</si>
  <si>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</si>
  <si>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</si>
  <si>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</si>
  <si>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</si>
  <si>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</si>
  <si>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</si>
  <si>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</si>
  <si>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</si>
  <si>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</si>
  <si>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</si>
  <si>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</si>
  <si>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</si>
  <si>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</si>
  <si>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</si>
  <si>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</si>
  <si>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</si>
  <si>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</si>
  <si>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</si>
  <si>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</si>
  <si>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</si>
  <si>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</si>
  <si>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</si>
  <si>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</si>
  <si>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</si>
  <si>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</si>
  <si>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</si>
  <si>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</si>
  <si>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</si>
  <si>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</si>
  <si>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</si>
  <si>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</si>
  <si>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</si>
  <si>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</si>
  <si>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</si>
  <si>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</si>
  <si>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</si>
  <si>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</si>
  <si>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</si>
  <si>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</si>
  <si>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</si>
  <si>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</si>
  <si>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</si>
  <si>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</si>
  <si>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</si>
  <si>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</si>
  <si>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</si>
  <si>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</si>
  <si>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</si>
  <si>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</si>
  <si>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</si>
  <si>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</si>
  <si>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</si>
  <si>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</si>
  <si>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P004336</t>
  </si>
  <si>
    <t>В/к колбасы Филейбургская с сочным окороком Филейбургская Весовые фиброуз в/у Баварушка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</si>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</sst>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2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5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0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3"/>
  <sheetViews>
    <sheetView showGridLines="0" tabSelected="1" topLeftCell="A560" zoomScaleNormal="100" zoomScaleSheetLayoutView="100" workbookViewId="0">
      <selection activeCell="AA578" sqref="AA578"/>
    </sheetView>
  </sheetViews>
  <sheetFormatPr defaultColWidth="9.140625" defaultRowHeight="12.75" x14ac:dyDescent="0.2"/>
  <cols>
    <col min="1" max="1" width="9.140625" style="3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4" customWidth="1"/>
    <col min="18" max="18" width="6.140625" style="39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4" customWidth="1"/>
    <col min="24" max="24" width="11" style="394" customWidth="1"/>
    <col min="25" max="25" width="10" style="394" customWidth="1"/>
    <col min="26" max="26" width="11.5703125" style="394" customWidth="1"/>
    <col min="27" max="27" width="10.42578125" style="39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4" customWidth="1"/>
    <col min="32" max="32" width="9.140625" style="394" customWidth="1"/>
    <col min="33" max="16384" width="9.140625" style="394"/>
  </cols>
  <sheetData>
    <row r="1" spans="1:30" s="398" customFormat="1" ht="45" customHeight="1" x14ac:dyDescent="0.2">
      <c r="A1" s="41"/>
      <c r="B1" s="41"/>
      <c r="C1" s="41"/>
      <c r="D1" s="532" t="s">
        <v>0</v>
      </c>
      <c r="E1" s="533"/>
      <c r="F1" s="533"/>
      <c r="G1" s="12" t="s">
        <v>1</v>
      </c>
      <c r="H1" s="532" t="s">
        <v>2</v>
      </c>
      <c r="I1" s="533"/>
      <c r="J1" s="533"/>
      <c r="K1" s="533"/>
      <c r="L1" s="533"/>
      <c r="M1" s="533"/>
      <c r="N1" s="533"/>
      <c r="O1" s="533"/>
      <c r="P1" s="533"/>
      <c r="Q1" s="808" t="s">
        <v>3</v>
      </c>
      <c r="R1" s="533"/>
      <c r="S1" s="53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6"/>
      <c r="X2" s="16"/>
      <c r="Y2" s="16"/>
      <c r="Z2" s="16"/>
      <c r="AA2" s="51"/>
      <c r="AB2" s="51"/>
      <c r="AC2" s="51"/>
    </row>
    <row r="3" spans="1:30" s="3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2"/>
      <c r="P3" s="412"/>
      <c r="Q3" s="412"/>
      <c r="R3" s="412"/>
      <c r="S3" s="412"/>
      <c r="T3" s="412"/>
      <c r="U3" s="412"/>
      <c r="V3" s="412"/>
      <c r="W3" s="16"/>
      <c r="X3" s="16"/>
      <c r="Y3" s="16"/>
      <c r="Z3" s="16"/>
      <c r="AA3" s="51"/>
      <c r="AB3" s="51"/>
      <c r="AC3" s="51"/>
    </row>
    <row r="4" spans="1:30" s="3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8" customFormat="1" ht="23.45" customHeight="1" x14ac:dyDescent="0.2">
      <c r="A5" s="564" t="s">
        <v>8</v>
      </c>
      <c r="B5" s="565"/>
      <c r="C5" s="566"/>
      <c r="D5" s="457"/>
      <c r="E5" s="459"/>
      <c r="F5" s="764" t="s">
        <v>9</v>
      </c>
      <c r="G5" s="566"/>
      <c r="H5" s="457"/>
      <c r="I5" s="458"/>
      <c r="J5" s="458"/>
      <c r="K5" s="458"/>
      <c r="L5" s="459"/>
      <c r="M5" s="58"/>
      <c r="O5" s="24" t="s">
        <v>10</v>
      </c>
      <c r="P5" s="803">
        <v>45479</v>
      </c>
      <c r="Q5" s="581"/>
      <c r="S5" s="657" t="s">
        <v>11</v>
      </c>
      <c r="T5" s="472"/>
      <c r="U5" s="660" t="s">
        <v>12</v>
      </c>
      <c r="V5" s="581"/>
      <c r="AA5" s="51"/>
      <c r="AB5" s="51"/>
      <c r="AC5" s="51"/>
    </row>
    <row r="6" spans="1:30" s="398" customFormat="1" ht="24" customHeight="1" x14ac:dyDescent="0.2">
      <c r="A6" s="564" t="s">
        <v>13</v>
      </c>
      <c r="B6" s="565"/>
      <c r="C6" s="566"/>
      <c r="D6" s="727" t="s">
        <v>14</v>
      </c>
      <c r="E6" s="728"/>
      <c r="F6" s="728"/>
      <c r="G6" s="728"/>
      <c r="H6" s="728"/>
      <c r="I6" s="728"/>
      <c r="J6" s="728"/>
      <c r="K6" s="728"/>
      <c r="L6" s="581"/>
      <c r="M6" s="59"/>
      <c r="O6" s="24" t="s">
        <v>15</v>
      </c>
      <c r="P6" s="439" t="str">
        <f>IF(P5=0," ",CHOOSE(WEEKDAY(P5,2),"Понедельник","Вторник","Среда","Четверг","Пятница","Суббота","Воскресенье"))</f>
        <v>Суббота</v>
      </c>
      <c r="Q6" s="407"/>
      <c r="S6" s="471" t="s">
        <v>16</v>
      </c>
      <c r="T6" s="472"/>
      <c r="U6" s="720" t="s">
        <v>17</v>
      </c>
      <c r="V6" s="486"/>
      <c r="AA6" s="51"/>
      <c r="AB6" s="51"/>
      <c r="AC6" s="51"/>
    </row>
    <row r="7" spans="1:30" s="398" customFormat="1" ht="21.75" hidden="1" customHeight="1" x14ac:dyDescent="0.2">
      <c r="A7" s="55"/>
      <c r="B7" s="55"/>
      <c r="C7" s="55"/>
      <c r="D7" s="642" t="str">
        <f>IFERROR(VLOOKUP(DeliveryAddress,Table,3,0),1)</f>
        <v>1</v>
      </c>
      <c r="E7" s="643"/>
      <c r="F7" s="643"/>
      <c r="G7" s="643"/>
      <c r="H7" s="643"/>
      <c r="I7" s="643"/>
      <c r="J7" s="643"/>
      <c r="K7" s="643"/>
      <c r="L7" s="613"/>
      <c r="M7" s="60"/>
      <c r="O7" s="24"/>
      <c r="P7" s="42"/>
      <c r="Q7" s="42"/>
      <c r="S7" s="412"/>
      <c r="T7" s="472"/>
      <c r="U7" s="721"/>
      <c r="V7" s="722"/>
      <c r="AA7" s="51"/>
      <c r="AB7" s="51"/>
      <c r="AC7" s="51"/>
    </row>
    <row r="8" spans="1:30" s="398" customFormat="1" ht="25.5" customHeight="1" x14ac:dyDescent="0.2">
      <c r="A8" s="810" t="s">
        <v>18</v>
      </c>
      <c r="B8" s="433"/>
      <c r="C8" s="434"/>
      <c r="D8" s="527"/>
      <c r="E8" s="528"/>
      <c r="F8" s="528"/>
      <c r="G8" s="528"/>
      <c r="H8" s="528"/>
      <c r="I8" s="528"/>
      <c r="J8" s="528"/>
      <c r="K8" s="528"/>
      <c r="L8" s="529"/>
      <c r="M8" s="61"/>
      <c r="O8" s="24" t="s">
        <v>19</v>
      </c>
      <c r="P8" s="612">
        <v>0.41666666666666669</v>
      </c>
      <c r="Q8" s="613"/>
      <c r="S8" s="412"/>
      <c r="T8" s="472"/>
      <c r="U8" s="721"/>
      <c r="V8" s="722"/>
      <c r="AA8" s="51"/>
      <c r="AB8" s="51"/>
      <c r="AC8" s="51"/>
    </row>
    <row r="9" spans="1:30" s="398" customFormat="1" ht="39.950000000000003" customHeight="1" x14ac:dyDescent="0.2">
      <c r="A9" s="5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591"/>
      <c r="E9" s="425"/>
      <c r="F9" s="5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24" t="str">
        <f>IF(AND($A$9="Тип доверенности/получателя при получении в адресе перегруза:",$D$9="Разовая доверенность"),"Введите ФИО","")</f>
        <v/>
      </c>
      <c r="I9" s="425"/>
      <c r="J9" s="4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5"/>
      <c r="L9" s="425"/>
      <c r="M9" s="400"/>
      <c r="O9" s="26" t="s">
        <v>20</v>
      </c>
      <c r="P9" s="574"/>
      <c r="Q9" s="575"/>
      <c r="S9" s="412"/>
      <c r="T9" s="472"/>
      <c r="U9" s="723"/>
      <c r="V9" s="724"/>
      <c r="W9" s="43"/>
      <c r="X9" s="43"/>
      <c r="Y9" s="43"/>
      <c r="Z9" s="43"/>
      <c r="AA9" s="51"/>
      <c r="AB9" s="51"/>
      <c r="AC9" s="51"/>
    </row>
    <row r="10" spans="1:30" s="398" customFormat="1" ht="26.45" customHeight="1" x14ac:dyDescent="0.2">
      <c r="A10" s="5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591"/>
      <c r="E10" s="425"/>
      <c r="F10" s="5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707" t="str">
        <f>IFERROR(VLOOKUP($D$10,Proxy,2,FALSE),"")</f>
        <v/>
      </c>
      <c r="I10" s="412"/>
      <c r="J10" s="412"/>
      <c r="K10" s="412"/>
      <c r="L10" s="412"/>
      <c r="M10" s="397"/>
      <c r="O10" s="26" t="s">
        <v>21</v>
      </c>
      <c r="P10" s="667"/>
      <c r="Q10" s="668"/>
      <c r="T10" s="24" t="s">
        <v>22</v>
      </c>
      <c r="U10" s="485" t="s">
        <v>23</v>
      </c>
      <c r="V10" s="486"/>
      <c r="W10" s="44"/>
      <c r="X10" s="44"/>
      <c r="Y10" s="44"/>
      <c r="Z10" s="44"/>
      <c r="AA10" s="51"/>
      <c r="AB10" s="51"/>
      <c r="AC10" s="51"/>
    </row>
    <row r="11" spans="1:30" s="3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80"/>
      <c r="Q11" s="581"/>
      <c r="T11" s="24" t="s">
        <v>26</v>
      </c>
      <c r="U11" s="654" t="s">
        <v>27</v>
      </c>
      <c r="V11" s="575"/>
      <c r="W11" s="45"/>
      <c r="X11" s="45"/>
      <c r="Y11" s="45"/>
      <c r="Z11" s="45"/>
      <c r="AA11" s="51"/>
      <c r="AB11" s="51"/>
      <c r="AC11" s="51"/>
    </row>
    <row r="12" spans="1:30" s="398" customFormat="1" ht="18.600000000000001" customHeight="1" x14ac:dyDescent="0.2">
      <c r="A12" s="757" t="s">
        <v>28</v>
      </c>
      <c r="B12" s="565"/>
      <c r="C12" s="565"/>
      <c r="D12" s="565"/>
      <c r="E12" s="565"/>
      <c r="F12" s="565"/>
      <c r="G12" s="565"/>
      <c r="H12" s="565"/>
      <c r="I12" s="565"/>
      <c r="J12" s="565"/>
      <c r="K12" s="565"/>
      <c r="L12" s="566"/>
      <c r="M12" s="62"/>
      <c r="O12" s="24" t="s">
        <v>29</v>
      </c>
      <c r="P12" s="612"/>
      <c r="Q12" s="613"/>
      <c r="R12" s="23"/>
      <c r="T12" s="24"/>
      <c r="U12" s="533"/>
      <c r="V12" s="412"/>
      <c r="AA12" s="51"/>
      <c r="AB12" s="51"/>
      <c r="AC12" s="51"/>
    </row>
    <row r="13" spans="1:30" s="398" customFormat="1" ht="23.25" customHeight="1" x14ac:dyDescent="0.2">
      <c r="A13" s="757" t="s">
        <v>30</v>
      </c>
      <c r="B13" s="565"/>
      <c r="C13" s="565"/>
      <c r="D13" s="565"/>
      <c r="E13" s="565"/>
      <c r="F13" s="565"/>
      <c r="G13" s="565"/>
      <c r="H13" s="565"/>
      <c r="I13" s="565"/>
      <c r="J13" s="565"/>
      <c r="K13" s="565"/>
      <c r="L13" s="566"/>
      <c r="M13" s="62"/>
      <c r="N13" s="26"/>
      <c r="O13" s="26" t="s">
        <v>31</v>
      </c>
      <c r="P13" s="654"/>
      <c r="Q13" s="575"/>
      <c r="R13" s="23"/>
      <c r="W13" s="49"/>
      <c r="X13" s="49"/>
      <c r="Y13" s="49"/>
      <c r="Z13" s="49"/>
      <c r="AA13" s="51"/>
      <c r="AB13" s="51"/>
      <c r="AC13" s="51"/>
    </row>
    <row r="14" spans="1:30" s="398" customFormat="1" ht="18.600000000000001" customHeight="1" x14ac:dyDescent="0.2">
      <c r="A14" s="757" t="s">
        <v>32</v>
      </c>
      <c r="B14" s="565"/>
      <c r="C14" s="565"/>
      <c r="D14" s="565"/>
      <c r="E14" s="565"/>
      <c r="F14" s="565"/>
      <c r="G14" s="565"/>
      <c r="H14" s="565"/>
      <c r="I14" s="565"/>
      <c r="J14" s="565"/>
      <c r="K14" s="565"/>
      <c r="L14" s="566"/>
      <c r="M14" s="62"/>
      <c r="W14" s="50"/>
      <c r="X14" s="50"/>
      <c r="Y14" s="50"/>
      <c r="Z14" s="50"/>
      <c r="AA14" s="51"/>
      <c r="AB14" s="51"/>
      <c r="AC14" s="51"/>
    </row>
    <row r="15" spans="1:30" s="398" customFormat="1" ht="22.5" customHeight="1" x14ac:dyDescent="0.2">
      <c r="A15" s="798" t="s">
        <v>33</v>
      </c>
      <c r="B15" s="565"/>
      <c r="C15" s="565"/>
      <c r="D15" s="565"/>
      <c r="E15" s="565"/>
      <c r="F15" s="565"/>
      <c r="G15" s="565"/>
      <c r="H15" s="565"/>
      <c r="I15" s="565"/>
      <c r="J15" s="565"/>
      <c r="K15" s="565"/>
      <c r="L15" s="566"/>
      <c r="M15" s="63"/>
      <c r="O15" s="560" t="s">
        <v>34</v>
      </c>
      <c r="P15" s="533"/>
      <c r="Q15" s="533"/>
      <c r="R15" s="533"/>
      <c r="S15" s="53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1"/>
      <c r="P16" s="561"/>
      <c r="Q16" s="561"/>
      <c r="R16" s="561"/>
      <c r="S16" s="56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6" t="s">
        <v>35</v>
      </c>
      <c r="B17" s="466" t="s">
        <v>36</v>
      </c>
      <c r="C17" s="589" t="s">
        <v>37</v>
      </c>
      <c r="D17" s="466" t="s">
        <v>38</v>
      </c>
      <c r="E17" s="495"/>
      <c r="F17" s="466" t="s">
        <v>39</v>
      </c>
      <c r="G17" s="466" t="s">
        <v>40</v>
      </c>
      <c r="H17" s="466" t="s">
        <v>41</v>
      </c>
      <c r="I17" s="466" t="s">
        <v>42</v>
      </c>
      <c r="J17" s="466" t="s">
        <v>43</v>
      </c>
      <c r="K17" s="466" t="s">
        <v>44</v>
      </c>
      <c r="L17" s="466" t="s">
        <v>45</v>
      </c>
      <c r="M17" s="466" t="s">
        <v>46</v>
      </c>
      <c r="N17" s="466" t="s">
        <v>47</v>
      </c>
      <c r="O17" s="466" t="s">
        <v>48</v>
      </c>
      <c r="P17" s="494"/>
      <c r="Q17" s="494"/>
      <c r="R17" s="494"/>
      <c r="S17" s="495"/>
      <c r="T17" s="794" t="s">
        <v>49</v>
      </c>
      <c r="U17" s="566"/>
      <c r="V17" s="466" t="s">
        <v>50</v>
      </c>
      <c r="W17" s="466" t="s">
        <v>51</v>
      </c>
      <c r="X17" s="823" t="s">
        <v>52</v>
      </c>
      <c r="Y17" s="466" t="s">
        <v>53</v>
      </c>
      <c r="Z17" s="507" t="s">
        <v>54</v>
      </c>
      <c r="AA17" s="507" t="s">
        <v>55</v>
      </c>
      <c r="AB17" s="507" t="s">
        <v>56</v>
      </c>
      <c r="AC17" s="508"/>
      <c r="AD17" s="509"/>
      <c r="AE17" s="522"/>
      <c r="BB17" s="792" t="s">
        <v>57</v>
      </c>
    </row>
    <row r="18" spans="1:67" ht="14.25" customHeight="1" x14ac:dyDescent="0.2">
      <c r="A18" s="467"/>
      <c r="B18" s="467"/>
      <c r="C18" s="467"/>
      <c r="D18" s="496"/>
      <c r="E18" s="498"/>
      <c r="F18" s="467"/>
      <c r="G18" s="467"/>
      <c r="H18" s="467"/>
      <c r="I18" s="467"/>
      <c r="J18" s="467"/>
      <c r="K18" s="467"/>
      <c r="L18" s="467"/>
      <c r="M18" s="467"/>
      <c r="N18" s="467"/>
      <c r="O18" s="496"/>
      <c r="P18" s="497"/>
      <c r="Q18" s="497"/>
      <c r="R18" s="497"/>
      <c r="S18" s="498"/>
      <c r="T18" s="399" t="s">
        <v>58</v>
      </c>
      <c r="U18" s="399" t="s">
        <v>59</v>
      </c>
      <c r="V18" s="467"/>
      <c r="W18" s="467"/>
      <c r="X18" s="824"/>
      <c r="Y18" s="467"/>
      <c r="Z18" s="684"/>
      <c r="AA18" s="684"/>
      <c r="AB18" s="510"/>
      <c r="AC18" s="511"/>
      <c r="AD18" s="512"/>
      <c r="AE18" s="523"/>
      <c r="BB18" s="412"/>
    </row>
    <row r="19" spans="1:67" ht="27.75" customHeight="1" x14ac:dyDescent="0.2">
      <c r="A19" s="453" t="s">
        <v>60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8"/>
      <c r="AA19" s="48"/>
    </row>
    <row r="20" spans="1:67" ht="16.5" customHeight="1" x14ac:dyDescent="0.25">
      <c r="A20" s="421" t="s">
        <v>60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396"/>
      <c r="AA20" s="396"/>
    </row>
    <row r="21" spans="1:67" ht="14.25" customHeight="1" x14ac:dyDescent="0.25">
      <c r="A21" s="411" t="s">
        <v>61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395"/>
      <c r="AA21" s="395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6">
        <v>4607091389258</v>
      </c>
      <c r="E22" s="407"/>
      <c r="F22" s="401">
        <v>0.3</v>
      </c>
      <c r="G22" s="32">
        <v>6</v>
      </c>
      <c r="H22" s="401">
        <v>1.8</v>
      </c>
      <c r="I22" s="40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9"/>
      <c r="Q22" s="409"/>
      <c r="R22" s="409"/>
      <c r="S22" s="407"/>
      <c r="T22" s="34"/>
      <c r="U22" s="34"/>
      <c r="V22" s="35" t="s">
        <v>66</v>
      </c>
      <c r="W22" s="402">
        <v>0</v>
      </c>
      <c r="X22" s="40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6">
        <v>4680115885004</v>
      </c>
      <c r="E23" s="407"/>
      <c r="F23" s="401">
        <v>0.16</v>
      </c>
      <c r="G23" s="32">
        <v>10</v>
      </c>
      <c r="H23" s="401">
        <v>1.6</v>
      </c>
      <c r="I23" s="40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9"/>
      <c r="Q23" s="409"/>
      <c r="R23" s="409"/>
      <c r="S23" s="407"/>
      <c r="T23" s="34"/>
      <c r="U23" s="34"/>
      <c r="V23" s="35" t="s">
        <v>66</v>
      </c>
      <c r="W23" s="402">
        <v>0</v>
      </c>
      <c r="X23" s="40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4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5"/>
      <c r="O24" s="432" t="s">
        <v>70</v>
      </c>
      <c r="P24" s="433"/>
      <c r="Q24" s="433"/>
      <c r="R24" s="433"/>
      <c r="S24" s="433"/>
      <c r="T24" s="433"/>
      <c r="U24" s="434"/>
      <c r="V24" s="37" t="s">
        <v>71</v>
      </c>
      <c r="W24" s="404">
        <f>IFERROR(W22/H22,"0")+IFERROR(W23/H23,"0")</f>
        <v>0</v>
      </c>
      <c r="X24" s="404">
        <f>IFERROR(X22/H22,"0")+IFERROR(X23/H23,"0")</f>
        <v>0</v>
      </c>
      <c r="Y24" s="404">
        <f>IFERROR(IF(Y22="",0,Y22),"0")+IFERROR(IF(Y23="",0,Y23),"0")</f>
        <v>0</v>
      </c>
      <c r="Z24" s="405"/>
      <c r="AA24" s="405"/>
    </row>
    <row r="25" spans="1:67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5"/>
      <c r="O25" s="432" t="s">
        <v>70</v>
      </c>
      <c r="P25" s="433"/>
      <c r="Q25" s="433"/>
      <c r="R25" s="433"/>
      <c r="S25" s="433"/>
      <c r="T25" s="433"/>
      <c r="U25" s="434"/>
      <c r="V25" s="37" t="s">
        <v>66</v>
      </c>
      <c r="W25" s="404">
        <f>IFERROR(SUM(W22:W23),"0")</f>
        <v>0</v>
      </c>
      <c r="X25" s="404">
        <f>IFERROR(SUM(X22:X23),"0")</f>
        <v>0</v>
      </c>
      <c r="Y25" s="37"/>
      <c r="Z25" s="405"/>
      <c r="AA25" s="405"/>
    </row>
    <row r="26" spans="1:67" ht="14.25" customHeight="1" x14ac:dyDescent="0.25">
      <c r="A26" s="411" t="s">
        <v>72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395"/>
      <c r="AA26" s="395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6">
        <v>4607091383881</v>
      </c>
      <c r="E27" s="407"/>
      <c r="F27" s="401">
        <v>0.33</v>
      </c>
      <c r="G27" s="32">
        <v>6</v>
      </c>
      <c r="H27" s="401">
        <v>1.98</v>
      </c>
      <c r="I27" s="40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9"/>
      <c r="Q27" s="409"/>
      <c r="R27" s="409"/>
      <c r="S27" s="407"/>
      <c r="T27" s="34"/>
      <c r="U27" s="34"/>
      <c r="V27" s="35" t="s">
        <v>66</v>
      </c>
      <c r="W27" s="402">
        <v>0</v>
      </c>
      <c r="X27" s="40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6">
        <v>4607091388237</v>
      </c>
      <c r="E28" s="407"/>
      <c r="F28" s="401">
        <v>0.42</v>
      </c>
      <c r="G28" s="32">
        <v>6</v>
      </c>
      <c r="H28" s="401">
        <v>2.52</v>
      </c>
      <c r="I28" s="40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9"/>
      <c r="Q28" s="409"/>
      <c r="R28" s="409"/>
      <c r="S28" s="407"/>
      <c r="T28" s="34"/>
      <c r="U28" s="34"/>
      <c r="V28" s="35" t="s">
        <v>66</v>
      </c>
      <c r="W28" s="402">
        <v>0</v>
      </c>
      <c r="X28" s="40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406">
        <v>4607091383935</v>
      </c>
      <c r="E29" s="407"/>
      <c r="F29" s="401">
        <v>0.33</v>
      </c>
      <c r="G29" s="32">
        <v>6</v>
      </c>
      <c r="H29" s="401">
        <v>1.98</v>
      </c>
      <c r="I29" s="401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9"/>
      <c r="Q29" s="409"/>
      <c r="R29" s="409"/>
      <c r="S29" s="407"/>
      <c r="T29" s="34"/>
      <c r="U29" s="34"/>
      <c r="V29" s="35" t="s">
        <v>66</v>
      </c>
      <c r="W29" s="402">
        <v>0</v>
      </c>
      <c r="X29" s="40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406">
        <v>4607091383935</v>
      </c>
      <c r="E30" s="407"/>
      <c r="F30" s="401">
        <v>0.33</v>
      </c>
      <c r="G30" s="32">
        <v>6</v>
      </c>
      <c r="H30" s="401">
        <v>1.98</v>
      </c>
      <c r="I30" s="401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9"/>
      <c r="Q30" s="409"/>
      <c r="R30" s="409"/>
      <c r="S30" s="407"/>
      <c r="T30" s="34"/>
      <c r="U30" s="34"/>
      <c r="V30" s="35" t="s">
        <v>66</v>
      </c>
      <c r="W30" s="402">
        <v>0</v>
      </c>
      <c r="X30" s="40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6">
        <v>4680115881990</v>
      </c>
      <c r="E31" s="407"/>
      <c r="F31" s="401">
        <v>0.42</v>
      </c>
      <c r="G31" s="32">
        <v>6</v>
      </c>
      <c r="H31" s="401">
        <v>2.52</v>
      </c>
      <c r="I31" s="40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6" t="s">
        <v>82</v>
      </c>
      <c r="P31" s="409"/>
      <c r="Q31" s="409"/>
      <c r="R31" s="409"/>
      <c r="S31" s="407"/>
      <c r="T31" s="34" t="s">
        <v>83</v>
      </c>
      <c r="U31" s="34"/>
      <c r="V31" s="35" t="s">
        <v>66</v>
      </c>
      <c r="W31" s="402">
        <v>0</v>
      </c>
      <c r="X31" s="40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4301051426</v>
      </c>
      <c r="D32" s="406">
        <v>4680115881853</v>
      </c>
      <c r="E32" s="407"/>
      <c r="F32" s="401">
        <v>0.33</v>
      </c>
      <c r="G32" s="32">
        <v>6</v>
      </c>
      <c r="H32" s="401">
        <v>1.98</v>
      </c>
      <c r="I32" s="401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2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09"/>
      <c r="Q32" s="409"/>
      <c r="R32" s="409"/>
      <c r="S32" s="407"/>
      <c r="T32" s="34"/>
      <c r="U32" s="34"/>
      <c r="V32" s="35" t="s">
        <v>66</v>
      </c>
      <c r="W32" s="402">
        <v>0</v>
      </c>
      <c r="X32" s="40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86</v>
      </c>
      <c r="C33" s="31">
        <v>4301051786</v>
      </c>
      <c r="D33" s="406">
        <v>4680115881853</v>
      </c>
      <c r="E33" s="407"/>
      <c r="F33" s="401">
        <v>0.33</v>
      </c>
      <c r="G33" s="32">
        <v>6</v>
      </c>
      <c r="H33" s="401">
        <v>1.98</v>
      </c>
      <c r="I33" s="401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9" t="s">
        <v>87</v>
      </c>
      <c r="P33" s="409"/>
      <c r="Q33" s="409"/>
      <c r="R33" s="409"/>
      <c r="S33" s="407"/>
      <c r="T33" s="34" t="s">
        <v>83</v>
      </c>
      <c r="U33" s="34"/>
      <c r="V33" s="35" t="s">
        <v>66</v>
      </c>
      <c r="W33" s="402">
        <v>0</v>
      </c>
      <c r="X33" s="40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88</v>
      </c>
      <c r="B34" s="54" t="s">
        <v>89</v>
      </c>
      <c r="C34" s="31">
        <v>4301051593</v>
      </c>
      <c r="D34" s="406">
        <v>4607091383911</v>
      </c>
      <c r="E34" s="407"/>
      <c r="F34" s="401">
        <v>0.33</v>
      </c>
      <c r="G34" s="32">
        <v>6</v>
      </c>
      <c r="H34" s="401">
        <v>1.98</v>
      </c>
      <c r="I34" s="40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09"/>
      <c r="Q34" s="409"/>
      <c r="R34" s="409"/>
      <c r="S34" s="407"/>
      <c r="T34" s="34"/>
      <c r="U34" s="34"/>
      <c r="V34" s="35" t="s">
        <v>66</v>
      </c>
      <c r="W34" s="402">
        <v>0</v>
      </c>
      <c r="X34" s="40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90</v>
      </c>
      <c r="B35" s="54" t="s">
        <v>91</v>
      </c>
      <c r="C35" s="31">
        <v>4301051592</v>
      </c>
      <c r="D35" s="406">
        <v>4607091388244</v>
      </c>
      <c r="E35" s="407"/>
      <c r="F35" s="401">
        <v>0.42</v>
      </c>
      <c r="G35" s="32">
        <v>6</v>
      </c>
      <c r="H35" s="401">
        <v>2.52</v>
      </c>
      <c r="I35" s="40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1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09"/>
      <c r="Q35" s="409"/>
      <c r="R35" s="409"/>
      <c r="S35" s="407"/>
      <c r="T35" s="34"/>
      <c r="U35" s="34"/>
      <c r="V35" s="35" t="s">
        <v>66</v>
      </c>
      <c r="W35" s="402">
        <v>0</v>
      </c>
      <c r="X35" s="40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4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5"/>
      <c r="O36" s="432" t="s">
        <v>70</v>
      </c>
      <c r="P36" s="433"/>
      <c r="Q36" s="433"/>
      <c r="R36" s="433"/>
      <c r="S36" s="433"/>
      <c r="T36" s="433"/>
      <c r="U36" s="434"/>
      <c r="V36" s="37" t="s">
        <v>71</v>
      </c>
      <c r="W36" s="404">
        <f>IFERROR(W27/H27,"0")+IFERROR(W28/H28,"0")+IFERROR(W29/H29,"0")+IFERROR(W30/H30,"0")+IFERROR(W31/H31,"0")+IFERROR(W32/H32,"0")+IFERROR(W33/H33,"0")+IFERROR(W34/H34,"0")+IFERROR(W35/H35,"0")</f>
        <v>0</v>
      </c>
      <c r="X36" s="404">
        <f>IFERROR(X27/H27,"0")+IFERROR(X28/H28,"0")+IFERROR(X29/H29,"0")+IFERROR(X30/H30,"0")+IFERROR(X31/H31,"0")+IFERROR(X32/H32,"0")+IFERROR(X33/H33,"0")+IFERROR(X34/H34,"0")+IFERROR(X35/H35,"0")</f>
        <v>0</v>
      </c>
      <c r="Y36" s="40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5"/>
      <c r="AA36" s="405"/>
    </row>
    <row r="37" spans="1:67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5"/>
      <c r="O37" s="432" t="s">
        <v>70</v>
      </c>
      <c r="P37" s="433"/>
      <c r="Q37" s="433"/>
      <c r="R37" s="433"/>
      <c r="S37" s="433"/>
      <c r="T37" s="433"/>
      <c r="U37" s="434"/>
      <c r="V37" s="37" t="s">
        <v>66</v>
      </c>
      <c r="W37" s="404">
        <f>IFERROR(SUM(W27:W35),"0")</f>
        <v>0</v>
      </c>
      <c r="X37" s="404">
        <f>IFERROR(SUM(X27:X35),"0")</f>
        <v>0</v>
      </c>
      <c r="Y37" s="37"/>
      <c r="Z37" s="405"/>
      <c r="AA37" s="405"/>
    </row>
    <row r="38" spans="1:67" ht="14.25" customHeight="1" x14ac:dyDescent="0.25">
      <c r="A38" s="411" t="s">
        <v>92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395"/>
      <c r="AA38" s="395"/>
    </row>
    <row r="39" spans="1:67" ht="27" customHeight="1" x14ac:dyDescent="0.25">
      <c r="A39" s="54" t="s">
        <v>93</v>
      </c>
      <c r="B39" s="54" t="s">
        <v>94</v>
      </c>
      <c r="C39" s="31">
        <v>4301032013</v>
      </c>
      <c r="D39" s="406">
        <v>4607091388503</v>
      </c>
      <c r="E39" s="407"/>
      <c r="F39" s="401">
        <v>0.05</v>
      </c>
      <c r="G39" s="32">
        <v>12</v>
      </c>
      <c r="H39" s="401">
        <v>0.6</v>
      </c>
      <c r="I39" s="401">
        <v>0.84199999999999997</v>
      </c>
      <c r="J39" s="32">
        <v>156</v>
      </c>
      <c r="K39" s="32" t="s">
        <v>64</v>
      </c>
      <c r="L39" s="33" t="s">
        <v>95</v>
      </c>
      <c r="M39" s="33"/>
      <c r="N39" s="32">
        <v>120</v>
      </c>
      <c r="O39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09"/>
      <c r="Q39" s="409"/>
      <c r="R39" s="409"/>
      <c r="S39" s="407"/>
      <c r="T39" s="34"/>
      <c r="U39" s="34"/>
      <c r="V39" s="35" t="s">
        <v>66</v>
      </c>
      <c r="W39" s="402">
        <v>0</v>
      </c>
      <c r="X39" s="40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96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4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5"/>
      <c r="O40" s="432" t="s">
        <v>70</v>
      </c>
      <c r="P40" s="433"/>
      <c r="Q40" s="433"/>
      <c r="R40" s="433"/>
      <c r="S40" s="433"/>
      <c r="T40" s="433"/>
      <c r="U40" s="434"/>
      <c r="V40" s="37" t="s">
        <v>71</v>
      </c>
      <c r="W40" s="404">
        <f>IFERROR(W39/H39,"0")</f>
        <v>0</v>
      </c>
      <c r="X40" s="404">
        <f>IFERROR(X39/H39,"0")</f>
        <v>0</v>
      </c>
      <c r="Y40" s="404">
        <f>IFERROR(IF(Y39="",0,Y39),"0")</f>
        <v>0</v>
      </c>
      <c r="Z40" s="405"/>
      <c r="AA40" s="405"/>
    </row>
    <row r="41" spans="1:67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5"/>
      <c r="O41" s="432" t="s">
        <v>70</v>
      </c>
      <c r="P41" s="433"/>
      <c r="Q41" s="433"/>
      <c r="R41" s="433"/>
      <c r="S41" s="433"/>
      <c r="T41" s="433"/>
      <c r="U41" s="434"/>
      <c r="V41" s="37" t="s">
        <v>66</v>
      </c>
      <c r="W41" s="404">
        <f>IFERROR(SUM(W39:W39),"0")</f>
        <v>0</v>
      </c>
      <c r="X41" s="404">
        <f>IFERROR(SUM(X39:X39),"0")</f>
        <v>0</v>
      </c>
      <c r="Y41" s="37"/>
      <c r="Z41" s="405"/>
      <c r="AA41" s="405"/>
    </row>
    <row r="42" spans="1:67" ht="14.25" customHeight="1" x14ac:dyDescent="0.25">
      <c r="A42" s="411" t="s">
        <v>97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395"/>
      <c r="AA42" s="395"/>
    </row>
    <row r="43" spans="1:67" ht="80.25" customHeight="1" x14ac:dyDescent="0.25">
      <c r="A43" s="54" t="s">
        <v>98</v>
      </c>
      <c r="B43" s="54" t="s">
        <v>99</v>
      </c>
      <c r="C43" s="31">
        <v>4301160001</v>
      </c>
      <c r="D43" s="406">
        <v>4607091388282</v>
      </c>
      <c r="E43" s="407"/>
      <c r="F43" s="401">
        <v>0.3</v>
      </c>
      <c r="G43" s="32">
        <v>6</v>
      </c>
      <c r="H43" s="401">
        <v>1.8</v>
      </c>
      <c r="I43" s="401">
        <v>2.0840000000000001</v>
      </c>
      <c r="J43" s="32">
        <v>156</v>
      </c>
      <c r="K43" s="32" t="s">
        <v>64</v>
      </c>
      <c r="L43" s="33" t="s">
        <v>95</v>
      </c>
      <c r="M43" s="33"/>
      <c r="N43" s="32">
        <v>30</v>
      </c>
      <c r="O43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09"/>
      <c r="Q43" s="409"/>
      <c r="R43" s="409"/>
      <c r="S43" s="407"/>
      <c r="T43" s="34"/>
      <c r="U43" s="34"/>
      <c r="V43" s="35" t="s">
        <v>66</v>
      </c>
      <c r="W43" s="402">
        <v>0</v>
      </c>
      <c r="X43" s="403">
        <f>IFERROR(IF(W43="",0,CEILING((W43/$H43),1)*$H43),"")</f>
        <v>0</v>
      </c>
      <c r="Y43" s="36" t="str">
        <f>IFERROR(IF(X43=0,"",ROUNDUP(X43/H43,0)*0.00753),"")</f>
        <v/>
      </c>
      <c r="Z43" s="56" t="s">
        <v>100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4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5"/>
      <c r="O44" s="432" t="s">
        <v>70</v>
      </c>
      <c r="P44" s="433"/>
      <c r="Q44" s="433"/>
      <c r="R44" s="433"/>
      <c r="S44" s="433"/>
      <c r="T44" s="433"/>
      <c r="U44" s="434"/>
      <c r="V44" s="37" t="s">
        <v>71</v>
      </c>
      <c r="W44" s="404">
        <f>IFERROR(W43/H43,"0")</f>
        <v>0</v>
      </c>
      <c r="X44" s="404">
        <f>IFERROR(X43/H43,"0")</f>
        <v>0</v>
      </c>
      <c r="Y44" s="404">
        <f>IFERROR(IF(Y43="",0,Y43),"0")</f>
        <v>0</v>
      </c>
      <c r="Z44" s="405"/>
      <c r="AA44" s="405"/>
    </row>
    <row r="45" spans="1:67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5"/>
      <c r="O45" s="432" t="s">
        <v>70</v>
      </c>
      <c r="P45" s="433"/>
      <c r="Q45" s="433"/>
      <c r="R45" s="433"/>
      <c r="S45" s="433"/>
      <c r="T45" s="433"/>
      <c r="U45" s="434"/>
      <c r="V45" s="37" t="s">
        <v>66</v>
      </c>
      <c r="W45" s="404">
        <f>IFERROR(SUM(W43:W43),"0")</f>
        <v>0</v>
      </c>
      <c r="X45" s="404">
        <f>IFERROR(SUM(X43:X43),"0")</f>
        <v>0</v>
      </c>
      <c r="Y45" s="37"/>
      <c r="Z45" s="405"/>
      <c r="AA45" s="405"/>
    </row>
    <row r="46" spans="1:67" ht="14.25" customHeight="1" x14ac:dyDescent="0.25">
      <c r="A46" s="411" t="s">
        <v>101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395"/>
      <c r="AA46" s="395"/>
    </row>
    <row r="47" spans="1:67" ht="27" customHeight="1" x14ac:dyDescent="0.25">
      <c r="A47" s="54" t="s">
        <v>102</v>
      </c>
      <c r="B47" s="54" t="s">
        <v>103</v>
      </c>
      <c r="C47" s="31">
        <v>4301170002</v>
      </c>
      <c r="D47" s="406">
        <v>4607091389111</v>
      </c>
      <c r="E47" s="407"/>
      <c r="F47" s="401">
        <v>2.5000000000000001E-2</v>
      </c>
      <c r="G47" s="32">
        <v>10</v>
      </c>
      <c r="H47" s="401">
        <v>0.25</v>
      </c>
      <c r="I47" s="401">
        <v>0.49199999999999999</v>
      </c>
      <c r="J47" s="32">
        <v>156</v>
      </c>
      <c r="K47" s="32" t="s">
        <v>64</v>
      </c>
      <c r="L47" s="33" t="s">
        <v>95</v>
      </c>
      <c r="M47" s="33"/>
      <c r="N47" s="32">
        <v>120</v>
      </c>
      <c r="O47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09"/>
      <c r="Q47" s="409"/>
      <c r="R47" s="409"/>
      <c r="S47" s="407"/>
      <c r="T47" s="34"/>
      <c r="U47" s="34"/>
      <c r="V47" s="35" t="s">
        <v>66</v>
      </c>
      <c r="W47" s="402">
        <v>0</v>
      </c>
      <c r="X47" s="40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96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4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5"/>
      <c r="O48" s="432" t="s">
        <v>70</v>
      </c>
      <c r="P48" s="433"/>
      <c r="Q48" s="433"/>
      <c r="R48" s="433"/>
      <c r="S48" s="433"/>
      <c r="T48" s="433"/>
      <c r="U48" s="434"/>
      <c r="V48" s="37" t="s">
        <v>71</v>
      </c>
      <c r="W48" s="404">
        <f>IFERROR(W47/H47,"0")</f>
        <v>0</v>
      </c>
      <c r="X48" s="404">
        <f>IFERROR(X47/H47,"0")</f>
        <v>0</v>
      </c>
      <c r="Y48" s="404">
        <f>IFERROR(IF(Y47="",0,Y47),"0")</f>
        <v>0</v>
      </c>
      <c r="Z48" s="405"/>
      <c r="AA48" s="405"/>
    </row>
    <row r="49" spans="1:67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5"/>
      <c r="O49" s="432" t="s">
        <v>70</v>
      </c>
      <c r="P49" s="433"/>
      <c r="Q49" s="433"/>
      <c r="R49" s="433"/>
      <c r="S49" s="433"/>
      <c r="T49" s="433"/>
      <c r="U49" s="434"/>
      <c r="V49" s="37" t="s">
        <v>66</v>
      </c>
      <c r="W49" s="404">
        <f>IFERROR(SUM(W47:W47),"0")</f>
        <v>0</v>
      </c>
      <c r="X49" s="404">
        <f>IFERROR(SUM(X47:X47),"0")</f>
        <v>0</v>
      </c>
      <c r="Y49" s="37"/>
      <c r="Z49" s="405"/>
      <c r="AA49" s="405"/>
    </row>
    <row r="50" spans="1:67" ht="27.75" customHeight="1" x14ac:dyDescent="0.2">
      <c r="A50" s="453" t="s">
        <v>104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8"/>
      <c r="AA50" s="48"/>
    </row>
    <row r="51" spans="1:67" ht="16.5" customHeight="1" x14ac:dyDescent="0.25">
      <c r="A51" s="421" t="s">
        <v>105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396"/>
      <c r="AA51" s="396"/>
    </row>
    <row r="52" spans="1:67" ht="14.25" customHeight="1" x14ac:dyDescent="0.25">
      <c r="A52" s="411" t="s">
        <v>106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395"/>
      <c r="AA52" s="395"/>
    </row>
    <row r="53" spans="1:67" ht="27" customHeight="1" x14ac:dyDescent="0.25">
      <c r="A53" s="54" t="s">
        <v>107</v>
      </c>
      <c r="B53" s="54" t="s">
        <v>108</v>
      </c>
      <c r="C53" s="31">
        <v>4301020234</v>
      </c>
      <c r="D53" s="406">
        <v>4680115881440</v>
      </c>
      <c r="E53" s="407"/>
      <c r="F53" s="401">
        <v>1.35</v>
      </c>
      <c r="G53" s="32">
        <v>8</v>
      </c>
      <c r="H53" s="401">
        <v>10.8</v>
      </c>
      <c r="I53" s="401">
        <v>11.28</v>
      </c>
      <c r="J53" s="32">
        <v>56</v>
      </c>
      <c r="K53" s="32" t="s">
        <v>109</v>
      </c>
      <c r="L53" s="33" t="s">
        <v>110</v>
      </c>
      <c r="M53" s="33"/>
      <c r="N53" s="32">
        <v>50</v>
      </c>
      <c r="O53" s="5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09"/>
      <c r="Q53" s="409"/>
      <c r="R53" s="409"/>
      <c r="S53" s="407"/>
      <c r="T53" s="34"/>
      <c r="U53" s="34"/>
      <c r="V53" s="35" t="s">
        <v>66</v>
      </c>
      <c r="W53" s="402">
        <v>69</v>
      </c>
      <c r="X53" s="403">
        <f>IFERROR(IF(W53="",0,CEILING((W53/$H53),1)*$H53),"")</f>
        <v>75.600000000000009</v>
      </c>
      <c r="Y53" s="36">
        <f>IFERROR(IF(X53=0,"",ROUNDUP(X53/H53,0)*0.02175),"")</f>
        <v>0.15225</v>
      </c>
      <c r="Z53" s="56"/>
      <c r="AA53" s="57"/>
      <c r="AE53" s="64"/>
      <c r="BB53" s="79" t="s">
        <v>1</v>
      </c>
      <c r="BL53" s="64">
        <f>IFERROR(W53*I53/H53,"0")</f>
        <v>72.066666666666663</v>
      </c>
      <c r="BM53" s="64">
        <f>IFERROR(X53*I53/H53,"0")</f>
        <v>78.959999999999994</v>
      </c>
      <c r="BN53" s="64">
        <f>IFERROR(1/J53*(W53/H53),"0")</f>
        <v>0.11408730158730157</v>
      </c>
      <c r="BO53" s="64">
        <f>IFERROR(1/J53*(X53/H53),"0")</f>
        <v>0.125</v>
      </c>
    </row>
    <row r="54" spans="1:67" ht="27" customHeight="1" x14ac:dyDescent="0.25">
      <c r="A54" s="54" t="s">
        <v>111</v>
      </c>
      <c r="B54" s="54" t="s">
        <v>112</v>
      </c>
      <c r="C54" s="31">
        <v>4301020232</v>
      </c>
      <c r="D54" s="406">
        <v>4680115881433</v>
      </c>
      <c r="E54" s="407"/>
      <c r="F54" s="401">
        <v>0.45</v>
      </c>
      <c r="G54" s="32">
        <v>6</v>
      </c>
      <c r="H54" s="401">
        <v>2.7</v>
      </c>
      <c r="I54" s="401">
        <v>2.9</v>
      </c>
      <c r="J54" s="32">
        <v>156</v>
      </c>
      <c r="K54" s="32" t="s">
        <v>64</v>
      </c>
      <c r="L54" s="33" t="s">
        <v>110</v>
      </c>
      <c r="M54" s="33"/>
      <c r="N54" s="32">
        <v>50</v>
      </c>
      <c r="O54" s="8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09"/>
      <c r="Q54" s="409"/>
      <c r="R54" s="409"/>
      <c r="S54" s="407"/>
      <c r="T54" s="34"/>
      <c r="U54" s="34"/>
      <c r="V54" s="35" t="s">
        <v>66</v>
      </c>
      <c r="W54" s="402">
        <v>0</v>
      </c>
      <c r="X54" s="403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4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5"/>
      <c r="O55" s="432" t="s">
        <v>70</v>
      </c>
      <c r="P55" s="433"/>
      <c r="Q55" s="433"/>
      <c r="R55" s="433"/>
      <c r="S55" s="433"/>
      <c r="T55" s="433"/>
      <c r="U55" s="434"/>
      <c r="V55" s="37" t="s">
        <v>71</v>
      </c>
      <c r="W55" s="404">
        <f>IFERROR(W53/H53,"0")+IFERROR(W54/H54,"0")</f>
        <v>6.3888888888888884</v>
      </c>
      <c r="X55" s="404">
        <f>IFERROR(X53/H53,"0")+IFERROR(X54/H54,"0")</f>
        <v>7</v>
      </c>
      <c r="Y55" s="404">
        <f>IFERROR(IF(Y53="",0,Y53),"0")+IFERROR(IF(Y54="",0,Y54),"0")</f>
        <v>0.15225</v>
      </c>
      <c r="Z55" s="405"/>
      <c r="AA55" s="405"/>
    </row>
    <row r="56" spans="1:67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5"/>
      <c r="O56" s="432" t="s">
        <v>70</v>
      </c>
      <c r="P56" s="433"/>
      <c r="Q56" s="433"/>
      <c r="R56" s="433"/>
      <c r="S56" s="433"/>
      <c r="T56" s="433"/>
      <c r="U56" s="434"/>
      <c r="V56" s="37" t="s">
        <v>66</v>
      </c>
      <c r="W56" s="404">
        <f>IFERROR(SUM(W53:W54),"0")</f>
        <v>69</v>
      </c>
      <c r="X56" s="404">
        <f>IFERROR(SUM(X53:X54),"0")</f>
        <v>75.600000000000009</v>
      </c>
      <c r="Y56" s="37"/>
      <c r="Z56" s="405"/>
      <c r="AA56" s="405"/>
    </row>
    <row r="57" spans="1:67" ht="16.5" customHeight="1" x14ac:dyDescent="0.25">
      <c r="A57" s="421" t="s">
        <v>113</v>
      </c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396"/>
      <c r="AA57" s="396"/>
    </row>
    <row r="58" spans="1:67" ht="14.25" customHeight="1" x14ac:dyDescent="0.25">
      <c r="A58" s="411" t="s">
        <v>114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395"/>
      <c r="AA58" s="395"/>
    </row>
    <row r="59" spans="1:67" ht="27" customHeight="1" x14ac:dyDescent="0.25">
      <c r="A59" s="54" t="s">
        <v>115</v>
      </c>
      <c r="B59" s="54" t="s">
        <v>116</v>
      </c>
      <c r="C59" s="31">
        <v>4301011452</v>
      </c>
      <c r="D59" s="406">
        <v>4680115881426</v>
      </c>
      <c r="E59" s="407"/>
      <c r="F59" s="401">
        <v>1.35</v>
      </c>
      <c r="G59" s="32">
        <v>8</v>
      </c>
      <c r="H59" s="401">
        <v>10.8</v>
      </c>
      <c r="I59" s="401">
        <v>11.28</v>
      </c>
      <c r="J59" s="32">
        <v>56</v>
      </c>
      <c r="K59" s="32" t="s">
        <v>109</v>
      </c>
      <c r="L59" s="33" t="s">
        <v>110</v>
      </c>
      <c r="M59" s="33"/>
      <c r="N59" s="32">
        <v>50</v>
      </c>
      <c r="O59" s="67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09"/>
      <c r="Q59" s="409"/>
      <c r="R59" s="409"/>
      <c r="S59" s="407"/>
      <c r="T59" s="34"/>
      <c r="U59" s="34"/>
      <c r="V59" s="35" t="s">
        <v>66</v>
      </c>
      <c r="W59" s="402">
        <v>0</v>
      </c>
      <c r="X59" s="403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117</v>
      </c>
      <c r="C60" s="31">
        <v>4301011481</v>
      </c>
      <c r="D60" s="406">
        <v>4680115881426</v>
      </c>
      <c r="E60" s="407"/>
      <c r="F60" s="401">
        <v>1.35</v>
      </c>
      <c r="G60" s="32">
        <v>8</v>
      </c>
      <c r="H60" s="401">
        <v>10.8</v>
      </c>
      <c r="I60" s="401">
        <v>11.28</v>
      </c>
      <c r="J60" s="32">
        <v>48</v>
      </c>
      <c r="K60" s="32" t="s">
        <v>109</v>
      </c>
      <c r="L60" s="33" t="s">
        <v>118</v>
      </c>
      <c r="M60" s="33"/>
      <c r="N60" s="32">
        <v>55</v>
      </c>
      <c r="O60" s="82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09"/>
      <c r="Q60" s="409"/>
      <c r="R60" s="409"/>
      <c r="S60" s="407"/>
      <c r="T60" s="34"/>
      <c r="U60" s="34"/>
      <c r="V60" s="35" t="s">
        <v>66</v>
      </c>
      <c r="W60" s="402">
        <v>0</v>
      </c>
      <c r="X60" s="40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119</v>
      </c>
      <c r="B61" s="54" t="s">
        <v>120</v>
      </c>
      <c r="C61" s="31">
        <v>4301011437</v>
      </c>
      <c r="D61" s="406">
        <v>4680115881419</v>
      </c>
      <c r="E61" s="407"/>
      <c r="F61" s="401">
        <v>0.45</v>
      </c>
      <c r="G61" s="32">
        <v>10</v>
      </c>
      <c r="H61" s="401">
        <v>4.5</v>
      </c>
      <c r="I61" s="401">
        <v>4.74</v>
      </c>
      <c r="J61" s="32">
        <v>120</v>
      </c>
      <c r="K61" s="32" t="s">
        <v>64</v>
      </c>
      <c r="L61" s="33" t="s">
        <v>110</v>
      </c>
      <c r="M61" s="33"/>
      <c r="N61" s="32">
        <v>50</v>
      </c>
      <c r="O61" s="6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09"/>
      <c r="Q61" s="409"/>
      <c r="R61" s="409"/>
      <c r="S61" s="407"/>
      <c r="T61" s="34"/>
      <c r="U61" s="34"/>
      <c r="V61" s="35" t="s">
        <v>66</v>
      </c>
      <c r="W61" s="402">
        <v>0</v>
      </c>
      <c r="X61" s="403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121</v>
      </c>
      <c r="B62" s="54" t="s">
        <v>122</v>
      </c>
      <c r="C62" s="31">
        <v>4301011458</v>
      </c>
      <c r="D62" s="406">
        <v>4680115881525</v>
      </c>
      <c r="E62" s="407"/>
      <c r="F62" s="401">
        <v>0.4</v>
      </c>
      <c r="G62" s="32">
        <v>10</v>
      </c>
      <c r="H62" s="401">
        <v>4</v>
      </c>
      <c r="I62" s="401">
        <v>4.24</v>
      </c>
      <c r="J62" s="32">
        <v>120</v>
      </c>
      <c r="K62" s="32" t="s">
        <v>64</v>
      </c>
      <c r="L62" s="33" t="s">
        <v>110</v>
      </c>
      <c r="M62" s="33"/>
      <c r="N62" s="32">
        <v>50</v>
      </c>
      <c r="O62" s="449" t="s">
        <v>123</v>
      </c>
      <c r="P62" s="409"/>
      <c r="Q62" s="409"/>
      <c r="R62" s="409"/>
      <c r="S62" s="407"/>
      <c r="T62" s="34"/>
      <c r="U62" s="34"/>
      <c r="V62" s="35" t="s">
        <v>66</v>
      </c>
      <c r="W62" s="402">
        <v>0</v>
      </c>
      <c r="X62" s="40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4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15"/>
      <c r="O63" s="432" t="s">
        <v>70</v>
      </c>
      <c r="P63" s="433"/>
      <c r="Q63" s="433"/>
      <c r="R63" s="433"/>
      <c r="S63" s="433"/>
      <c r="T63" s="433"/>
      <c r="U63" s="434"/>
      <c r="V63" s="37" t="s">
        <v>71</v>
      </c>
      <c r="W63" s="404">
        <f>IFERROR(W59/H59,"0")+IFERROR(W60/H60,"0")+IFERROR(W61/H61,"0")+IFERROR(W62/H62,"0")</f>
        <v>0</v>
      </c>
      <c r="X63" s="404">
        <f>IFERROR(X59/H59,"0")+IFERROR(X60/H60,"0")+IFERROR(X61/H61,"0")+IFERROR(X62/H62,"0")</f>
        <v>0</v>
      </c>
      <c r="Y63" s="404">
        <f>IFERROR(IF(Y59="",0,Y59),"0")+IFERROR(IF(Y60="",0,Y60),"0")+IFERROR(IF(Y61="",0,Y61),"0")+IFERROR(IF(Y62="",0,Y62),"0")</f>
        <v>0</v>
      </c>
      <c r="Z63" s="405"/>
      <c r="AA63" s="405"/>
    </row>
    <row r="64" spans="1:67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5"/>
      <c r="O64" s="432" t="s">
        <v>70</v>
      </c>
      <c r="P64" s="433"/>
      <c r="Q64" s="433"/>
      <c r="R64" s="433"/>
      <c r="S64" s="433"/>
      <c r="T64" s="433"/>
      <c r="U64" s="434"/>
      <c r="V64" s="37" t="s">
        <v>66</v>
      </c>
      <c r="W64" s="404">
        <f>IFERROR(SUM(W59:W62),"0")</f>
        <v>0</v>
      </c>
      <c r="X64" s="404">
        <f>IFERROR(SUM(X59:X62),"0")</f>
        <v>0</v>
      </c>
      <c r="Y64" s="37"/>
      <c r="Z64" s="405"/>
      <c r="AA64" s="405"/>
    </row>
    <row r="65" spans="1:67" ht="16.5" customHeight="1" x14ac:dyDescent="0.25">
      <c r="A65" s="421" t="s">
        <v>104</v>
      </c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396"/>
      <c r="AA65" s="396"/>
    </row>
    <row r="66" spans="1:67" ht="14.25" customHeight="1" x14ac:dyDescent="0.25">
      <c r="A66" s="411" t="s">
        <v>114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395"/>
      <c r="AA66" s="395"/>
    </row>
    <row r="67" spans="1:67" ht="27" customHeight="1" x14ac:dyDescent="0.25">
      <c r="A67" s="54" t="s">
        <v>124</v>
      </c>
      <c r="B67" s="54" t="s">
        <v>125</v>
      </c>
      <c r="C67" s="31">
        <v>4301011623</v>
      </c>
      <c r="D67" s="406">
        <v>4607091382945</v>
      </c>
      <c r="E67" s="407"/>
      <c r="F67" s="401">
        <v>1.4</v>
      </c>
      <c r="G67" s="32">
        <v>8</v>
      </c>
      <c r="H67" s="401">
        <v>11.2</v>
      </c>
      <c r="I67" s="401">
        <v>11.68</v>
      </c>
      <c r="J67" s="32">
        <v>56</v>
      </c>
      <c r="K67" s="32" t="s">
        <v>109</v>
      </c>
      <c r="L67" s="33" t="s">
        <v>110</v>
      </c>
      <c r="M67" s="33"/>
      <c r="N67" s="32">
        <v>50</v>
      </c>
      <c r="O67" s="7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09"/>
      <c r="Q67" s="409"/>
      <c r="R67" s="409"/>
      <c r="S67" s="407"/>
      <c r="T67" s="34"/>
      <c r="U67" s="34"/>
      <c r="V67" s="35" t="s">
        <v>66</v>
      </c>
      <c r="W67" s="402">
        <v>0</v>
      </c>
      <c r="X67" s="403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4301011380</v>
      </c>
      <c r="D68" s="406">
        <v>4607091385670</v>
      </c>
      <c r="E68" s="407"/>
      <c r="F68" s="401">
        <v>1.35</v>
      </c>
      <c r="G68" s="32">
        <v>8</v>
      </c>
      <c r="H68" s="401">
        <v>10.8</v>
      </c>
      <c r="I68" s="401">
        <v>11.28</v>
      </c>
      <c r="J68" s="32">
        <v>56</v>
      </c>
      <c r="K68" s="32" t="s">
        <v>109</v>
      </c>
      <c r="L68" s="33" t="s">
        <v>110</v>
      </c>
      <c r="M68" s="33"/>
      <c r="N68" s="32">
        <v>50</v>
      </c>
      <c r="O68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09"/>
      <c r="Q68" s="409"/>
      <c r="R68" s="409"/>
      <c r="S68" s="407"/>
      <c r="T68" s="34"/>
      <c r="U68" s="34"/>
      <c r="V68" s="35" t="s">
        <v>66</v>
      </c>
      <c r="W68" s="402">
        <v>95</v>
      </c>
      <c r="X68" s="403">
        <f t="shared" si="6"/>
        <v>97.2</v>
      </c>
      <c r="Y68" s="36">
        <f t="shared" si="7"/>
        <v>0.19574999999999998</v>
      </c>
      <c r="Z68" s="56"/>
      <c r="AA68" s="57"/>
      <c r="AE68" s="64"/>
      <c r="BB68" s="86" t="s">
        <v>1</v>
      </c>
      <c r="BL68" s="64">
        <f t="shared" si="8"/>
        <v>99.222222222222214</v>
      </c>
      <c r="BM68" s="64">
        <f t="shared" si="9"/>
        <v>101.51999999999998</v>
      </c>
      <c r="BN68" s="64">
        <f t="shared" si="10"/>
        <v>0.15707671957671956</v>
      </c>
      <c r="BO68" s="64">
        <f t="shared" si="11"/>
        <v>0.1607142857142857</v>
      </c>
    </row>
    <row r="69" spans="1:67" ht="27" customHeight="1" x14ac:dyDescent="0.25">
      <c r="A69" s="54" t="s">
        <v>126</v>
      </c>
      <c r="B69" s="54" t="s">
        <v>128</v>
      </c>
      <c r="C69" s="31">
        <v>4301011540</v>
      </c>
      <c r="D69" s="406">
        <v>4607091385670</v>
      </c>
      <c r="E69" s="407"/>
      <c r="F69" s="401">
        <v>1.4</v>
      </c>
      <c r="G69" s="32">
        <v>8</v>
      </c>
      <c r="H69" s="401">
        <v>11.2</v>
      </c>
      <c r="I69" s="401">
        <v>11.68</v>
      </c>
      <c r="J69" s="32">
        <v>56</v>
      </c>
      <c r="K69" s="32" t="s">
        <v>109</v>
      </c>
      <c r="L69" s="33" t="s">
        <v>129</v>
      </c>
      <c r="M69" s="33"/>
      <c r="N69" s="32">
        <v>50</v>
      </c>
      <c r="O69" s="7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09"/>
      <c r="Q69" s="409"/>
      <c r="R69" s="409"/>
      <c r="S69" s="407"/>
      <c r="T69" s="34"/>
      <c r="U69" s="34"/>
      <c r="V69" s="35" t="s">
        <v>66</v>
      </c>
      <c r="W69" s="402">
        <v>0</v>
      </c>
      <c r="X69" s="403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130</v>
      </c>
      <c r="B70" s="54" t="s">
        <v>131</v>
      </c>
      <c r="C70" s="31">
        <v>4301011625</v>
      </c>
      <c r="D70" s="406">
        <v>4680115883956</v>
      </c>
      <c r="E70" s="407"/>
      <c r="F70" s="401">
        <v>1.4</v>
      </c>
      <c r="G70" s="32">
        <v>8</v>
      </c>
      <c r="H70" s="401">
        <v>11.2</v>
      </c>
      <c r="I70" s="401">
        <v>11.68</v>
      </c>
      <c r="J70" s="32">
        <v>56</v>
      </c>
      <c r="K70" s="32" t="s">
        <v>109</v>
      </c>
      <c r="L70" s="33" t="s">
        <v>110</v>
      </c>
      <c r="M70" s="33"/>
      <c r="N70" s="32">
        <v>50</v>
      </c>
      <c r="O70" s="7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09"/>
      <c r="Q70" s="409"/>
      <c r="R70" s="409"/>
      <c r="S70" s="407"/>
      <c r="T70" s="34"/>
      <c r="U70" s="34"/>
      <c r="V70" s="35" t="s">
        <v>66</v>
      </c>
      <c r="W70" s="402">
        <v>0</v>
      </c>
      <c r="X70" s="40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132</v>
      </c>
      <c r="B71" s="54" t="s">
        <v>133</v>
      </c>
      <c r="C71" s="31">
        <v>4301011468</v>
      </c>
      <c r="D71" s="406">
        <v>4680115881327</v>
      </c>
      <c r="E71" s="407"/>
      <c r="F71" s="401">
        <v>1.35</v>
      </c>
      <c r="G71" s="32">
        <v>8</v>
      </c>
      <c r="H71" s="401">
        <v>10.8</v>
      </c>
      <c r="I71" s="401">
        <v>11.28</v>
      </c>
      <c r="J71" s="32">
        <v>56</v>
      </c>
      <c r="K71" s="32" t="s">
        <v>109</v>
      </c>
      <c r="L71" s="33" t="s">
        <v>134</v>
      </c>
      <c r="M71" s="33"/>
      <c r="N71" s="32">
        <v>50</v>
      </c>
      <c r="O71" s="53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09"/>
      <c r="Q71" s="409"/>
      <c r="R71" s="409"/>
      <c r="S71" s="407"/>
      <c r="T71" s="34"/>
      <c r="U71" s="34"/>
      <c r="V71" s="35" t="s">
        <v>66</v>
      </c>
      <c r="W71" s="402">
        <v>53</v>
      </c>
      <c r="X71" s="403">
        <f t="shared" si="6"/>
        <v>54</v>
      </c>
      <c r="Y71" s="36">
        <f t="shared" si="7"/>
        <v>0.10874999999999999</v>
      </c>
      <c r="Z71" s="56"/>
      <c r="AA71" s="57"/>
      <c r="AE71" s="64"/>
      <c r="BB71" s="89" t="s">
        <v>1</v>
      </c>
      <c r="BL71" s="64">
        <f t="shared" si="8"/>
        <v>55.355555555555547</v>
      </c>
      <c r="BM71" s="64">
        <f t="shared" si="9"/>
        <v>56.4</v>
      </c>
      <c r="BN71" s="64">
        <f t="shared" si="10"/>
        <v>8.7632275132275131E-2</v>
      </c>
      <c r="BO71" s="64">
        <f t="shared" si="11"/>
        <v>8.9285714285714274E-2</v>
      </c>
    </row>
    <row r="72" spans="1:67" ht="16.5" customHeight="1" x14ac:dyDescent="0.25">
      <c r="A72" s="54" t="s">
        <v>135</v>
      </c>
      <c r="B72" s="54" t="s">
        <v>136</v>
      </c>
      <c r="C72" s="31">
        <v>4301011703</v>
      </c>
      <c r="D72" s="406">
        <v>4680115882133</v>
      </c>
      <c r="E72" s="407"/>
      <c r="F72" s="401">
        <v>1.4</v>
      </c>
      <c r="G72" s="32">
        <v>8</v>
      </c>
      <c r="H72" s="401">
        <v>11.2</v>
      </c>
      <c r="I72" s="401">
        <v>11.68</v>
      </c>
      <c r="J72" s="32">
        <v>56</v>
      </c>
      <c r="K72" s="32" t="s">
        <v>109</v>
      </c>
      <c r="L72" s="33" t="s">
        <v>110</v>
      </c>
      <c r="M72" s="33"/>
      <c r="N72" s="32">
        <v>50</v>
      </c>
      <c r="O72" s="80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09"/>
      <c r="Q72" s="409"/>
      <c r="R72" s="409"/>
      <c r="S72" s="407"/>
      <c r="T72" s="34"/>
      <c r="U72" s="34"/>
      <c r="V72" s="35" t="s">
        <v>66</v>
      </c>
      <c r="W72" s="402">
        <v>119</v>
      </c>
      <c r="X72" s="403">
        <f t="shared" si="6"/>
        <v>123.19999999999999</v>
      </c>
      <c r="Y72" s="36">
        <f t="shared" si="7"/>
        <v>0.23924999999999999</v>
      </c>
      <c r="Z72" s="56"/>
      <c r="AA72" s="57"/>
      <c r="AE72" s="64"/>
      <c r="BB72" s="90" t="s">
        <v>1</v>
      </c>
      <c r="BL72" s="64">
        <f t="shared" si="8"/>
        <v>124.10000000000001</v>
      </c>
      <c r="BM72" s="64">
        <f t="shared" si="9"/>
        <v>128.47999999999999</v>
      </c>
      <c r="BN72" s="64">
        <f t="shared" si="10"/>
        <v>0.18973214285714285</v>
      </c>
      <c r="BO72" s="64">
        <f t="shared" si="11"/>
        <v>0.19642857142857142</v>
      </c>
    </row>
    <row r="73" spans="1:67" ht="16.5" customHeight="1" x14ac:dyDescent="0.25">
      <c r="A73" s="54" t="s">
        <v>135</v>
      </c>
      <c r="B73" s="54" t="s">
        <v>137</v>
      </c>
      <c r="C73" s="31">
        <v>4301011514</v>
      </c>
      <c r="D73" s="406">
        <v>4680115882133</v>
      </c>
      <c r="E73" s="407"/>
      <c r="F73" s="401">
        <v>1.35</v>
      </c>
      <c r="G73" s="32">
        <v>8</v>
      </c>
      <c r="H73" s="401">
        <v>10.8</v>
      </c>
      <c r="I73" s="401">
        <v>11.28</v>
      </c>
      <c r="J73" s="32">
        <v>56</v>
      </c>
      <c r="K73" s="32" t="s">
        <v>109</v>
      </c>
      <c r="L73" s="33" t="s">
        <v>110</v>
      </c>
      <c r="M73" s="33"/>
      <c r="N73" s="32">
        <v>50</v>
      </c>
      <c r="O73" s="53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09"/>
      <c r="Q73" s="409"/>
      <c r="R73" s="409"/>
      <c r="S73" s="407"/>
      <c r="T73" s="34"/>
      <c r="U73" s="34"/>
      <c r="V73" s="35" t="s">
        <v>66</v>
      </c>
      <c r="W73" s="402">
        <v>0</v>
      </c>
      <c r="X73" s="403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4301011192</v>
      </c>
      <c r="D74" s="406">
        <v>4607091382952</v>
      </c>
      <c r="E74" s="407"/>
      <c r="F74" s="401">
        <v>0.5</v>
      </c>
      <c r="G74" s="32">
        <v>6</v>
      </c>
      <c r="H74" s="401">
        <v>3</v>
      </c>
      <c r="I74" s="401">
        <v>3.2</v>
      </c>
      <c r="J74" s="32">
        <v>156</v>
      </c>
      <c r="K74" s="32" t="s">
        <v>64</v>
      </c>
      <c r="L74" s="33" t="s">
        <v>110</v>
      </c>
      <c r="M74" s="33"/>
      <c r="N74" s="32">
        <v>50</v>
      </c>
      <c r="O74" s="6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09"/>
      <c r="Q74" s="409"/>
      <c r="R74" s="409"/>
      <c r="S74" s="407"/>
      <c r="T74" s="34"/>
      <c r="U74" s="34"/>
      <c r="V74" s="35" t="s">
        <v>66</v>
      </c>
      <c r="W74" s="402">
        <v>0</v>
      </c>
      <c r="X74" s="403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4301011382</v>
      </c>
      <c r="D75" s="406">
        <v>4607091385687</v>
      </c>
      <c r="E75" s="407"/>
      <c r="F75" s="401">
        <v>0.4</v>
      </c>
      <c r="G75" s="32">
        <v>10</v>
      </c>
      <c r="H75" s="401">
        <v>4</v>
      </c>
      <c r="I75" s="401">
        <v>4.24</v>
      </c>
      <c r="J75" s="32">
        <v>120</v>
      </c>
      <c r="K75" s="32" t="s">
        <v>64</v>
      </c>
      <c r="L75" s="33" t="s">
        <v>129</v>
      </c>
      <c r="M75" s="33"/>
      <c r="N75" s="32">
        <v>50</v>
      </c>
      <c r="O75" s="4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09"/>
      <c r="Q75" s="409"/>
      <c r="R75" s="409"/>
      <c r="S75" s="407"/>
      <c r="T75" s="34"/>
      <c r="U75" s="34"/>
      <c r="V75" s="35" t="s">
        <v>66</v>
      </c>
      <c r="W75" s="402">
        <v>0</v>
      </c>
      <c r="X75" s="403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4301011565</v>
      </c>
      <c r="D76" s="406">
        <v>4680115882539</v>
      </c>
      <c r="E76" s="407"/>
      <c r="F76" s="401">
        <v>0.37</v>
      </c>
      <c r="G76" s="32">
        <v>10</v>
      </c>
      <c r="H76" s="401">
        <v>3.7</v>
      </c>
      <c r="I76" s="401">
        <v>3.91</v>
      </c>
      <c r="J76" s="32">
        <v>120</v>
      </c>
      <c r="K76" s="32" t="s">
        <v>64</v>
      </c>
      <c r="L76" s="33" t="s">
        <v>129</v>
      </c>
      <c r="M76" s="33"/>
      <c r="N76" s="32">
        <v>50</v>
      </c>
      <c r="O76" s="65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09"/>
      <c r="Q76" s="409"/>
      <c r="R76" s="409"/>
      <c r="S76" s="407"/>
      <c r="T76" s="34"/>
      <c r="U76" s="34"/>
      <c r="V76" s="35" t="s">
        <v>66</v>
      </c>
      <c r="W76" s="402">
        <v>0</v>
      </c>
      <c r="X76" s="403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4301011705</v>
      </c>
      <c r="D77" s="406">
        <v>4607091384604</v>
      </c>
      <c r="E77" s="407"/>
      <c r="F77" s="401">
        <v>0.4</v>
      </c>
      <c r="G77" s="32">
        <v>10</v>
      </c>
      <c r="H77" s="401">
        <v>4</v>
      </c>
      <c r="I77" s="401">
        <v>4.24</v>
      </c>
      <c r="J77" s="32">
        <v>120</v>
      </c>
      <c r="K77" s="32" t="s">
        <v>64</v>
      </c>
      <c r="L77" s="33" t="s">
        <v>110</v>
      </c>
      <c r="M77" s="33"/>
      <c r="N77" s="32">
        <v>50</v>
      </c>
      <c r="O77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09"/>
      <c r="Q77" s="409"/>
      <c r="R77" s="409"/>
      <c r="S77" s="407"/>
      <c r="T77" s="34"/>
      <c r="U77" s="34"/>
      <c r="V77" s="35" t="s">
        <v>66</v>
      </c>
      <c r="W77" s="402">
        <v>0</v>
      </c>
      <c r="X77" s="40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4301011386</v>
      </c>
      <c r="D78" s="406">
        <v>4680115880283</v>
      </c>
      <c r="E78" s="407"/>
      <c r="F78" s="401">
        <v>0.6</v>
      </c>
      <c r="G78" s="32">
        <v>8</v>
      </c>
      <c r="H78" s="401">
        <v>4.8</v>
      </c>
      <c r="I78" s="401">
        <v>5.04</v>
      </c>
      <c r="J78" s="32">
        <v>120</v>
      </c>
      <c r="K78" s="32" t="s">
        <v>64</v>
      </c>
      <c r="L78" s="33" t="s">
        <v>110</v>
      </c>
      <c r="M78" s="33"/>
      <c r="N78" s="32">
        <v>45</v>
      </c>
      <c r="O78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09"/>
      <c r="Q78" s="409"/>
      <c r="R78" s="409"/>
      <c r="S78" s="407"/>
      <c r="T78" s="34"/>
      <c r="U78" s="34"/>
      <c r="V78" s="35" t="s">
        <v>66</v>
      </c>
      <c r="W78" s="402">
        <v>0</v>
      </c>
      <c r="X78" s="40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4301011624</v>
      </c>
      <c r="D79" s="406">
        <v>4680115883949</v>
      </c>
      <c r="E79" s="407"/>
      <c r="F79" s="401">
        <v>0.37</v>
      </c>
      <c r="G79" s="32">
        <v>10</v>
      </c>
      <c r="H79" s="401">
        <v>3.7</v>
      </c>
      <c r="I79" s="401">
        <v>3.94</v>
      </c>
      <c r="J79" s="32">
        <v>120</v>
      </c>
      <c r="K79" s="32" t="s">
        <v>64</v>
      </c>
      <c r="L79" s="33" t="s">
        <v>110</v>
      </c>
      <c r="M79" s="33"/>
      <c r="N79" s="32">
        <v>50</v>
      </c>
      <c r="O79" s="4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09"/>
      <c r="Q79" s="409"/>
      <c r="R79" s="409"/>
      <c r="S79" s="407"/>
      <c r="T79" s="34"/>
      <c r="U79" s="34"/>
      <c r="V79" s="35" t="s">
        <v>66</v>
      </c>
      <c r="W79" s="402">
        <v>0</v>
      </c>
      <c r="X79" s="40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150</v>
      </c>
      <c r="B80" s="54" t="s">
        <v>151</v>
      </c>
      <c r="C80" s="31">
        <v>4301011443</v>
      </c>
      <c r="D80" s="406">
        <v>4680115881303</v>
      </c>
      <c r="E80" s="407"/>
      <c r="F80" s="401">
        <v>0.45</v>
      </c>
      <c r="G80" s="32">
        <v>10</v>
      </c>
      <c r="H80" s="401">
        <v>4.5</v>
      </c>
      <c r="I80" s="401">
        <v>4.71</v>
      </c>
      <c r="J80" s="32">
        <v>120</v>
      </c>
      <c r="K80" s="32" t="s">
        <v>64</v>
      </c>
      <c r="L80" s="33" t="s">
        <v>134</v>
      </c>
      <c r="M80" s="33"/>
      <c r="N80" s="32">
        <v>50</v>
      </c>
      <c r="O80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09"/>
      <c r="Q80" s="409"/>
      <c r="R80" s="409"/>
      <c r="S80" s="407"/>
      <c r="T80" s="34"/>
      <c r="U80" s="34"/>
      <c r="V80" s="35" t="s">
        <v>66</v>
      </c>
      <c r="W80" s="402">
        <v>0</v>
      </c>
      <c r="X80" s="40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152</v>
      </c>
      <c r="B81" s="54" t="s">
        <v>153</v>
      </c>
      <c r="C81" s="31">
        <v>4301011562</v>
      </c>
      <c r="D81" s="406">
        <v>4680115882577</v>
      </c>
      <c r="E81" s="407"/>
      <c r="F81" s="401">
        <v>0.4</v>
      </c>
      <c r="G81" s="32">
        <v>8</v>
      </c>
      <c r="H81" s="401">
        <v>3.2</v>
      </c>
      <c r="I81" s="401">
        <v>3.4</v>
      </c>
      <c r="J81" s="32">
        <v>156</v>
      </c>
      <c r="K81" s="32" t="s">
        <v>64</v>
      </c>
      <c r="L81" s="33" t="s">
        <v>95</v>
      </c>
      <c r="M81" s="33"/>
      <c r="N81" s="32">
        <v>90</v>
      </c>
      <c r="O81" s="4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09"/>
      <c r="Q81" s="409"/>
      <c r="R81" s="409"/>
      <c r="S81" s="407"/>
      <c r="T81" s="34"/>
      <c r="U81" s="34"/>
      <c r="V81" s="35" t="s">
        <v>66</v>
      </c>
      <c r="W81" s="402">
        <v>0</v>
      </c>
      <c r="X81" s="403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152</v>
      </c>
      <c r="B82" s="54" t="s">
        <v>154</v>
      </c>
      <c r="C82" s="31">
        <v>4301011564</v>
      </c>
      <c r="D82" s="406">
        <v>4680115882577</v>
      </c>
      <c r="E82" s="407"/>
      <c r="F82" s="401">
        <v>0.4</v>
      </c>
      <c r="G82" s="32">
        <v>8</v>
      </c>
      <c r="H82" s="401">
        <v>3.2</v>
      </c>
      <c r="I82" s="401">
        <v>3.4</v>
      </c>
      <c r="J82" s="32">
        <v>156</v>
      </c>
      <c r="K82" s="32" t="s">
        <v>64</v>
      </c>
      <c r="L82" s="33" t="s">
        <v>95</v>
      </c>
      <c r="M82" s="33"/>
      <c r="N82" s="32">
        <v>90</v>
      </c>
      <c r="O82" s="7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09"/>
      <c r="Q82" s="409"/>
      <c r="R82" s="409"/>
      <c r="S82" s="407"/>
      <c r="T82" s="34"/>
      <c r="U82" s="34"/>
      <c r="V82" s="35" t="s">
        <v>66</v>
      </c>
      <c r="W82" s="402">
        <v>0</v>
      </c>
      <c r="X82" s="403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4301011432</v>
      </c>
      <c r="D83" s="406">
        <v>4680115882720</v>
      </c>
      <c r="E83" s="407"/>
      <c r="F83" s="401">
        <v>0.45</v>
      </c>
      <c r="G83" s="32">
        <v>10</v>
      </c>
      <c r="H83" s="401">
        <v>4.5</v>
      </c>
      <c r="I83" s="401">
        <v>4.74</v>
      </c>
      <c r="J83" s="32">
        <v>120</v>
      </c>
      <c r="K83" s="32" t="s">
        <v>64</v>
      </c>
      <c r="L83" s="33" t="s">
        <v>110</v>
      </c>
      <c r="M83" s="33"/>
      <c r="N83" s="32">
        <v>90</v>
      </c>
      <c r="O83" s="75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09"/>
      <c r="Q83" s="409"/>
      <c r="R83" s="409"/>
      <c r="S83" s="407"/>
      <c r="T83" s="34"/>
      <c r="U83" s="34"/>
      <c r="V83" s="35" t="s">
        <v>66</v>
      </c>
      <c r="W83" s="402">
        <v>0</v>
      </c>
      <c r="X83" s="403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157</v>
      </c>
      <c r="B84" s="54" t="s">
        <v>158</v>
      </c>
      <c r="C84" s="31">
        <v>4301011417</v>
      </c>
      <c r="D84" s="406">
        <v>4680115880269</v>
      </c>
      <c r="E84" s="407"/>
      <c r="F84" s="401">
        <v>0.375</v>
      </c>
      <c r="G84" s="32">
        <v>10</v>
      </c>
      <c r="H84" s="401">
        <v>3.75</v>
      </c>
      <c r="I84" s="401">
        <v>3.96</v>
      </c>
      <c r="J84" s="32">
        <v>120</v>
      </c>
      <c r="K84" s="32" t="s">
        <v>64</v>
      </c>
      <c r="L84" s="33" t="s">
        <v>129</v>
      </c>
      <c r="M84" s="33"/>
      <c r="N84" s="32">
        <v>50</v>
      </c>
      <c r="O84" s="47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09"/>
      <c r="Q84" s="409"/>
      <c r="R84" s="409"/>
      <c r="S84" s="407"/>
      <c r="T84" s="34"/>
      <c r="U84" s="34"/>
      <c r="V84" s="35" t="s">
        <v>66</v>
      </c>
      <c r="W84" s="402">
        <v>0</v>
      </c>
      <c r="X84" s="40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159</v>
      </c>
      <c r="B85" s="54" t="s">
        <v>160</v>
      </c>
      <c r="C85" s="31">
        <v>4301011415</v>
      </c>
      <c r="D85" s="406">
        <v>4680115880429</v>
      </c>
      <c r="E85" s="407"/>
      <c r="F85" s="401">
        <v>0.45</v>
      </c>
      <c r="G85" s="32">
        <v>10</v>
      </c>
      <c r="H85" s="401">
        <v>4.5</v>
      </c>
      <c r="I85" s="401">
        <v>4.74</v>
      </c>
      <c r="J85" s="32">
        <v>120</v>
      </c>
      <c r="K85" s="32" t="s">
        <v>64</v>
      </c>
      <c r="L85" s="33" t="s">
        <v>129</v>
      </c>
      <c r="M85" s="33"/>
      <c r="N85" s="32">
        <v>50</v>
      </c>
      <c r="O85" s="4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09"/>
      <c r="Q85" s="409"/>
      <c r="R85" s="409"/>
      <c r="S85" s="407"/>
      <c r="T85" s="34"/>
      <c r="U85" s="34"/>
      <c r="V85" s="35" t="s">
        <v>66</v>
      </c>
      <c r="W85" s="402">
        <v>0</v>
      </c>
      <c r="X85" s="40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161</v>
      </c>
      <c r="B86" s="54" t="s">
        <v>162</v>
      </c>
      <c r="C86" s="31">
        <v>4301011462</v>
      </c>
      <c r="D86" s="406">
        <v>4680115881457</v>
      </c>
      <c r="E86" s="407"/>
      <c r="F86" s="401">
        <v>0.75</v>
      </c>
      <c r="G86" s="32">
        <v>6</v>
      </c>
      <c r="H86" s="401">
        <v>4.5</v>
      </c>
      <c r="I86" s="401">
        <v>4.74</v>
      </c>
      <c r="J86" s="32">
        <v>120</v>
      </c>
      <c r="K86" s="32" t="s">
        <v>64</v>
      </c>
      <c r="L86" s="33" t="s">
        <v>129</v>
      </c>
      <c r="M86" s="33"/>
      <c r="N86" s="32">
        <v>50</v>
      </c>
      <c r="O86" s="7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09"/>
      <c r="Q86" s="409"/>
      <c r="R86" s="409"/>
      <c r="S86" s="407"/>
      <c r="T86" s="34"/>
      <c r="U86" s="34"/>
      <c r="V86" s="35" t="s">
        <v>66</v>
      </c>
      <c r="W86" s="402">
        <v>0</v>
      </c>
      <c r="X86" s="403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14"/>
      <c r="B87" s="412"/>
      <c r="C87" s="412"/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5"/>
      <c r="O87" s="432" t="s">
        <v>70</v>
      </c>
      <c r="P87" s="433"/>
      <c r="Q87" s="433"/>
      <c r="R87" s="433"/>
      <c r="S87" s="433"/>
      <c r="T87" s="433"/>
      <c r="U87" s="434"/>
      <c r="V87" s="37" t="s">
        <v>71</v>
      </c>
      <c r="W87" s="40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24.328703703703702</v>
      </c>
      <c r="X87" s="40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25</v>
      </c>
      <c r="Y87" s="40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0.54374999999999996</v>
      </c>
      <c r="Z87" s="405"/>
      <c r="AA87" s="405"/>
    </row>
    <row r="88" spans="1:67" x14ac:dyDescent="0.2">
      <c r="A88" s="412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5"/>
      <c r="O88" s="432" t="s">
        <v>70</v>
      </c>
      <c r="P88" s="433"/>
      <c r="Q88" s="433"/>
      <c r="R88" s="433"/>
      <c r="S88" s="433"/>
      <c r="T88" s="433"/>
      <c r="U88" s="434"/>
      <c r="V88" s="37" t="s">
        <v>66</v>
      </c>
      <c r="W88" s="404">
        <f>IFERROR(SUM(W67:W86),"0")</f>
        <v>267</v>
      </c>
      <c r="X88" s="404">
        <f>IFERROR(SUM(X67:X86),"0")</f>
        <v>274.39999999999998</v>
      </c>
      <c r="Y88" s="37"/>
      <c r="Z88" s="405"/>
      <c r="AA88" s="405"/>
    </row>
    <row r="89" spans="1:67" ht="14.25" customHeight="1" x14ac:dyDescent="0.25">
      <c r="A89" s="411" t="s">
        <v>106</v>
      </c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2"/>
      <c r="O89" s="412"/>
      <c r="P89" s="412"/>
      <c r="Q89" s="412"/>
      <c r="R89" s="412"/>
      <c r="S89" s="412"/>
      <c r="T89" s="412"/>
      <c r="U89" s="412"/>
      <c r="V89" s="412"/>
      <c r="W89" s="412"/>
      <c r="X89" s="412"/>
      <c r="Y89" s="412"/>
      <c r="Z89" s="395"/>
      <c r="AA89" s="395"/>
    </row>
    <row r="90" spans="1:67" ht="16.5" customHeight="1" x14ac:dyDescent="0.25">
      <c r="A90" s="54" t="s">
        <v>163</v>
      </c>
      <c r="B90" s="54" t="s">
        <v>164</v>
      </c>
      <c r="C90" s="31">
        <v>4301020235</v>
      </c>
      <c r="D90" s="406">
        <v>4680115881488</v>
      </c>
      <c r="E90" s="407"/>
      <c r="F90" s="401">
        <v>1.35</v>
      </c>
      <c r="G90" s="32">
        <v>8</v>
      </c>
      <c r="H90" s="401">
        <v>10.8</v>
      </c>
      <c r="I90" s="401">
        <v>11.28</v>
      </c>
      <c r="J90" s="32">
        <v>48</v>
      </c>
      <c r="K90" s="32" t="s">
        <v>109</v>
      </c>
      <c r="L90" s="33" t="s">
        <v>110</v>
      </c>
      <c r="M90" s="33"/>
      <c r="N90" s="32">
        <v>50</v>
      </c>
      <c r="O90" s="68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09"/>
      <c r="Q90" s="409"/>
      <c r="R90" s="409"/>
      <c r="S90" s="407"/>
      <c r="T90" s="34"/>
      <c r="U90" s="34"/>
      <c r="V90" s="35" t="s">
        <v>66</v>
      </c>
      <c r="W90" s="402">
        <v>0</v>
      </c>
      <c r="X90" s="403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4301020228</v>
      </c>
      <c r="D91" s="406">
        <v>4680115882751</v>
      </c>
      <c r="E91" s="407"/>
      <c r="F91" s="401">
        <v>0.45</v>
      </c>
      <c r="G91" s="32">
        <v>10</v>
      </c>
      <c r="H91" s="401">
        <v>4.5</v>
      </c>
      <c r="I91" s="401">
        <v>4.74</v>
      </c>
      <c r="J91" s="32">
        <v>120</v>
      </c>
      <c r="K91" s="32" t="s">
        <v>64</v>
      </c>
      <c r="L91" s="33" t="s">
        <v>110</v>
      </c>
      <c r="M91" s="33"/>
      <c r="N91" s="32">
        <v>90</v>
      </c>
      <c r="O91" s="45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1" s="409"/>
      <c r="Q91" s="409"/>
      <c r="R91" s="409"/>
      <c r="S91" s="407"/>
      <c r="T91" s="34"/>
      <c r="U91" s="34"/>
      <c r="V91" s="35" t="s">
        <v>66</v>
      </c>
      <c r="W91" s="402">
        <v>0</v>
      </c>
      <c r="X91" s="403">
        <f>IFERROR(IF(W91="",0,CEILING((W91/$H91),1)*$H91),"")</f>
        <v>0</v>
      </c>
      <c r="Y91" s="36" t="str">
        <f>IFERROR(IF(X91=0,"",ROUNDUP(X91/H91,0)*0.00937),"")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4301020258</v>
      </c>
      <c r="D92" s="406">
        <v>4680115882775</v>
      </c>
      <c r="E92" s="407"/>
      <c r="F92" s="401">
        <v>0.3</v>
      </c>
      <c r="G92" s="32">
        <v>8</v>
      </c>
      <c r="H92" s="401">
        <v>2.4</v>
      </c>
      <c r="I92" s="401">
        <v>2.5</v>
      </c>
      <c r="J92" s="32">
        <v>234</v>
      </c>
      <c r="K92" s="32" t="s">
        <v>69</v>
      </c>
      <c r="L92" s="33" t="s">
        <v>129</v>
      </c>
      <c r="M92" s="33"/>
      <c r="N92" s="32">
        <v>50</v>
      </c>
      <c r="O92" s="4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09"/>
      <c r="Q92" s="409"/>
      <c r="R92" s="409"/>
      <c r="S92" s="407"/>
      <c r="T92" s="34"/>
      <c r="U92" s="34"/>
      <c r="V92" s="35" t="s">
        <v>66</v>
      </c>
      <c r="W92" s="402">
        <v>0</v>
      </c>
      <c r="X92" s="40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169</v>
      </c>
      <c r="B93" s="54" t="s">
        <v>170</v>
      </c>
      <c r="C93" s="31">
        <v>4301020217</v>
      </c>
      <c r="D93" s="406">
        <v>4680115880658</v>
      </c>
      <c r="E93" s="407"/>
      <c r="F93" s="401">
        <v>0.4</v>
      </c>
      <c r="G93" s="32">
        <v>6</v>
      </c>
      <c r="H93" s="401">
        <v>2.4</v>
      </c>
      <c r="I93" s="401">
        <v>2.6</v>
      </c>
      <c r="J93" s="32">
        <v>156</v>
      </c>
      <c r="K93" s="32" t="s">
        <v>64</v>
      </c>
      <c r="L93" s="33" t="s">
        <v>110</v>
      </c>
      <c r="M93" s="33"/>
      <c r="N93" s="32">
        <v>50</v>
      </c>
      <c r="O93" s="6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09"/>
      <c r="Q93" s="409"/>
      <c r="R93" s="409"/>
      <c r="S93" s="407"/>
      <c r="T93" s="34"/>
      <c r="U93" s="34"/>
      <c r="V93" s="35" t="s">
        <v>66</v>
      </c>
      <c r="W93" s="402">
        <v>0</v>
      </c>
      <c r="X93" s="40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414"/>
      <c r="B94" s="412"/>
      <c r="C94" s="412"/>
      <c r="D94" s="412"/>
      <c r="E94" s="412"/>
      <c r="F94" s="412"/>
      <c r="G94" s="412"/>
      <c r="H94" s="412"/>
      <c r="I94" s="412"/>
      <c r="J94" s="412"/>
      <c r="K94" s="412"/>
      <c r="L94" s="412"/>
      <c r="M94" s="412"/>
      <c r="N94" s="415"/>
      <c r="O94" s="432" t="s">
        <v>70</v>
      </c>
      <c r="P94" s="433"/>
      <c r="Q94" s="433"/>
      <c r="R94" s="433"/>
      <c r="S94" s="433"/>
      <c r="T94" s="433"/>
      <c r="U94" s="434"/>
      <c r="V94" s="37" t="s">
        <v>71</v>
      </c>
      <c r="W94" s="404">
        <f>IFERROR(W90/H90,"0")+IFERROR(W91/H91,"0")+IFERROR(W92/H92,"0")+IFERROR(W93/H93,"0")</f>
        <v>0</v>
      </c>
      <c r="X94" s="404">
        <f>IFERROR(X90/H90,"0")+IFERROR(X91/H91,"0")+IFERROR(X92/H92,"0")+IFERROR(X93/H93,"0")</f>
        <v>0</v>
      </c>
      <c r="Y94" s="404">
        <f>IFERROR(IF(Y90="",0,Y90),"0")+IFERROR(IF(Y91="",0,Y91),"0")+IFERROR(IF(Y92="",0,Y92),"0")+IFERROR(IF(Y93="",0,Y93),"0")</f>
        <v>0</v>
      </c>
      <c r="Z94" s="405"/>
      <c r="AA94" s="405"/>
    </row>
    <row r="95" spans="1:67" x14ac:dyDescent="0.2">
      <c r="A95" s="412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5"/>
      <c r="O95" s="432" t="s">
        <v>70</v>
      </c>
      <c r="P95" s="433"/>
      <c r="Q95" s="433"/>
      <c r="R95" s="433"/>
      <c r="S95" s="433"/>
      <c r="T95" s="433"/>
      <c r="U95" s="434"/>
      <c r="V95" s="37" t="s">
        <v>66</v>
      </c>
      <c r="W95" s="404">
        <f>IFERROR(SUM(W90:W93),"0")</f>
        <v>0</v>
      </c>
      <c r="X95" s="404">
        <f>IFERROR(SUM(X90:X93),"0")</f>
        <v>0</v>
      </c>
      <c r="Y95" s="37"/>
      <c r="Z95" s="405"/>
      <c r="AA95" s="405"/>
    </row>
    <row r="96" spans="1:67" ht="14.25" customHeight="1" x14ac:dyDescent="0.25">
      <c r="A96" s="411" t="s">
        <v>61</v>
      </c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2"/>
      <c r="O96" s="412"/>
      <c r="P96" s="412"/>
      <c r="Q96" s="412"/>
      <c r="R96" s="412"/>
      <c r="S96" s="412"/>
      <c r="T96" s="412"/>
      <c r="U96" s="412"/>
      <c r="V96" s="412"/>
      <c r="W96" s="412"/>
      <c r="X96" s="412"/>
      <c r="Y96" s="412"/>
      <c r="Z96" s="395"/>
      <c r="AA96" s="395"/>
    </row>
    <row r="97" spans="1:67" ht="16.5" customHeight="1" x14ac:dyDescent="0.25">
      <c r="A97" s="54" t="s">
        <v>171</v>
      </c>
      <c r="B97" s="54" t="s">
        <v>172</v>
      </c>
      <c r="C97" s="31">
        <v>4301030895</v>
      </c>
      <c r="D97" s="406">
        <v>4607091387667</v>
      </c>
      <c r="E97" s="407"/>
      <c r="F97" s="401">
        <v>0.9</v>
      </c>
      <c r="G97" s="32">
        <v>10</v>
      </c>
      <c r="H97" s="401">
        <v>9</v>
      </c>
      <c r="I97" s="401">
        <v>9.6300000000000008</v>
      </c>
      <c r="J97" s="32">
        <v>56</v>
      </c>
      <c r="K97" s="32" t="s">
        <v>109</v>
      </c>
      <c r="L97" s="33" t="s">
        <v>110</v>
      </c>
      <c r="M97" s="33"/>
      <c r="N97" s="32">
        <v>40</v>
      </c>
      <c r="O97" s="5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09"/>
      <c r="Q97" s="409"/>
      <c r="R97" s="409"/>
      <c r="S97" s="407"/>
      <c r="T97" s="34"/>
      <c r="U97" s="34"/>
      <c r="V97" s="35" t="s">
        <v>66</v>
      </c>
      <c r="W97" s="402">
        <v>0</v>
      </c>
      <c r="X97" s="40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4301030961</v>
      </c>
      <c r="D98" s="406">
        <v>4607091387636</v>
      </c>
      <c r="E98" s="407"/>
      <c r="F98" s="401">
        <v>0.7</v>
      </c>
      <c r="G98" s="32">
        <v>6</v>
      </c>
      <c r="H98" s="401">
        <v>4.2</v>
      </c>
      <c r="I98" s="40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09"/>
      <c r="Q98" s="409"/>
      <c r="R98" s="409"/>
      <c r="S98" s="407"/>
      <c r="T98" s="34"/>
      <c r="U98" s="34"/>
      <c r="V98" s="35" t="s">
        <v>66</v>
      </c>
      <c r="W98" s="402">
        <v>0</v>
      </c>
      <c r="X98" s="40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175</v>
      </c>
      <c r="B99" s="54" t="s">
        <v>176</v>
      </c>
      <c r="C99" s="31">
        <v>4301030963</v>
      </c>
      <c r="D99" s="406">
        <v>4607091382426</v>
      </c>
      <c r="E99" s="407"/>
      <c r="F99" s="401">
        <v>0.9</v>
      </c>
      <c r="G99" s="32">
        <v>10</v>
      </c>
      <c r="H99" s="401">
        <v>9</v>
      </c>
      <c r="I99" s="401">
        <v>9.6300000000000008</v>
      </c>
      <c r="J99" s="32">
        <v>56</v>
      </c>
      <c r="K99" s="32" t="s">
        <v>109</v>
      </c>
      <c r="L99" s="33" t="s">
        <v>65</v>
      </c>
      <c r="M99" s="33"/>
      <c r="N99" s="32">
        <v>40</v>
      </c>
      <c r="O99" s="5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09"/>
      <c r="Q99" s="409"/>
      <c r="R99" s="409"/>
      <c r="S99" s="407"/>
      <c r="T99" s="34"/>
      <c r="U99" s="34"/>
      <c r="V99" s="35" t="s">
        <v>66</v>
      </c>
      <c r="W99" s="402">
        <v>0</v>
      </c>
      <c r="X99" s="40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4301030962</v>
      </c>
      <c r="D100" s="406">
        <v>4607091386547</v>
      </c>
      <c r="E100" s="407"/>
      <c r="F100" s="401">
        <v>0.35</v>
      </c>
      <c r="G100" s="32">
        <v>8</v>
      </c>
      <c r="H100" s="401">
        <v>2.8</v>
      </c>
      <c r="I100" s="40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09"/>
      <c r="Q100" s="409"/>
      <c r="R100" s="409"/>
      <c r="S100" s="407"/>
      <c r="T100" s="34"/>
      <c r="U100" s="34"/>
      <c r="V100" s="35" t="s">
        <v>66</v>
      </c>
      <c r="W100" s="402">
        <v>0</v>
      </c>
      <c r="X100" s="40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4301030964</v>
      </c>
      <c r="D101" s="406">
        <v>4607091382464</v>
      </c>
      <c r="E101" s="407"/>
      <c r="F101" s="401">
        <v>0.35</v>
      </c>
      <c r="G101" s="32">
        <v>8</v>
      </c>
      <c r="H101" s="401">
        <v>2.8</v>
      </c>
      <c r="I101" s="40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09"/>
      <c r="Q101" s="409"/>
      <c r="R101" s="409"/>
      <c r="S101" s="407"/>
      <c r="T101" s="34"/>
      <c r="U101" s="34"/>
      <c r="V101" s="35" t="s">
        <v>66</v>
      </c>
      <c r="W101" s="402">
        <v>0</v>
      </c>
      <c r="X101" s="40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181</v>
      </c>
      <c r="B102" s="54" t="s">
        <v>182</v>
      </c>
      <c r="C102" s="31">
        <v>4301031234</v>
      </c>
      <c r="D102" s="406">
        <v>4680115883444</v>
      </c>
      <c r="E102" s="407"/>
      <c r="F102" s="401">
        <v>0.35</v>
      </c>
      <c r="G102" s="32">
        <v>8</v>
      </c>
      <c r="H102" s="401">
        <v>2.8</v>
      </c>
      <c r="I102" s="401">
        <v>3.0880000000000001</v>
      </c>
      <c r="J102" s="32">
        <v>156</v>
      </c>
      <c r="K102" s="32" t="s">
        <v>64</v>
      </c>
      <c r="L102" s="33" t="s">
        <v>95</v>
      </c>
      <c r="M102" s="33"/>
      <c r="N102" s="32">
        <v>90</v>
      </c>
      <c r="O102" s="54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09"/>
      <c r="Q102" s="409"/>
      <c r="R102" s="409"/>
      <c r="S102" s="407"/>
      <c r="T102" s="34"/>
      <c r="U102" s="34"/>
      <c r="V102" s="35" t="s">
        <v>66</v>
      </c>
      <c r="W102" s="402">
        <v>0</v>
      </c>
      <c r="X102" s="40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181</v>
      </c>
      <c r="B103" s="54" t="s">
        <v>183</v>
      </c>
      <c r="C103" s="31">
        <v>4301031235</v>
      </c>
      <c r="D103" s="406">
        <v>4680115883444</v>
      </c>
      <c r="E103" s="407"/>
      <c r="F103" s="401">
        <v>0.35</v>
      </c>
      <c r="G103" s="32">
        <v>8</v>
      </c>
      <c r="H103" s="401">
        <v>2.8</v>
      </c>
      <c r="I103" s="401">
        <v>3.0880000000000001</v>
      </c>
      <c r="J103" s="32">
        <v>156</v>
      </c>
      <c r="K103" s="32" t="s">
        <v>64</v>
      </c>
      <c r="L103" s="33" t="s">
        <v>95</v>
      </c>
      <c r="M103" s="33"/>
      <c r="N103" s="32">
        <v>90</v>
      </c>
      <c r="O103" s="57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09"/>
      <c r="Q103" s="409"/>
      <c r="R103" s="409"/>
      <c r="S103" s="407"/>
      <c r="T103" s="34"/>
      <c r="U103" s="34"/>
      <c r="V103" s="35" t="s">
        <v>66</v>
      </c>
      <c r="W103" s="402">
        <v>0</v>
      </c>
      <c r="X103" s="403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x14ac:dyDescent="0.2">
      <c r="A104" s="414"/>
      <c r="B104" s="412"/>
      <c r="C104" s="412"/>
      <c r="D104" s="412"/>
      <c r="E104" s="412"/>
      <c r="F104" s="412"/>
      <c r="G104" s="412"/>
      <c r="H104" s="412"/>
      <c r="I104" s="412"/>
      <c r="J104" s="412"/>
      <c r="K104" s="412"/>
      <c r="L104" s="412"/>
      <c r="M104" s="412"/>
      <c r="N104" s="415"/>
      <c r="O104" s="432" t="s">
        <v>70</v>
      </c>
      <c r="P104" s="433"/>
      <c r="Q104" s="433"/>
      <c r="R104" s="433"/>
      <c r="S104" s="433"/>
      <c r="T104" s="433"/>
      <c r="U104" s="434"/>
      <c r="V104" s="37" t="s">
        <v>71</v>
      </c>
      <c r="W104" s="404">
        <f>IFERROR(W97/H97,"0")+IFERROR(W98/H98,"0")+IFERROR(W99/H99,"0")+IFERROR(W100/H100,"0")+IFERROR(W101/H101,"0")+IFERROR(W102/H102,"0")+IFERROR(W103/H103,"0")</f>
        <v>0</v>
      </c>
      <c r="X104" s="404">
        <f>IFERROR(X97/H97,"0")+IFERROR(X98/H98,"0")+IFERROR(X99/H99,"0")+IFERROR(X100/H100,"0")+IFERROR(X101/H101,"0")+IFERROR(X102/H102,"0")+IFERROR(X103/H103,"0")</f>
        <v>0</v>
      </c>
      <c r="Y104" s="40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405"/>
      <c r="AA104" s="405"/>
    </row>
    <row r="105" spans="1:67" x14ac:dyDescent="0.2">
      <c r="A105" s="412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15"/>
      <c r="O105" s="432" t="s">
        <v>70</v>
      </c>
      <c r="P105" s="433"/>
      <c r="Q105" s="433"/>
      <c r="R105" s="433"/>
      <c r="S105" s="433"/>
      <c r="T105" s="433"/>
      <c r="U105" s="434"/>
      <c r="V105" s="37" t="s">
        <v>66</v>
      </c>
      <c r="W105" s="404">
        <f>IFERROR(SUM(W97:W103),"0")</f>
        <v>0</v>
      </c>
      <c r="X105" s="404">
        <f>IFERROR(SUM(X97:X103),"0")</f>
        <v>0</v>
      </c>
      <c r="Y105" s="37"/>
      <c r="Z105" s="405"/>
      <c r="AA105" s="405"/>
    </row>
    <row r="106" spans="1:67" ht="14.25" customHeight="1" x14ac:dyDescent="0.25">
      <c r="A106" s="411" t="s">
        <v>72</v>
      </c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412"/>
      <c r="S106" s="412"/>
      <c r="T106" s="412"/>
      <c r="U106" s="412"/>
      <c r="V106" s="412"/>
      <c r="W106" s="412"/>
      <c r="X106" s="412"/>
      <c r="Y106" s="412"/>
      <c r="Z106" s="395"/>
      <c r="AA106" s="395"/>
    </row>
    <row r="107" spans="1:67" ht="16.5" customHeight="1" x14ac:dyDescent="0.25">
      <c r="A107" s="54" t="s">
        <v>184</v>
      </c>
      <c r="B107" s="54" t="s">
        <v>185</v>
      </c>
      <c r="C107" s="31">
        <v>4301051842</v>
      </c>
      <c r="D107" s="406">
        <v>4680115885233</v>
      </c>
      <c r="E107" s="407"/>
      <c r="F107" s="401">
        <v>0.2</v>
      </c>
      <c r="G107" s="32">
        <v>6</v>
      </c>
      <c r="H107" s="401">
        <v>1.2</v>
      </c>
      <c r="I107" s="401">
        <v>1.3</v>
      </c>
      <c r="J107" s="32">
        <v>234</v>
      </c>
      <c r="K107" s="32" t="s">
        <v>69</v>
      </c>
      <c r="L107" s="33" t="s">
        <v>129</v>
      </c>
      <c r="M107" s="33"/>
      <c r="N107" s="32">
        <v>40</v>
      </c>
      <c r="O107" s="782" t="s">
        <v>186</v>
      </c>
      <c r="P107" s="409"/>
      <c r="Q107" s="409"/>
      <c r="R107" s="409"/>
      <c r="S107" s="407"/>
      <c r="T107" s="34"/>
      <c r="U107" s="34"/>
      <c r="V107" s="35" t="s">
        <v>66</v>
      </c>
      <c r="W107" s="402">
        <v>2</v>
      </c>
      <c r="X107" s="403">
        <f t="shared" ref="X107:X121" si="18">IFERROR(IF(W107="",0,CEILING((W107/$H107),1)*$H107),"")</f>
        <v>2.4</v>
      </c>
      <c r="Y107" s="36">
        <f>IFERROR(IF(X107=0,"",ROUNDUP(X107/H107,0)*0.00502),"")</f>
        <v>1.004E-2</v>
      </c>
      <c r="Z107" s="56"/>
      <c r="AA107" s="57" t="s">
        <v>187</v>
      </c>
      <c r="AE107" s="64"/>
      <c r="BB107" s="116" t="s">
        <v>1</v>
      </c>
      <c r="BL107" s="64">
        <f t="shared" ref="BL107:BL121" si="19">IFERROR(W107*I107/H107,"0")</f>
        <v>2.166666666666667</v>
      </c>
      <c r="BM107" s="64">
        <f t="shared" ref="BM107:BM121" si="20">IFERROR(X107*I107/H107,"0")</f>
        <v>2.6</v>
      </c>
      <c r="BN107" s="64">
        <f t="shared" ref="BN107:BN121" si="21">IFERROR(1/J107*(W107/H107),"0")</f>
        <v>7.1225071225071235E-3</v>
      </c>
      <c r="BO107" s="64">
        <f t="shared" ref="BO107:BO121" si="22">IFERROR(1/J107*(X107/H107),"0")</f>
        <v>8.5470085470085479E-3</v>
      </c>
    </row>
    <row r="108" spans="1:67" ht="27" customHeight="1" x14ac:dyDescent="0.25">
      <c r="A108" s="54" t="s">
        <v>188</v>
      </c>
      <c r="B108" s="54" t="s">
        <v>189</v>
      </c>
      <c r="C108" s="31">
        <v>4301051543</v>
      </c>
      <c r="D108" s="406">
        <v>4607091386967</v>
      </c>
      <c r="E108" s="407"/>
      <c r="F108" s="401">
        <v>1.4</v>
      </c>
      <c r="G108" s="32">
        <v>6</v>
      </c>
      <c r="H108" s="401">
        <v>8.4</v>
      </c>
      <c r="I108" s="401">
        <v>8.9640000000000004</v>
      </c>
      <c r="J108" s="32">
        <v>56</v>
      </c>
      <c r="K108" s="32" t="s">
        <v>109</v>
      </c>
      <c r="L108" s="33" t="s">
        <v>65</v>
      </c>
      <c r="M108" s="33"/>
      <c r="N108" s="32">
        <v>45</v>
      </c>
      <c r="O108" s="62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09"/>
      <c r="Q108" s="409"/>
      <c r="R108" s="409"/>
      <c r="S108" s="407"/>
      <c r="T108" s="34"/>
      <c r="U108" s="34"/>
      <c r="V108" s="35" t="s">
        <v>66</v>
      </c>
      <c r="W108" s="402">
        <v>0</v>
      </c>
      <c r="X108" s="403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4301051437</v>
      </c>
      <c r="D109" s="406">
        <v>4607091386967</v>
      </c>
      <c r="E109" s="407"/>
      <c r="F109" s="401">
        <v>1.35</v>
      </c>
      <c r="G109" s="32">
        <v>6</v>
      </c>
      <c r="H109" s="401">
        <v>8.1</v>
      </c>
      <c r="I109" s="401">
        <v>8.6639999999999997</v>
      </c>
      <c r="J109" s="32">
        <v>56</v>
      </c>
      <c r="K109" s="32" t="s">
        <v>109</v>
      </c>
      <c r="L109" s="33" t="s">
        <v>129</v>
      </c>
      <c r="M109" s="33"/>
      <c r="N109" s="32">
        <v>45</v>
      </c>
      <c r="O109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09"/>
      <c r="Q109" s="409"/>
      <c r="R109" s="409"/>
      <c r="S109" s="407"/>
      <c r="T109" s="34"/>
      <c r="U109" s="34"/>
      <c r="V109" s="35" t="s">
        <v>66</v>
      </c>
      <c r="W109" s="402">
        <v>0</v>
      </c>
      <c r="X109" s="403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406">
        <v>4607091385304</v>
      </c>
      <c r="E110" s="407"/>
      <c r="F110" s="401">
        <v>1.4</v>
      </c>
      <c r="G110" s="32">
        <v>6</v>
      </c>
      <c r="H110" s="401">
        <v>8.4</v>
      </c>
      <c r="I110" s="401">
        <v>8.9640000000000004</v>
      </c>
      <c r="J110" s="32">
        <v>56</v>
      </c>
      <c r="K110" s="32" t="s">
        <v>109</v>
      </c>
      <c r="L110" s="33" t="s">
        <v>65</v>
      </c>
      <c r="M110" s="33"/>
      <c r="N110" s="32">
        <v>40</v>
      </c>
      <c r="O110" s="82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09"/>
      <c r="Q110" s="409"/>
      <c r="R110" s="409"/>
      <c r="S110" s="407"/>
      <c r="T110" s="34"/>
      <c r="U110" s="34"/>
      <c r="V110" s="35" t="s">
        <v>66</v>
      </c>
      <c r="W110" s="402">
        <v>0</v>
      </c>
      <c r="X110" s="403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406">
        <v>4607091386264</v>
      </c>
      <c r="E111" s="407"/>
      <c r="F111" s="401">
        <v>0.5</v>
      </c>
      <c r="G111" s="32">
        <v>6</v>
      </c>
      <c r="H111" s="401">
        <v>3</v>
      </c>
      <c r="I111" s="401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09"/>
      <c r="Q111" s="409"/>
      <c r="R111" s="409"/>
      <c r="S111" s="407"/>
      <c r="T111" s="34"/>
      <c r="U111" s="34"/>
      <c r="V111" s="35" t="s">
        <v>66</v>
      </c>
      <c r="W111" s="402">
        <v>0</v>
      </c>
      <c r="X111" s="40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4301051476</v>
      </c>
      <c r="D112" s="406">
        <v>4680115882584</v>
      </c>
      <c r="E112" s="407"/>
      <c r="F112" s="401">
        <v>0.33</v>
      </c>
      <c r="G112" s="32">
        <v>8</v>
      </c>
      <c r="H112" s="401">
        <v>2.64</v>
      </c>
      <c r="I112" s="401">
        <v>2.9279999999999999</v>
      </c>
      <c r="J112" s="32">
        <v>156</v>
      </c>
      <c r="K112" s="32" t="s">
        <v>64</v>
      </c>
      <c r="L112" s="33" t="s">
        <v>95</v>
      </c>
      <c r="M112" s="33"/>
      <c r="N112" s="32">
        <v>60</v>
      </c>
      <c r="O112" s="76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09"/>
      <c r="Q112" s="409"/>
      <c r="R112" s="409"/>
      <c r="S112" s="407"/>
      <c r="T112" s="34"/>
      <c r="U112" s="34"/>
      <c r="V112" s="35" t="s">
        <v>66</v>
      </c>
      <c r="W112" s="402">
        <v>0</v>
      </c>
      <c r="X112" s="403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4301051477</v>
      </c>
      <c r="D113" s="406">
        <v>4680115882584</v>
      </c>
      <c r="E113" s="407"/>
      <c r="F113" s="401">
        <v>0.33</v>
      </c>
      <c r="G113" s="32">
        <v>8</v>
      </c>
      <c r="H113" s="401">
        <v>2.64</v>
      </c>
      <c r="I113" s="401">
        <v>2.9279999999999999</v>
      </c>
      <c r="J113" s="32">
        <v>156</v>
      </c>
      <c r="K113" s="32" t="s">
        <v>64</v>
      </c>
      <c r="L113" s="33" t="s">
        <v>95</v>
      </c>
      <c r="M113" s="33"/>
      <c r="N113" s="32">
        <v>60</v>
      </c>
      <c r="O113" s="60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09"/>
      <c r="Q113" s="409"/>
      <c r="R113" s="409"/>
      <c r="S113" s="407"/>
      <c r="T113" s="34"/>
      <c r="U113" s="34"/>
      <c r="V113" s="35" t="s">
        <v>66</v>
      </c>
      <c r="W113" s="402">
        <v>0</v>
      </c>
      <c r="X113" s="403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406">
        <v>4607091385731</v>
      </c>
      <c r="E114" s="407"/>
      <c r="F114" s="401">
        <v>0.45</v>
      </c>
      <c r="G114" s="32">
        <v>6</v>
      </c>
      <c r="H114" s="401">
        <v>2.7</v>
      </c>
      <c r="I114" s="401">
        <v>2.972</v>
      </c>
      <c r="J114" s="32">
        <v>156</v>
      </c>
      <c r="K114" s="32" t="s">
        <v>64</v>
      </c>
      <c r="L114" s="33" t="s">
        <v>129</v>
      </c>
      <c r="M114" s="33"/>
      <c r="N114" s="32">
        <v>45</v>
      </c>
      <c r="O114" s="77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09"/>
      <c r="Q114" s="409"/>
      <c r="R114" s="409"/>
      <c r="S114" s="407"/>
      <c r="T114" s="34"/>
      <c r="U114" s="34"/>
      <c r="V114" s="35" t="s">
        <v>66</v>
      </c>
      <c r="W114" s="402">
        <v>0</v>
      </c>
      <c r="X114" s="40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406">
        <v>4680115880214</v>
      </c>
      <c r="E115" s="407"/>
      <c r="F115" s="401">
        <v>0.45</v>
      </c>
      <c r="G115" s="32">
        <v>6</v>
      </c>
      <c r="H115" s="401">
        <v>2.7</v>
      </c>
      <c r="I115" s="401">
        <v>2.988</v>
      </c>
      <c r="J115" s="32">
        <v>120</v>
      </c>
      <c r="K115" s="32" t="s">
        <v>64</v>
      </c>
      <c r="L115" s="33" t="s">
        <v>129</v>
      </c>
      <c r="M115" s="33"/>
      <c r="N115" s="32">
        <v>45</v>
      </c>
      <c r="O115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09"/>
      <c r="Q115" s="409"/>
      <c r="R115" s="409"/>
      <c r="S115" s="407"/>
      <c r="T115" s="34"/>
      <c r="U115" s="34"/>
      <c r="V115" s="35" t="s">
        <v>66</v>
      </c>
      <c r="W115" s="402">
        <v>0</v>
      </c>
      <c r="X115" s="40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406">
        <v>4680115880894</v>
      </c>
      <c r="E116" s="407"/>
      <c r="F116" s="401">
        <v>0.33</v>
      </c>
      <c r="G116" s="32">
        <v>6</v>
      </c>
      <c r="H116" s="401">
        <v>1.98</v>
      </c>
      <c r="I116" s="401">
        <v>2.258</v>
      </c>
      <c r="J116" s="32">
        <v>156</v>
      </c>
      <c r="K116" s="32" t="s">
        <v>64</v>
      </c>
      <c r="L116" s="33" t="s">
        <v>129</v>
      </c>
      <c r="M116" s="33"/>
      <c r="N116" s="32">
        <v>45</v>
      </c>
      <c r="O116" s="6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09"/>
      <c r="Q116" s="409"/>
      <c r="R116" s="409"/>
      <c r="S116" s="407"/>
      <c r="T116" s="34"/>
      <c r="U116" s="34"/>
      <c r="V116" s="35" t="s">
        <v>66</v>
      </c>
      <c r="W116" s="402">
        <v>0</v>
      </c>
      <c r="X116" s="403">
        <f t="shared" si="18"/>
        <v>0</v>
      </c>
      <c r="Y116" s="36" t="str">
        <f t="shared" ref="Y116:Y121" si="23"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4301051820</v>
      </c>
      <c r="D117" s="406">
        <v>4680115884915</v>
      </c>
      <c r="E117" s="407"/>
      <c r="F117" s="401">
        <v>0.3</v>
      </c>
      <c r="G117" s="32">
        <v>6</v>
      </c>
      <c r="H117" s="401">
        <v>1.8</v>
      </c>
      <c r="I117" s="401">
        <v>2</v>
      </c>
      <c r="J117" s="32">
        <v>156</v>
      </c>
      <c r="K117" s="32" t="s">
        <v>64</v>
      </c>
      <c r="L117" s="33" t="s">
        <v>129</v>
      </c>
      <c r="M117" s="33"/>
      <c r="N117" s="32">
        <v>40</v>
      </c>
      <c r="O117" s="753" t="s">
        <v>206</v>
      </c>
      <c r="P117" s="409"/>
      <c r="Q117" s="409"/>
      <c r="R117" s="409"/>
      <c r="S117" s="407"/>
      <c r="T117" s="34"/>
      <c r="U117" s="34"/>
      <c r="V117" s="35" t="s">
        <v>66</v>
      </c>
      <c r="W117" s="402">
        <v>0</v>
      </c>
      <c r="X117" s="403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207</v>
      </c>
      <c r="B118" s="54" t="s">
        <v>208</v>
      </c>
      <c r="C118" s="31">
        <v>4301051313</v>
      </c>
      <c r="D118" s="406">
        <v>4607091385427</v>
      </c>
      <c r="E118" s="407"/>
      <c r="F118" s="401">
        <v>0.5</v>
      </c>
      <c r="G118" s="32">
        <v>6</v>
      </c>
      <c r="H118" s="401">
        <v>3</v>
      </c>
      <c r="I118" s="40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09"/>
      <c r="Q118" s="409"/>
      <c r="R118" s="409"/>
      <c r="S118" s="407"/>
      <c r="T118" s="34"/>
      <c r="U118" s="34"/>
      <c r="V118" s="35" t="s">
        <v>66</v>
      </c>
      <c r="W118" s="402">
        <v>0</v>
      </c>
      <c r="X118" s="403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209</v>
      </c>
      <c r="B119" s="54" t="s">
        <v>210</v>
      </c>
      <c r="C119" s="31">
        <v>4301051480</v>
      </c>
      <c r="D119" s="406">
        <v>4680115882645</v>
      </c>
      <c r="E119" s="407"/>
      <c r="F119" s="401">
        <v>0.3</v>
      </c>
      <c r="G119" s="32">
        <v>6</v>
      </c>
      <c r="H119" s="401">
        <v>1.8</v>
      </c>
      <c r="I119" s="40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09"/>
      <c r="Q119" s="409"/>
      <c r="R119" s="409"/>
      <c r="S119" s="407"/>
      <c r="T119" s="34"/>
      <c r="U119" s="34"/>
      <c r="V119" s="35" t="s">
        <v>66</v>
      </c>
      <c r="W119" s="402">
        <v>0</v>
      </c>
      <c r="X119" s="403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211</v>
      </c>
      <c r="B120" s="54" t="s">
        <v>212</v>
      </c>
      <c r="C120" s="31">
        <v>4301051837</v>
      </c>
      <c r="D120" s="406">
        <v>4680115884311</v>
      </c>
      <c r="E120" s="407"/>
      <c r="F120" s="401">
        <v>0.3</v>
      </c>
      <c r="G120" s="32">
        <v>6</v>
      </c>
      <c r="H120" s="401">
        <v>1.8</v>
      </c>
      <c r="I120" s="401">
        <v>2.0659999999999998</v>
      </c>
      <c r="J120" s="32">
        <v>156</v>
      </c>
      <c r="K120" s="32" t="s">
        <v>64</v>
      </c>
      <c r="L120" s="33" t="s">
        <v>129</v>
      </c>
      <c r="M120" s="33"/>
      <c r="N120" s="32">
        <v>40</v>
      </c>
      <c r="O120" s="521" t="s">
        <v>213</v>
      </c>
      <c r="P120" s="409"/>
      <c r="Q120" s="409"/>
      <c r="R120" s="409"/>
      <c r="S120" s="407"/>
      <c r="T120" s="34"/>
      <c r="U120" s="34"/>
      <c r="V120" s="35" t="s">
        <v>66</v>
      </c>
      <c r="W120" s="402">
        <v>0</v>
      </c>
      <c r="X120" s="403">
        <f t="shared" si="18"/>
        <v>0</v>
      </c>
      <c r="Y120" s="36" t="str">
        <f t="shared" si="23"/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214</v>
      </c>
      <c r="B121" s="54" t="s">
        <v>215</v>
      </c>
      <c r="C121" s="31">
        <v>4301051827</v>
      </c>
      <c r="D121" s="406">
        <v>4680115884403</v>
      </c>
      <c r="E121" s="407"/>
      <c r="F121" s="401">
        <v>0.3</v>
      </c>
      <c r="G121" s="32">
        <v>6</v>
      </c>
      <c r="H121" s="401">
        <v>1.8</v>
      </c>
      <c r="I121" s="40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97" t="s">
        <v>216</v>
      </c>
      <c r="P121" s="409"/>
      <c r="Q121" s="409"/>
      <c r="R121" s="409"/>
      <c r="S121" s="407"/>
      <c r="T121" s="34"/>
      <c r="U121" s="34"/>
      <c r="V121" s="35" t="s">
        <v>66</v>
      </c>
      <c r="W121" s="402">
        <v>0</v>
      </c>
      <c r="X121" s="403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14"/>
      <c r="B122" s="412"/>
      <c r="C122" s="412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5"/>
      <c r="O122" s="432" t="s">
        <v>70</v>
      </c>
      <c r="P122" s="433"/>
      <c r="Q122" s="433"/>
      <c r="R122" s="433"/>
      <c r="S122" s="433"/>
      <c r="T122" s="433"/>
      <c r="U122" s="434"/>
      <c r="V122" s="37" t="s">
        <v>71</v>
      </c>
      <c r="W122" s="40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1.6666666666666667</v>
      </c>
      <c r="X122" s="40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2</v>
      </c>
      <c r="Y122" s="40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1.004E-2</v>
      </c>
      <c r="Z122" s="405"/>
      <c r="AA122" s="405"/>
    </row>
    <row r="123" spans="1:67" x14ac:dyDescent="0.2">
      <c r="A123" s="412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5"/>
      <c r="O123" s="432" t="s">
        <v>70</v>
      </c>
      <c r="P123" s="433"/>
      <c r="Q123" s="433"/>
      <c r="R123" s="433"/>
      <c r="S123" s="433"/>
      <c r="T123" s="433"/>
      <c r="U123" s="434"/>
      <c r="V123" s="37" t="s">
        <v>66</v>
      </c>
      <c r="W123" s="404">
        <f>IFERROR(SUM(W107:W121),"0")</f>
        <v>2</v>
      </c>
      <c r="X123" s="404">
        <f>IFERROR(SUM(X107:X121),"0")</f>
        <v>2.4</v>
      </c>
      <c r="Y123" s="37"/>
      <c r="Z123" s="405"/>
      <c r="AA123" s="405"/>
    </row>
    <row r="124" spans="1:67" ht="14.25" customHeight="1" x14ac:dyDescent="0.25">
      <c r="A124" s="411" t="s">
        <v>217</v>
      </c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2"/>
      <c r="O124" s="412"/>
      <c r="P124" s="412"/>
      <c r="Q124" s="412"/>
      <c r="R124" s="412"/>
      <c r="S124" s="412"/>
      <c r="T124" s="412"/>
      <c r="U124" s="412"/>
      <c r="V124" s="412"/>
      <c r="W124" s="412"/>
      <c r="X124" s="412"/>
      <c r="Y124" s="412"/>
      <c r="Z124" s="395"/>
      <c r="AA124" s="395"/>
    </row>
    <row r="125" spans="1:67" ht="27" customHeight="1" x14ac:dyDescent="0.25">
      <c r="A125" s="54" t="s">
        <v>218</v>
      </c>
      <c r="B125" s="54" t="s">
        <v>219</v>
      </c>
      <c r="C125" s="31">
        <v>4301060296</v>
      </c>
      <c r="D125" s="406">
        <v>4607091383065</v>
      </c>
      <c r="E125" s="407"/>
      <c r="F125" s="401">
        <v>0.83</v>
      </c>
      <c r="G125" s="32">
        <v>4</v>
      </c>
      <c r="H125" s="401">
        <v>3.32</v>
      </c>
      <c r="I125" s="401">
        <v>3.5819999999999999</v>
      </c>
      <c r="J125" s="32">
        <v>120</v>
      </c>
      <c r="K125" s="32" t="s">
        <v>64</v>
      </c>
      <c r="L125" s="33" t="s">
        <v>65</v>
      </c>
      <c r="M125" s="33"/>
      <c r="N125" s="32">
        <v>30</v>
      </c>
      <c r="O125" s="76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5" s="409"/>
      <c r="Q125" s="409"/>
      <c r="R125" s="409"/>
      <c r="S125" s="407"/>
      <c r="T125" s="34"/>
      <c r="U125" s="34"/>
      <c r="V125" s="35" t="s">
        <v>66</v>
      </c>
      <c r="W125" s="402">
        <v>0</v>
      </c>
      <c r="X125" s="403">
        <f t="shared" ref="X125:X130" si="24">IFERROR(IF(W125="",0,CEILING((W125/$H125),1)*$H125),"")</f>
        <v>0</v>
      </c>
      <c r="Y125" s="36" t="str">
        <f>IFERROR(IF(X125=0,"",ROUNDUP(X125/H125,0)*0.00937),"")</f>
        <v/>
      </c>
      <c r="Z125" s="56"/>
      <c r="AA125" s="57"/>
      <c r="AE125" s="64"/>
      <c r="BB125" s="131" t="s">
        <v>1</v>
      </c>
      <c r="BL125" s="64">
        <f t="shared" ref="BL125:BL130" si="25">IFERROR(W125*I125/H125,"0")</f>
        <v>0</v>
      </c>
      <c r="BM125" s="64">
        <f t="shared" ref="BM125:BM130" si="26">IFERROR(X125*I125/H125,"0")</f>
        <v>0</v>
      </c>
      <c r="BN125" s="64">
        <f t="shared" ref="BN125:BN130" si="27">IFERROR(1/J125*(W125/H125),"0")</f>
        <v>0</v>
      </c>
      <c r="BO125" s="64">
        <f t="shared" ref="BO125:BO130" si="28">IFERROR(1/J125*(X125/H125),"0")</f>
        <v>0</v>
      </c>
    </row>
    <row r="126" spans="1:67" ht="27" customHeight="1" x14ac:dyDescent="0.25">
      <c r="A126" s="54" t="s">
        <v>220</v>
      </c>
      <c r="B126" s="54" t="s">
        <v>221</v>
      </c>
      <c r="C126" s="31">
        <v>4301060366</v>
      </c>
      <c r="D126" s="406">
        <v>4680115881532</v>
      </c>
      <c r="E126" s="407"/>
      <c r="F126" s="401">
        <v>1.3</v>
      </c>
      <c r="G126" s="32">
        <v>6</v>
      </c>
      <c r="H126" s="401">
        <v>7.8</v>
      </c>
      <c r="I126" s="401">
        <v>8.2799999999999994</v>
      </c>
      <c r="J126" s="32">
        <v>56</v>
      </c>
      <c r="K126" s="32" t="s">
        <v>109</v>
      </c>
      <c r="L126" s="33" t="s">
        <v>65</v>
      </c>
      <c r="M126" s="33"/>
      <c r="N126" s="32">
        <v>30</v>
      </c>
      <c r="O126" s="6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09"/>
      <c r="Q126" s="409"/>
      <c r="R126" s="409"/>
      <c r="S126" s="407"/>
      <c r="T126" s="34"/>
      <c r="U126" s="34"/>
      <c r="V126" s="35" t="s">
        <v>66</v>
      </c>
      <c r="W126" s="402">
        <v>0</v>
      </c>
      <c r="X126" s="403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220</v>
      </c>
      <c r="B127" s="54" t="s">
        <v>222</v>
      </c>
      <c r="C127" s="31">
        <v>4301060371</v>
      </c>
      <c r="D127" s="406">
        <v>4680115881532</v>
      </c>
      <c r="E127" s="407"/>
      <c r="F127" s="401">
        <v>1.4</v>
      </c>
      <c r="G127" s="32">
        <v>6</v>
      </c>
      <c r="H127" s="401">
        <v>8.4</v>
      </c>
      <c r="I127" s="401">
        <v>8.9640000000000004</v>
      </c>
      <c r="J127" s="32">
        <v>56</v>
      </c>
      <c r="K127" s="32" t="s">
        <v>109</v>
      </c>
      <c r="L127" s="33" t="s">
        <v>65</v>
      </c>
      <c r="M127" s="33"/>
      <c r="N127" s="32">
        <v>30</v>
      </c>
      <c r="O127" s="7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7" s="409"/>
      <c r="Q127" s="409"/>
      <c r="R127" s="409"/>
      <c r="S127" s="407"/>
      <c r="T127" s="34"/>
      <c r="U127" s="34"/>
      <c r="V127" s="35" t="s">
        <v>66</v>
      </c>
      <c r="W127" s="402">
        <v>32</v>
      </c>
      <c r="X127" s="403">
        <f t="shared" si="24"/>
        <v>33.6</v>
      </c>
      <c r="Y127" s="36">
        <f>IFERROR(IF(X127=0,"",ROUNDUP(X127/H127,0)*0.02175),"")</f>
        <v>8.6999999999999994E-2</v>
      </c>
      <c r="Z127" s="56"/>
      <c r="AA127" s="57"/>
      <c r="AE127" s="64"/>
      <c r="BB127" s="133" t="s">
        <v>1</v>
      </c>
      <c r="BL127" s="64">
        <f t="shared" si="25"/>
        <v>34.148571428571429</v>
      </c>
      <c r="BM127" s="64">
        <f t="shared" si="26"/>
        <v>35.856000000000002</v>
      </c>
      <c r="BN127" s="64">
        <f t="shared" si="27"/>
        <v>6.8027210884353734E-2</v>
      </c>
      <c r="BO127" s="64">
        <f t="shared" si="28"/>
        <v>7.1428571428571425E-2</v>
      </c>
    </row>
    <row r="128" spans="1:67" ht="27" customHeight="1" x14ac:dyDescent="0.25">
      <c r="A128" s="54" t="s">
        <v>223</v>
      </c>
      <c r="B128" s="54" t="s">
        <v>224</v>
      </c>
      <c r="C128" s="31">
        <v>4301060356</v>
      </c>
      <c r="D128" s="406">
        <v>4680115882652</v>
      </c>
      <c r="E128" s="407"/>
      <c r="F128" s="401">
        <v>0.33</v>
      </c>
      <c r="G128" s="32">
        <v>6</v>
      </c>
      <c r="H128" s="401">
        <v>1.98</v>
      </c>
      <c r="I128" s="401">
        <v>2.84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5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09"/>
      <c r="Q128" s="409"/>
      <c r="R128" s="409"/>
      <c r="S128" s="407"/>
      <c r="T128" s="34"/>
      <c r="U128" s="34"/>
      <c r="V128" s="35" t="s">
        <v>66</v>
      </c>
      <c r="W128" s="402">
        <v>0</v>
      </c>
      <c r="X128" s="403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16.5" customHeight="1" x14ac:dyDescent="0.25">
      <c r="A129" s="54" t="s">
        <v>225</v>
      </c>
      <c r="B129" s="54" t="s">
        <v>226</v>
      </c>
      <c r="C129" s="31">
        <v>4301060309</v>
      </c>
      <c r="D129" s="406">
        <v>4680115880238</v>
      </c>
      <c r="E129" s="407"/>
      <c r="F129" s="401">
        <v>0.33</v>
      </c>
      <c r="G129" s="32">
        <v>6</v>
      </c>
      <c r="H129" s="401">
        <v>1.98</v>
      </c>
      <c r="I129" s="401">
        <v>2.258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09"/>
      <c r="Q129" s="409"/>
      <c r="R129" s="409"/>
      <c r="S129" s="407"/>
      <c r="T129" s="34"/>
      <c r="U129" s="34"/>
      <c r="V129" s="35" t="s">
        <v>66</v>
      </c>
      <c r="W129" s="402">
        <v>0</v>
      </c>
      <c r="X129" s="403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27" customHeight="1" x14ac:dyDescent="0.25">
      <c r="A130" s="54" t="s">
        <v>227</v>
      </c>
      <c r="B130" s="54" t="s">
        <v>228</v>
      </c>
      <c r="C130" s="31">
        <v>4301060351</v>
      </c>
      <c r="D130" s="406">
        <v>4680115881464</v>
      </c>
      <c r="E130" s="407"/>
      <c r="F130" s="401">
        <v>0.4</v>
      </c>
      <c r="G130" s="32">
        <v>6</v>
      </c>
      <c r="H130" s="401">
        <v>2.4</v>
      </c>
      <c r="I130" s="401">
        <v>2.6</v>
      </c>
      <c r="J130" s="32">
        <v>156</v>
      </c>
      <c r="K130" s="32" t="s">
        <v>64</v>
      </c>
      <c r="L130" s="33" t="s">
        <v>129</v>
      </c>
      <c r="M130" s="33"/>
      <c r="N130" s="32">
        <v>30</v>
      </c>
      <c r="O130" s="75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09"/>
      <c r="Q130" s="409"/>
      <c r="R130" s="409"/>
      <c r="S130" s="407"/>
      <c r="T130" s="34"/>
      <c r="U130" s="34"/>
      <c r="V130" s="35" t="s">
        <v>66</v>
      </c>
      <c r="W130" s="402">
        <v>0</v>
      </c>
      <c r="X130" s="403">
        <f t="shared" si="24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5"/>
        <v>0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</row>
    <row r="131" spans="1:67" x14ac:dyDescent="0.2">
      <c r="A131" s="414"/>
      <c r="B131" s="412"/>
      <c r="C131" s="412"/>
      <c r="D131" s="412"/>
      <c r="E131" s="412"/>
      <c r="F131" s="412"/>
      <c r="G131" s="412"/>
      <c r="H131" s="412"/>
      <c r="I131" s="412"/>
      <c r="J131" s="412"/>
      <c r="K131" s="412"/>
      <c r="L131" s="412"/>
      <c r="M131" s="412"/>
      <c r="N131" s="415"/>
      <c r="O131" s="432" t="s">
        <v>70</v>
      </c>
      <c r="P131" s="433"/>
      <c r="Q131" s="433"/>
      <c r="R131" s="433"/>
      <c r="S131" s="433"/>
      <c r="T131" s="433"/>
      <c r="U131" s="434"/>
      <c r="V131" s="37" t="s">
        <v>71</v>
      </c>
      <c r="W131" s="404">
        <f>IFERROR(W125/H125,"0")+IFERROR(W126/H126,"0")+IFERROR(W127/H127,"0")+IFERROR(W128/H128,"0")+IFERROR(W129/H129,"0")+IFERROR(W130/H130,"0")</f>
        <v>3.8095238095238093</v>
      </c>
      <c r="X131" s="404">
        <f>IFERROR(X125/H125,"0")+IFERROR(X126/H126,"0")+IFERROR(X127/H127,"0")+IFERROR(X128/H128,"0")+IFERROR(X129/H129,"0")+IFERROR(X130/H130,"0")</f>
        <v>4</v>
      </c>
      <c r="Y131" s="404">
        <f>IFERROR(IF(Y125="",0,Y125),"0")+IFERROR(IF(Y126="",0,Y126),"0")+IFERROR(IF(Y127="",0,Y127),"0")+IFERROR(IF(Y128="",0,Y128),"0")+IFERROR(IF(Y129="",0,Y129),"0")+IFERROR(IF(Y130="",0,Y130),"0")</f>
        <v>8.6999999999999994E-2</v>
      </c>
      <c r="Z131" s="405"/>
      <c r="AA131" s="405"/>
    </row>
    <row r="132" spans="1:67" x14ac:dyDescent="0.2">
      <c r="A132" s="412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5"/>
      <c r="O132" s="432" t="s">
        <v>70</v>
      </c>
      <c r="P132" s="433"/>
      <c r="Q132" s="433"/>
      <c r="R132" s="433"/>
      <c r="S132" s="433"/>
      <c r="T132" s="433"/>
      <c r="U132" s="434"/>
      <c r="V132" s="37" t="s">
        <v>66</v>
      </c>
      <c r="W132" s="404">
        <f>IFERROR(SUM(W125:W130),"0")</f>
        <v>32</v>
      </c>
      <c r="X132" s="404">
        <f>IFERROR(SUM(X125:X130),"0")</f>
        <v>33.6</v>
      </c>
      <c r="Y132" s="37"/>
      <c r="Z132" s="405"/>
      <c r="AA132" s="405"/>
    </row>
    <row r="133" spans="1:67" ht="16.5" customHeight="1" x14ac:dyDescent="0.25">
      <c r="A133" s="421" t="s">
        <v>229</v>
      </c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2"/>
      <c r="O133" s="412"/>
      <c r="P133" s="412"/>
      <c r="Q133" s="412"/>
      <c r="R133" s="412"/>
      <c r="S133" s="412"/>
      <c r="T133" s="412"/>
      <c r="U133" s="412"/>
      <c r="V133" s="412"/>
      <c r="W133" s="412"/>
      <c r="X133" s="412"/>
      <c r="Y133" s="412"/>
      <c r="Z133" s="396"/>
      <c r="AA133" s="396"/>
    </row>
    <row r="134" spans="1:67" ht="14.25" customHeight="1" x14ac:dyDescent="0.25">
      <c r="A134" s="411" t="s">
        <v>72</v>
      </c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395"/>
      <c r="AA134" s="395"/>
    </row>
    <row r="135" spans="1:67" ht="27" customHeight="1" x14ac:dyDescent="0.25">
      <c r="A135" s="54" t="s">
        <v>230</v>
      </c>
      <c r="B135" s="54" t="s">
        <v>231</v>
      </c>
      <c r="C135" s="31">
        <v>4301051360</v>
      </c>
      <c r="D135" s="406">
        <v>4607091385168</v>
      </c>
      <c r="E135" s="407"/>
      <c r="F135" s="401">
        <v>1.35</v>
      </c>
      <c r="G135" s="32">
        <v>6</v>
      </c>
      <c r="H135" s="401">
        <v>8.1</v>
      </c>
      <c r="I135" s="401">
        <v>8.6579999999999995</v>
      </c>
      <c r="J135" s="32">
        <v>56</v>
      </c>
      <c r="K135" s="32" t="s">
        <v>109</v>
      </c>
      <c r="L135" s="33" t="s">
        <v>129</v>
      </c>
      <c r="M135" s="33"/>
      <c r="N135" s="32">
        <v>45</v>
      </c>
      <c r="O135" s="7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09"/>
      <c r="Q135" s="409"/>
      <c r="R135" s="409"/>
      <c r="S135" s="407"/>
      <c r="T135" s="34"/>
      <c r="U135" s="34"/>
      <c r="V135" s="35" t="s">
        <v>66</v>
      </c>
      <c r="W135" s="402">
        <v>0</v>
      </c>
      <c r="X135" s="403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27" customHeight="1" x14ac:dyDescent="0.25">
      <c r="A136" s="54" t="s">
        <v>230</v>
      </c>
      <c r="B136" s="54" t="s">
        <v>232</v>
      </c>
      <c r="C136" s="31">
        <v>4301051612</v>
      </c>
      <c r="D136" s="406">
        <v>4607091385168</v>
      </c>
      <c r="E136" s="407"/>
      <c r="F136" s="401">
        <v>1.4</v>
      </c>
      <c r="G136" s="32">
        <v>6</v>
      </c>
      <c r="H136" s="401">
        <v>8.4</v>
      </c>
      <c r="I136" s="401">
        <v>8.9580000000000002</v>
      </c>
      <c r="J136" s="32">
        <v>56</v>
      </c>
      <c r="K136" s="32" t="s">
        <v>109</v>
      </c>
      <c r="L136" s="33" t="s">
        <v>65</v>
      </c>
      <c r="M136" s="33"/>
      <c r="N136" s="32">
        <v>45</v>
      </c>
      <c r="O136" s="4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09"/>
      <c r="Q136" s="409"/>
      <c r="R136" s="409"/>
      <c r="S136" s="407"/>
      <c r="T136" s="34"/>
      <c r="U136" s="34"/>
      <c r="V136" s="35" t="s">
        <v>66</v>
      </c>
      <c r="W136" s="402">
        <v>0</v>
      </c>
      <c r="X136" s="403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233</v>
      </c>
      <c r="B137" s="54" t="s">
        <v>234</v>
      </c>
      <c r="C137" s="31">
        <v>4301051362</v>
      </c>
      <c r="D137" s="406">
        <v>4607091383256</v>
      </c>
      <c r="E137" s="407"/>
      <c r="F137" s="401">
        <v>0.33</v>
      </c>
      <c r="G137" s="32">
        <v>6</v>
      </c>
      <c r="H137" s="401">
        <v>1.98</v>
      </c>
      <c r="I137" s="401">
        <v>2.246</v>
      </c>
      <c r="J137" s="32">
        <v>156</v>
      </c>
      <c r="K137" s="32" t="s">
        <v>64</v>
      </c>
      <c r="L137" s="33" t="s">
        <v>129</v>
      </c>
      <c r="M137" s="33"/>
      <c r="N137" s="32">
        <v>45</v>
      </c>
      <c r="O137" s="62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09"/>
      <c r="Q137" s="409"/>
      <c r="R137" s="409"/>
      <c r="S137" s="407"/>
      <c r="T137" s="34"/>
      <c r="U137" s="34"/>
      <c r="V137" s="35" t="s">
        <v>66</v>
      </c>
      <c r="W137" s="402">
        <v>0</v>
      </c>
      <c r="X137" s="403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235</v>
      </c>
      <c r="B138" s="54" t="s">
        <v>236</v>
      </c>
      <c r="C138" s="31">
        <v>4301051358</v>
      </c>
      <c r="D138" s="406">
        <v>4607091385748</v>
      </c>
      <c r="E138" s="407"/>
      <c r="F138" s="401">
        <v>0.45</v>
      </c>
      <c r="G138" s="32">
        <v>6</v>
      </c>
      <c r="H138" s="401">
        <v>2.7</v>
      </c>
      <c r="I138" s="401">
        <v>2.972</v>
      </c>
      <c r="J138" s="32">
        <v>156</v>
      </c>
      <c r="K138" s="32" t="s">
        <v>64</v>
      </c>
      <c r="L138" s="33" t="s">
        <v>129</v>
      </c>
      <c r="M138" s="33"/>
      <c r="N138" s="32">
        <v>45</v>
      </c>
      <c r="O138" s="6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09"/>
      <c r="Q138" s="409"/>
      <c r="R138" s="409"/>
      <c r="S138" s="407"/>
      <c r="T138" s="34"/>
      <c r="U138" s="34"/>
      <c r="V138" s="35" t="s">
        <v>66</v>
      </c>
      <c r="W138" s="402">
        <v>0</v>
      </c>
      <c r="X138" s="403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237</v>
      </c>
      <c r="B139" s="54" t="s">
        <v>238</v>
      </c>
      <c r="C139" s="31">
        <v>4301051738</v>
      </c>
      <c r="D139" s="406">
        <v>4680115884533</v>
      </c>
      <c r="E139" s="407"/>
      <c r="F139" s="401">
        <v>0.3</v>
      </c>
      <c r="G139" s="32">
        <v>6</v>
      </c>
      <c r="H139" s="401">
        <v>1.8</v>
      </c>
      <c r="I139" s="401">
        <v>2</v>
      </c>
      <c r="J139" s="32">
        <v>156</v>
      </c>
      <c r="K139" s="32" t="s">
        <v>64</v>
      </c>
      <c r="L139" s="33" t="s">
        <v>65</v>
      </c>
      <c r="M139" s="33"/>
      <c r="N139" s="32">
        <v>45</v>
      </c>
      <c r="O139" s="6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09"/>
      <c r="Q139" s="409"/>
      <c r="R139" s="409"/>
      <c r="S139" s="407"/>
      <c r="T139" s="34"/>
      <c r="U139" s="34"/>
      <c r="V139" s="35" t="s">
        <v>66</v>
      </c>
      <c r="W139" s="402">
        <v>0</v>
      </c>
      <c r="X139" s="403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x14ac:dyDescent="0.2">
      <c r="A140" s="414"/>
      <c r="B140" s="412"/>
      <c r="C140" s="412"/>
      <c r="D140" s="412"/>
      <c r="E140" s="412"/>
      <c r="F140" s="412"/>
      <c r="G140" s="412"/>
      <c r="H140" s="412"/>
      <c r="I140" s="412"/>
      <c r="J140" s="412"/>
      <c r="K140" s="412"/>
      <c r="L140" s="412"/>
      <c r="M140" s="412"/>
      <c r="N140" s="415"/>
      <c r="O140" s="432" t="s">
        <v>70</v>
      </c>
      <c r="P140" s="433"/>
      <c r="Q140" s="433"/>
      <c r="R140" s="433"/>
      <c r="S140" s="433"/>
      <c r="T140" s="433"/>
      <c r="U140" s="434"/>
      <c r="V140" s="37" t="s">
        <v>71</v>
      </c>
      <c r="W140" s="404">
        <f>IFERROR(W135/H135,"0")+IFERROR(W136/H136,"0")+IFERROR(W137/H137,"0")+IFERROR(W138/H138,"0")+IFERROR(W139/H139,"0")</f>
        <v>0</v>
      </c>
      <c r="X140" s="404">
        <f>IFERROR(X135/H135,"0")+IFERROR(X136/H136,"0")+IFERROR(X137/H137,"0")+IFERROR(X138/H138,"0")+IFERROR(X139/H139,"0")</f>
        <v>0</v>
      </c>
      <c r="Y140" s="404">
        <f>IFERROR(IF(Y135="",0,Y135),"0")+IFERROR(IF(Y136="",0,Y136),"0")+IFERROR(IF(Y137="",0,Y137),"0")+IFERROR(IF(Y138="",0,Y138),"0")+IFERROR(IF(Y139="",0,Y139),"0")</f>
        <v>0</v>
      </c>
      <c r="Z140" s="405"/>
      <c r="AA140" s="405"/>
    </row>
    <row r="141" spans="1:67" x14ac:dyDescent="0.2">
      <c r="A141" s="412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5"/>
      <c r="O141" s="432" t="s">
        <v>70</v>
      </c>
      <c r="P141" s="433"/>
      <c r="Q141" s="433"/>
      <c r="R141" s="433"/>
      <c r="S141" s="433"/>
      <c r="T141" s="433"/>
      <c r="U141" s="434"/>
      <c r="V141" s="37" t="s">
        <v>66</v>
      </c>
      <c r="W141" s="404">
        <f>IFERROR(SUM(W135:W139),"0")</f>
        <v>0</v>
      </c>
      <c r="X141" s="404">
        <f>IFERROR(SUM(X135:X139),"0")</f>
        <v>0</v>
      </c>
      <c r="Y141" s="37"/>
      <c r="Z141" s="405"/>
      <c r="AA141" s="405"/>
    </row>
    <row r="142" spans="1:67" ht="27.75" customHeight="1" x14ac:dyDescent="0.2">
      <c r="A142" s="453" t="s">
        <v>239</v>
      </c>
      <c r="B142" s="454"/>
      <c r="C142" s="454"/>
      <c r="D142" s="454"/>
      <c r="E142" s="454"/>
      <c r="F142" s="454"/>
      <c r="G142" s="454"/>
      <c r="H142" s="454"/>
      <c r="I142" s="454"/>
      <c r="J142" s="454"/>
      <c r="K142" s="454"/>
      <c r="L142" s="454"/>
      <c r="M142" s="454"/>
      <c r="N142" s="454"/>
      <c r="O142" s="454"/>
      <c r="P142" s="454"/>
      <c r="Q142" s="454"/>
      <c r="R142" s="454"/>
      <c r="S142" s="454"/>
      <c r="T142" s="454"/>
      <c r="U142" s="454"/>
      <c r="V142" s="454"/>
      <c r="W142" s="454"/>
      <c r="X142" s="454"/>
      <c r="Y142" s="454"/>
      <c r="Z142" s="48"/>
      <c r="AA142" s="48"/>
    </row>
    <row r="143" spans="1:67" ht="16.5" customHeight="1" x14ac:dyDescent="0.25">
      <c r="A143" s="421" t="s">
        <v>240</v>
      </c>
      <c r="B143" s="412"/>
      <c r="C143" s="412"/>
      <c r="D143" s="412"/>
      <c r="E143" s="412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  <c r="S143" s="412"/>
      <c r="T143" s="412"/>
      <c r="U143" s="412"/>
      <c r="V143" s="412"/>
      <c r="W143" s="412"/>
      <c r="X143" s="412"/>
      <c r="Y143" s="412"/>
      <c r="Z143" s="396"/>
      <c r="AA143" s="396"/>
    </row>
    <row r="144" spans="1:67" ht="14.25" customHeight="1" x14ac:dyDescent="0.25">
      <c r="A144" s="411" t="s">
        <v>114</v>
      </c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395"/>
      <c r="AA144" s="395"/>
    </row>
    <row r="145" spans="1:67" ht="27" customHeight="1" x14ac:dyDescent="0.25">
      <c r="A145" s="54" t="s">
        <v>241</v>
      </c>
      <c r="B145" s="54" t="s">
        <v>242</v>
      </c>
      <c r="C145" s="31">
        <v>4301011223</v>
      </c>
      <c r="D145" s="406">
        <v>4607091383423</v>
      </c>
      <c r="E145" s="407"/>
      <c r="F145" s="401">
        <v>1.35</v>
      </c>
      <c r="G145" s="32">
        <v>8</v>
      </c>
      <c r="H145" s="401">
        <v>10.8</v>
      </c>
      <c r="I145" s="401">
        <v>11.375999999999999</v>
      </c>
      <c r="J145" s="32">
        <v>56</v>
      </c>
      <c r="K145" s="32" t="s">
        <v>109</v>
      </c>
      <c r="L145" s="33" t="s">
        <v>129</v>
      </c>
      <c r="M145" s="33"/>
      <c r="N145" s="32">
        <v>35</v>
      </c>
      <c r="O145" s="5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09"/>
      <c r="Q145" s="409"/>
      <c r="R145" s="409"/>
      <c r="S145" s="407"/>
      <c r="T145" s="34"/>
      <c r="U145" s="34"/>
      <c r="V145" s="35" t="s">
        <v>66</v>
      </c>
      <c r="W145" s="402">
        <v>0</v>
      </c>
      <c r="X145" s="40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243</v>
      </c>
      <c r="B146" s="54" t="s">
        <v>244</v>
      </c>
      <c r="C146" s="31">
        <v>4301011876</v>
      </c>
      <c r="D146" s="406">
        <v>4680115885707</v>
      </c>
      <c r="E146" s="407"/>
      <c r="F146" s="401">
        <v>0.9</v>
      </c>
      <c r="G146" s="32">
        <v>10</v>
      </c>
      <c r="H146" s="401">
        <v>9</v>
      </c>
      <c r="I146" s="401">
        <v>9.48</v>
      </c>
      <c r="J146" s="32">
        <v>56</v>
      </c>
      <c r="K146" s="32" t="s">
        <v>109</v>
      </c>
      <c r="L146" s="33" t="s">
        <v>110</v>
      </c>
      <c r="M146" s="33"/>
      <c r="N146" s="32">
        <v>31</v>
      </c>
      <c r="O146" s="816" t="s">
        <v>245</v>
      </c>
      <c r="P146" s="409"/>
      <c r="Q146" s="409"/>
      <c r="R146" s="409"/>
      <c r="S146" s="407"/>
      <c r="T146" s="34"/>
      <c r="U146" s="34"/>
      <c r="V146" s="35" t="s">
        <v>66</v>
      </c>
      <c r="W146" s="402">
        <v>0</v>
      </c>
      <c r="X146" s="40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4301011878</v>
      </c>
      <c r="D147" s="406">
        <v>4680115885660</v>
      </c>
      <c r="E147" s="407"/>
      <c r="F147" s="401">
        <v>1.35</v>
      </c>
      <c r="G147" s="32">
        <v>8</v>
      </c>
      <c r="H147" s="401">
        <v>10.8</v>
      </c>
      <c r="I147" s="401">
        <v>11.28</v>
      </c>
      <c r="J147" s="32">
        <v>56</v>
      </c>
      <c r="K147" s="32" t="s">
        <v>109</v>
      </c>
      <c r="L147" s="33" t="s">
        <v>65</v>
      </c>
      <c r="M147" s="33"/>
      <c r="N147" s="32">
        <v>35</v>
      </c>
      <c r="O147" s="526" t="s">
        <v>248</v>
      </c>
      <c r="P147" s="409"/>
      <c r="Q147" s="409"/>
      <c r="R147" s="409"/>
      <c r="S147" s="407"/>
      <c r="T147" s="34"/>
      <c r="U147" s="34"/>
      <c r="V147" s="35" t="s">
        <v>66</v>
      </c>
      <c r="W147" s="402">
        <v>0</v>
      </c>
      <c r="X147" s="40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37.5" customHeight="1" x14ac:dyDescent="0.25">
      <c r="A148" s="54" t="s">
        <v>249</v>
      </c>
      <c r="B148" s="54" t="s">
        <v>250</v>
      </c>
      <c r="C148" s="31">
        <v>4301011333</v>
      </c>
      <c r="D148" s="406">
        <v>4607091386516</v>
      </c>
      <c r="E148" s="407"/>
      <c r="F148" s="401">
        <v>1.4</v>
      </c>
      <c r="G148" s="32">
        <v>8</v>
      </c>
      <c r="H148" s="401">
        <v>11.2</v>
      </c>
      <c r="I148" s="401">
        <v>11.776</v>
      </c>
      <c r="J148" s="32">
        <v>56</v>
      </c>
      <c r="K148" s="32" t="s">
        <v>109</v>
      </c>
      <c r="L148" s="33" t="s">
        <v>65</v>
      </c>
      <c r="M148" s="33"/>
      <c r="N148" s="32">
        <v>30</v>
      </c>
      <c r="O148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8" s="409"/>
      <c r="Q148" s="409"/>
      <c r="R148" s="409"/>
      <c r="S148" s="407"/>
      <c r="T148" s="34"/>
      <c r="U148" s="34"/>
      <c r="V148" s="35" t="s">
        <v>66</v>
      </c>
      <c r="W148" s="402">
        <v>0</v>
      </c>
      <c r="X148" s="40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251</v>
      </c>
      <c r="B149" s="54" t="s">
        <v>252</v>
      </c>
      <c r="C149" s="31">
        <v>4301011879</v>
      </c>
      <c r="D149" s="406">
        <v>4680115885691</v>
      </c>
      <c r="E149" s="407"/>
      <c r="F149" s="401">
        <v>1.35</v>
      </c>
      <c r="G149" s="32">
        <v>8</v>
      </c>
      <c r="H149" s="401">
        <v>10.8</v>
      </c>
      <c r="I149" s="401">
        <v>11.28</v>
      </c>
      <c r="J149" s="32">
        <v>56</v>
      </c>
      <c r="K149" s="32" t="s">
        <v>109</v>
      </c>
      <c r="L149" s="33" t="s">
        <v>65</v>
      </c>
      <c r="M149" s="33"/>
      <c r="N149" s="32">
        <v>30</v>
      </c>
      <c r="O149" s="461" t="s">
        <v>253</v>
      </c>
      <c r="P149" s="409"/>
      <c r="Q149" s="409"/>
      <c r="R149" s="409"/>
      <c r="S149" s="407"/>
      <c r="T149" s="34"/>
      <c r="U149" s="34"/>
      <c r="V149" s="35" t="s">
        <v>66</v>
      </c>
      <c r="W149" s="402">
        <v>0</v>
      </c>
      <c r="X149" s="403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x14ac:dyDescent="0.2">
      <c r="A150" s="414"/>
      <c r="B150" s="412"/>
      <c r="C150" s="412"/>
      <c r="D150" s="412"/>
      <c r="E150" s="412"/>
      <c r="F150" s="412"/>
      <c r="G150" s="412"/>
      <c r="H150" s="412"/>
      <c r="I150" s="412"/>
      <c r="J150" s="412"/>
      <c r="K150" s="412"/>
      <c r="L150" s="412"/>
      <c r="M150" s="412"/>
      <c r="N150" s="415"/>
      <c r="O150" s="432" t="s">
        <v>70</v>
      </c>
      <c r="P150" s="433"/>
      <c r="Q150" s="433"/>
      <c r="R150" s="433"/>
      <c r="S150" s="433"/>
      <c r="T150" s="433"/>
      <c r="U150" s="434"/>
      <c r="V150" s="37" t="s">
        <v>71</v>
      </c>
      <c r="W150" s="404">
        <f>IFERROR(W145/H145,"0")+IFERROR(W146/H146,"0")+IFERROR(W147/H147,"0")+IFERROR(W148/H148,"0")+IFERROR(W149/H149,"0")</f>
        <v>0</v>
      </c>
      <c r="X150" s="404">
        <f>IFERROR(X145/H145,"0")+IFERROR(X146/H146,"0")+IFERROR(X147/H147,"0")+IFERROR(X148/H148,"0")+IFERROR(X149/H149,"0")</f>
        <v>0</v>
      </c>
      <c r="Y150" s="404">
        <f>IFERROR(IF(Y145="",0,Y145),"0")+IFERROR(IF(Y146="",0,Y146),"0")+IFERROR(IF(Y147="",0,Y147),"0")+IFERROR(IF(Y148="",0,Y148),"0")+IFERROR(IF(Y149="",0,Y149),"0")</f>
        <v>0</v>
      </c>
      <c r="Z150" s="405"/>
      <c r="AA150" s="405"/>
    </row>
    <row r="151" spans="1:67" x14ac:dyDescent="0.2">
      <c r="A151" s="412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15"/>
      <c r="O151" s="432" t="s">
        <v>70</v>
      </c>
      <c r="P151" s="433"/>
      <c r="Q151" s="433"/>
      <c r="R151" s="433"/>
      <c r="S151" s="433"/>
      <c r="T151" s="433"/>
      <c r="U151" s="434"/>
      <c r="V151" s="37" t="s">
        <v>66</v>
      </c>
      <c r="W151" s="404">
        <f>IFERROR(SUM(W145:W149),"0")</f>
        <v>0</v>
      </c>
      <c r="X151" s="404">
        <f>IFERROR(SUM(X145:X149),"0")</f>
        <v>0</v>
      </c>
      <c r="Y151" s="37"/>
      <c r="Z151" s="405"/>
      <c r="AA151" s="405"/>
    </row>
    <row r="152" spans="1:67" ht="16.5" customHeight="1" x14ac:dyDescent="0.25">
      <c r="A152" s="421" t="s">
        <v>254</v>
      </c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12"/>
      <c r="O152" s="412"/>
      <c r="P152" s="412"/>
      <c r="Q152" s="412"/>
      <c r="R152" s="412"/>
      <c r="S152" s="412"/>
      <c r="T152" s="412"/>
      <c r="U152" s="412"/>
      <c r="V152" s="412"/>
      <c r="W152" s="412"/>
      <c r="X152" s="412"/>
      <c r="Y152" s="412"/>
      <c r="Z152" s="396"/>
      <c r="AA152" s="396"/>
    </row>
    <row r="153" spans="1:67" ht="14.25" customHeight="1" x14ac:dyDescent="0.25">
      <c r="A153" s="411" t="s">
        <v>61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395"/>
      <c r="AA153" s="395"/>
    </row>
    <row r="154" spans="1:67" ht="27" customHeight="1" x14ac:dyDescent="0.25">
      <c r="A154" s="54" t="s">
        <v>255</v>
      </c>
      <c r="B154" s="54" t="s">
        <v>256</v>
      </c>
      <c r="C154" s="31">
        <v>4301031191</v>
      </c>
      <c r="D154" s="406">
        <v>4680115880993</v>
      </c>
      <c r="E154" s="407"/>
      <c r="F154" s="401">
        <v>0.7</v>
      </c>
      <c r="G154" s="32">
        <v>6</v>
      </c>
      <c r="H154" s="401">
        <v>4.2</v>
      </c>
      <c r="I154" s="40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4" s="409"/>
      <c r="Q154" s="409"/>
      <c r="R154" s="409"/>
      <c r="S154" s="407"/>
      <c r="T154" s="34"/>
      <c r="U154" s="34"/>
      <c r="V154" s="35" t="s">
        <v>66</v>
      </c>
      <c r="W154" s="402">
        <v>0</v>
      </c>
      <c r="X154" s="403">
        <f t="shared" ref="X154:X162" si="29">IFERROR(IF(W154="",0,CEILING((W154/$H154),1)*$H154),"")</f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ref="BL154:BL162" si="30">IFERROR(W154*I154/H154,"0")</f>
        <v>0</v>
      </c>
      <c r="BM154" s="64">
        <f t="shared" ref="BM154:BM162" si="31">IFERROR(X154*I154/H154,"0")</f>
        <v>0</v>
      </c>
      <c r="BN154" s="64">
        <f t="shared" ref="BN154:BN162" si="32">IFERROR(1/J154*(W154/H154),"0")</f>
        <v>0</v>
      </c>
      <c r="BO154" s="64">
        <f t="shared" ref="BO154:BO162" si="33">IFERROR(1/J154*(X154/H154),"0")</f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4301031204</v>
      </c>
      <c r="D155" s="406">
        <v>4680115881761</v>
      </c>
      <c r="E155" s="407"/>
      <c r="F155" s="401">
        <v>0.7</v>
      </c>
      <c r="G155" s="32">
        <v>6</v>
      </c>
      <c r="H155" s="401">
        <v>4.2</v>
      </c>
      <c r="I155" s="401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5" s="409"/>
      <c r="Q155" s="409"/>
      <c r="R155" s="409"/>
      <c r="S155" s="407"/>
      <c r="T155" s="34"/>
      <c r="U155" s="34"/>
      <c r="V155" s="35" t="s">
        <v>66</v>
      </c>
      <c r="W155" s="402">
        <v>0</v>
      </c>
      <c r="X155" s="403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4301031201</v>
      </c>
      <c r="D156" s="406">
        <v>4680115881563</v>
      </c>
      <c r="E156" s="407"/>
      <c r="F156" s="401">
        <v>0.7</v>
      </c>
      <c r="G156" s="32">
        <v>6</v>
      </c>
      <c r="H156" s="401">
        <v>4.2</v>
      </c>
      <c r="I156" s="401">
        <v>4.4000000000000004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6" s="409"/>
      <c r="Q156" s="409"/>
      <c r="R156" s="409"/>
      <c r="S156" s="407"/>
      <c r="T156" s="34"/>
      <c r="U156" s="34"/>
      <c r="V156" s="35" t="s">
        <v>66</v>
      </c>
      <c r="W156" s="402">
        <v>0</v>
      </c>
      <c r="X156" s="403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261</v>
      </c>
      <c r="B157" s="54" t="s">
        <v>262</v>
      </c>
      <c r="C157" s="31">
        <v>4301031199</v>
      </c>
      <c r="D157" s="406">
        <v>4680115880986</v>
      </c>
      <c r="E157" s="407"/>
      <c r="F157" s="401">
        <v>0.35</v>
      </c>
      <c r="G157" s="32">
        <v>6</v>
      </c>
      <c r="H157" s="401">
        <v>2.1</v>
      </c>
      <c r="I157" s="40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7" s="409"/>
      <c r="Q157" s="409"/>
      <c r="R157" s="409"/>
      <c r="S157" s="407"/>
      <c r="T157" s="34"/>
      <c r="U157" s="34"/>
      <c r="V157" s="35" t="s">
        <v>66</v>
      </c>
      <c r="W157" s="402">
        <v>0</v>
      </c>
      <c r="X157" s="403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263</v>
      </c>
      <c r="B158" s="54" t="s">
        <v>264</v>
      </c>
      <c r="C158" s="31">
        <v>4301031190</v>
      </c>
      <c r="D158" s="406">
        <v>4680115880207</v>
      </c>
      <c r="E158" s="407"/>
      <c r="F158" s="401">
        <v>0.4</v>
      </c>
      <c r="G158" s="32">
        <v>6</v>
      </c>
      <c r="H158" s="401">
        <v>2.4</v>
      </c>
      <c r="I158" s="401">
        <v>2.63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8" s="409"/>
      <c r="Q158" s="409"/>
      <c r="R158" s="409"/>
      <c r="S158" s="407"/>
      <c r="T158" s="34"/>
      <c r="U158" s="34"/>
      <c r="V158" s="35" t="s">
        <v>66</v>
      </c>
      <c r="W158" s="402">
        <v>0</v>
      </c>
      <c r="X158" s="403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27" customHeight="1" x14ac:dyDescent="0.25">
      <c r="A159" s="54" t="s">
        <v>265</v>
      </c>
      <c r="B159" s="54" t="s">
        <v>266</v>
      </c>
      <c r="C159" s="31">
        <v>4301031205</v>
      </c>
      <c r="D159" s="406">
        <v>4680115881785</v>
      </c>
      <c r="E159" s="407"/>
      <c r="F159" s="401">
        <v>0.35</v>
      </c>
      <c r="G159" s="32">
        <v>6</v>
      </c>
      <c r="H159" s="401">
        <v>2.1</v>
      </c>
      <c r="I159" s="401">
        <v>2.23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9" s="409"/>
      <c r="Q159" s="409"/>
      <c r="R159" s="409"/>
      <c r="S159" s="407"/>
      <c r="T159" s="34"/>
      <c r="U159" s="34"/>
      <c r="V159" s="35" t="s">
        <v>66</v>
      </c>
      <c r="W159" s="402">
        <v>0</v>
      </c>
      <c r="X159" s="403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customHeight="1" x14ac:dyDescent="0.25">
      <c r="A160" s="54" t="s">
        <v>267</v>
      </c>
      <c r="B160" s="54" t="s">
        <v>268</v>
      </c>
      <c r="C160" s="31">
        <v>4301031202</v>
      </c>
      <c r="D160" s="406">
        <v>4680115881679</v>
      </c>
      <c r="E160" s="407"/>
      <c r="F160" s="401">
        <v>0.35</v>
      </c>
      <c r="G160" s="32">
        <v>6</v>
      </c>
      <c r="H160" s="401">
        <v>2.1</v>
      </c>
      <c r="I160" s="401">
        <v>2.2000000000000002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0" s="409"/>
      <c r="Q160" s="409"/>
      <c r="R160" s="409"/>
      <c r="S160" s="407"/>
      <c r="T160" s="34"/>
      <c r="U160" s="34"/>
      <c r="V160" s="35" t="s">
        <v>66</v>
      </c>
      <c r="W160" s="402">
        <v>0</v>
      </c>
      <c r="X160" s="403">
        <f t="shared" si="29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30"/>
        <v>0</v>
      </c>
      <c r="BM160" s="64">
        <f t="shared" si="31"/>
        <v>0</v>
      </c>
      <c r="BN160" s="64">
        <f t="shared" si="32"/>
        <v>0</v>
      </c>
      <c r="BO160" s="64">
        <f t="shared" si="33"/>
        <v>0</v>
      </c>
    </row>
    <row r="161" spans="1:67" ht="27" customHeight="1" x14ac:dyDescent="0.25">
      <c r="A161" s="54" t="s">
        <v>269</v>
      </c>
      <c r="B161" s="54" t="s">
        <v>270</v>
      </c>
      <c r="C161" s="31">
        <v>4301031158</v>
      </c>
      <c r="D161" s="406">
        <v>4680115880191</v>
      </c>
      <c r="E161" s="407"/>
      <c r="F161" s="401">
        <v>0.4</v>
      </c>
      <c r="G161" s="32">
        <v>6</v>
      </c>
      <c r="H161" s="401">
        <v>2.4</v>
      </c>
      <c r="I161" s="401">
        <v>2.6</v>
      </c>
      <c r="J161" s="32">
        <v>156</v>
      </c>
      <c r="K161" s="32" t="s">
        <v>64</v>
      </c>
      <c r="L161" s="33" t="s">
        <v>65</v>
      </c>
      <c r="M161" s="33"/>
      <c r="N161" s="32">
        <v>40</v>
      </c>
      <c r="O161" s="7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1" s="409"/>
      <c r="Q161" s="409"/>
      <c r="R161" s="409"/>
      <c r="S161" s="407"/>
      <c r="T161" s="34"/>
      <c r="U161" s="34"/>
      <c r="V161" s="35" t="s">
        <v>66</v>
      </c>
      <c r="W161" s="402">
        <v>0</v>
      </c>
      <c r="X161" s="403">
        <f t="shared" si="29"/>
        <v>0</v>
      </c>
      <c r="Y161" s="36" t="str">
        <f>IFERROR(IF(X161=0,"",ROUNDUP(X161/H161,0)*0.00753),"")</f>
        <v/>
      </c>
      <c r="Z161" s="56"/>
      <c r="AA161" s="57"/>
      <c r="AE161" s="64"/>
      <c r="BB161" s="154" t="s">
        <v>1</v>
      </c>
      <c r="BL161" s="64">
        <f t="shared" si="30"/>
        <v>0</v>
      </c>
      <c r="BM161" s="64">
        <f t="shared" si="31"/>
        <v>0</v>
      </c>
      <c r="BN161" s="64">
        <f t="shared" si="32"/>
        <v>0</v>
      </c>
      <c r="BO161" s="64">
        <f t="shared" si="33"/>
        <v>0</v>
      </c>
    </row>
    <row r="162" spans="1:67" ht="16.5" customHeight="1" x14ac:dyDescent="0.25">
      <c r="A162" s="54" t="s">
        <v>271</v>
      </c>
      <c r="B162" s="54" t="s">
        <v>272</v>
      </c>
      <c r="C162" s="31">
        <v>4301031245</v>
      </c>
      <c r="D162" s="406">
        <v>4680115883963</v>
      </c>
      <c r="E162" s="407"/>
      <c r="F162" s="401">
        <v>0.28000000000000003</v>
      </c>
      <c r="G162" s="32">
        <v>6</v>
      </c>
      <c r="H162" s="401">
        <v>1.68</v>
      </c>
      <c r="I162" s="401">
        <v>1.78</v>
      </c>
      <c r="J162" s="32">
        <v>234</v>
      </c>
      <c r="K162" s="32" t="s">
        <v>69</v>
      </c>
      <c r="L162" s="33" t="s">
        <v>65</v>
      </c>
      <c r="M162" s="33"/>
      <c r="N162" s="32">
        <v>40</v>
      </c>
      <c r="O162" s="7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2" s="409"/>
      <c r="Q162" s="409"/>
      <c r="R162" s="409"/>
      <c r="S162" s="407"/>
      <c r="T162" s="34"/>
      <c r="U162" s="34"/>
      <c r="V162" s="35" t="s">
        <v>66</v>
      </c>
      <c r="W162" s="402">
        <v>0</v>
      </c>
      <c r="X162" s="403">
        <f t="shared" si="29"/>
        <v>0</v>
      </c>
      <c r="Y162" s="36" t="str">
        <f>IFERROR(IF(X162=0,"",ROUNDUP(X162/H162,0)*0.00502),"")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x14ac:dyDescent="0.2">
      <c r="A163" s="414"/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5"/>
      <c r="O163" s="432" t="s">
        <v>70</v>
      </c>
      <c r="P163" s="433"/>
      <c r="Q163" s="433"/>
      <c r="R163" s="433"/>
      <c r="S163" s="433"/>
      <c r="T163" s="433"/>
      <c r="U163" s="434"/>
      <c r="V163" s="37" t="s">
        <v>71</v>
      </c>
      <c r="W163" s="404">
        <f>IFERROR(W154/H154,"0")+IFERROR(W155/H155,"0")+IFERROR(W156/H156,"0")+IFERROR(W157/H157,"0")+IFERROR(W158/H158,"0")+IFERROR(W159/H159,"0")+IFERROR(W160/H160,"0")+IFERROR(W161/H161,"0")+IFERROR(W162/H162,"0")</f>
        <v>0</v>
      </c>
      <c r="X163" s="404">
        <f>IFERROR(X154/H154,"0")+IFERROR(X155/H155,"0")+IFERROR(X156/H156,"0")+IFERROR(X157/H157,"0")+IFERROR(X158/H158,"0")+IFERROR(X159/H159,"0")+IFERROR(X160/H160,"0")+IFERROR(X161/H161,"0")+IFERROR(X162/H162,"0")</f>
        <v>0</v>
      </c>
      <c r="Y163" s="404">
        <f>IFERROR(IF(Y154="",0,Y154),"0")+IFERROR(IF(Y155="",0,Y155),"0")+IFERROR(IF(Y156="",0,Y156),"0")+IFERROR(IF(Y157="",0,Y157),"0")+IFERROR(IF(Y158="",0,Y158),"0")+IFERROR(IF(Y159="",0,Y159),"0")+IFERROR(IF(Y160="",0,Y160),"0")+IFERROR(IF(Y161="",0,Y161),"0")+IFERROR(IF(Y162="",0,Y162),"0")</f>
        <v>0</v>
      </c>
      <c r="Z163" s="405"/>
      <c r="AA163" s="405"/>
    </row>
    <row r="164" spans="1:67" x14ac:dyDescent="0.2">
      <c r="A164" s="412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5"/>
      <c r="O164" s="432" t="s">
        <v>70</v>
      </c>
      <c r="P164" s="433"/>
      <c r="Q164" s="433"/>
      <c r="R164" s="433"/>
      <c r="S164" s="433"/>
      <c r="T164" s="433"/>
      <c r="U164" s="434"/>
      <c r="V164" s="37" t="s">
        <v>66</v>
      </c>
      <c r="W164" s="404">
        <f>IFERROR(SUM(W154:W162),"0")</f>
        <v>0</v>
      </c>
      <c r="X164" s="404">
        <f>IFERROR(SUM(X154:X162),"0")</f>
        <v>0</v>
      </c>
      <c r="Y164" s="37"/>
      <c r="Z164" s="405"/>
      <c r="AA164" s="405"/>
    </row>
    <row r="165" spans="1:67" ht="16.5" customHeight="1" x14ac:dyDescent="0.25">
      <c r="A165" s="421" t="s">
        <v>273</v>
      </c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  <c r="S165" s="412"/>
      <c r="T165" s="412"/>
      <c r="U165" s="412"/>
      <c r="V165" s="412"/>
      <c r="W165" s="412"/>
      <c r="X165" s="412"/>
      <c r="Y165" s="412"/>
      <c r="Z165" s="396"/>
      <c r="AA165" s="396"/>
    </row>
    <row r="166" spans="1:67" ht="14.25" customHeight="1" x14ac:dyDescent="0.25">
      <c r="A166" s="411" t="s">
        <v>114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395"/>
      <c r="AA166" s="395"/>
    </row>
    <row r="167" spans="1:67" ht="16.5" customHeight="1" x14ac:dyDescent="0.25">
      <c r="A167" s="54" t="s">
        <v>274</v>
      </c>
      <c r="B167" s="54" t="s">
        <v>275</v>
      </c>
      <c r="C167" s="31">
        <v>4301011450</v>
      </c>
      <c r="D167" s="406">
        <v>4680115881402</v>
      </c>
      <c r="E167" s="407"/>
      <c r="F167" s="401">
        <v>1.35</v>
      </c>
      <c r="G167" s="32">
        <v>8</v>
      </c>
      <c r="H167" s="401">
        <v>10.8</v>
      </c>
      <c r="I167" s="401">
        <v>11.28</v>
      </c>
      <c r="J167" s="32">
        <v>56</v>
      </c>
      <c r="K167" s="32" t="s">
        <v>109</v>
      </c>
      <c r="L167" s="33" t="s">
        <v>110</v>
      </c>
      <c r="M167" s="33"/>
      <c r="N167" s="32">
        <v>55</v>
      </c>
      <c r="O167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7" s="409"/>
      <c r="Q167" s="409"/>
      <c r="R167" s="409"/>
      <c r="S167" s="407"/>
      <c r="T167" s="34"/>
      <c r="U167" s="34"/>
      <c r="V167" s="35" t="s">
        <v>66</v>
      </c>
      <c r="W167" s="402">
        <v>0</v>
      </c>
      <c r="X167" s="40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27" customHeight="1" x14ac:dyDescent="0.25">
      <c r="A168" s="54" t="s">
        <v>276</v>
      </c>
      <c r="B168" s="54" t="s">
        <v>277</v>
      </c>
      <c r="C168" s="31">
        <v>4301011454</v>
      </c>
      <c r="D168" s="406">
        <v>4680115881396</v>
      </c>
      <c r="E168" s="407"/>
      <c r="F168" s="401">
        <v>0.45</v>
      </c>
      <c r="G168" s="32">
        <v>6</v>
      </c>
      <c r="H168" s="401">
        <v>2.7</v>
      </c>
      <c r="I168" s="401">
        <v>2.9</v>
      </c>
      <c r="J168" s="32">
        <v>156</v>
      </c>
      <c r="K168" s="32" t="s">
        <v>64</v>
      </c>
      <c r="L168" s="33" t="s">
        <v>65</v>
      </c>
      <c r="M168" s="33"/>
      <c r="N168" s="32">
        <v>55</v>
      </c>
      <c r="O168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8" s="409"/>
      <c r="Q168" s="409"/>
      <c r="R168" s="409"/>
      <c r="S168" s="407"/>
      <c r="T168" s="34"/>
      <c r="U168" s="34"/>
      <c r="V168" s="35" t="s">
        <v>66</v>
      </c>
      <c r="W168" s="402">
        <v>0</v>
      </c>
      <c r="X168" s="40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14"/>
      <c r="B169" s="412"/>
      <c r="C169" s="412"/>
      <c r="D169" s="412"/>
      <c r="E169" s="412"/>
      <c r="F169" s="412"/>
      <c r="G169" s="412"/>
      <c r="H169" s="412"/>
      <c r="I169" s="412"/>
      <c r="J169" s="412"/>
      <c r="K169" s="412"/>
      <c r="L169" s="412"/>
      <c r="M169" s="412"/>
      <c r="N169" s="415"/>
      <c r="O169" s="432" t="s">
        <v>70</v>
      </c>
      <c r="P169" s="433"/>
      <c r="Q169" s="433"/>
      <c r="R169" s="433"/>
      <c r="S169" s="433"/>
      <c r="T169" s="433"/>
      <c r="U169" s="434"/>
      <c r="V169" s="37" t="s">
        <v>71</v>
      </c>
      <c r="W169" s="404">
        <f>IFERROR(W167/H167,"0")+IFERROR(W168/H168,"0")</f>
        <v>0</v>
      </c>
      <c r="X169" s="404">
        <f>IFERROR(X167/H167,"0")+IFERROR(X168/H168,"0")</f>
        <v>0</v>
      </c>
      <c r="Y169" s="404">
        <f>IFERROR(IF(Y167="",0,Y167),"0")+IFERROR(IF(Y168="",0,Y168),"0")</f>
        <v>0</v>
      </c>
      <c r="Z169" s="405"/>
      <c r="AA169" s="405"/>
    </row>
    <row r="170" spans="1:67" x14ac:dyDescent="0.2">
      <c r="A170" s="412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5"/>
      <c r="O170" s="432" t="s">
        <v>70</v>
      </c>
      <c r="P170" s="433"/>
      <c r="Q170" s="433"/>
      <c r="R170" s="433"/>
      <c r="S170" s="433"/>
      <c r="T170" s="433"/>
      <c r="U170" s="434"/>
      <c r="V170" s="37" t="s">
        <v>66</v>
      </c>
      <c r="W170" s="404">
        <f>IFERROR(SUM(W167:W168),"0")</f>
        <v>0</v>
      </c>
      <c r="X170" s="404">
        <f>IFERROR(SUM(X167:X168),"0")</f>
        <v>0</v>
      </c>
      <c r="Y170" s="37"/>
      <c r="Z170" s="405"/>
      <c r="AA170" s="405"/>
    </row>
    <row r="171" spans="1:67" ht="14.25" customHeight="1" x14ac:dyDescent="0.25">
      <c r="A171" s="411" t="s">
        <v>106</v>
      </c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  <c r="S171" s="412"/>
      <c r="T171" s="412"/>
      <c r="U171" s="412"/>
      <c r="V171" s="412"/>
      <c r="W171" s="412"/>
      <c r="X171" s="412"/>
      <c r="Y171" s="412"/>
      <c r="Z171" s="395"/>
      <c r="AA171" s="395"/>
    </row>
    <row r="172" spans="1:67" ht="16.5" customHeight="1" x14ac:dyDescent="0.25">
      <c r="A172" s="54" t="s">
        <v>278</v>
      </c>
      <c r="B172" s="54" t="s">
        <v>279</v>
      </c>
      <c r="C172" s="31">
        <v>4301020262</v>
      </c>
      <c r="D172" s="406">
        <v>4680115882935</v>
      </c>
      <c r="E172" s="407"/>
      <c r="F172" s="401">
        <v>1.35</v>
      </c>
      <c r="G172" s="32">
        <v>8</v>
      </c>
      <c r="H172" s="401">
        <v>10.8</v>
      </c>
      <c r="I172" s="401">
        <v>11.28</v>
      </c>
      <c r="J172" s="32">
        <v>56</v>
      </c>
      <c r="K172" s="32" t="s">
        <v>109</v>
      </c>
      <c r="L172" s="33" t="s">
        <v>129</v>
      </c>
      <c r="M172" s="33"/>
      <c r="N172" s="32">
        <v>50</v>
      </c>
      <c r="O172" s="50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2" s="409"/>
      <c r="Q172" s="409"/>
      <c r="R172" s="409"/>
      <c r="S172" s="407"/>
      <c r="T172" s="34"/>
      <c r="U172" s="34"/>
      <c r="V172" s="35" t="s">
        <v>66</v>
      </c>
      <c r="W172" s="402">
        <v>0</v>
      </c>
      <c r="X172" s="403">
        <f>IFERROR(IF(W172="",0,CEILING((W172/$H172),1)*$H172),"")</f>
        <v>0</v>
      </c>
      <c r="Y172" s="36" t="str">
        <f>IFERROR(IF(X172=0,"",ROUNDUP(X172/H172,0)*0.02175),"")</f>
        <v/>
      </c>
      <c r="Z172" s="56"/>
      <c r="AA172" s="57"/>
      <c r="AE172" s="64"/>
      <c r="BB172" s="158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16.5" customHeight="1" x14ac:dyDescent="0.25">
      <c r="A173" s="54" t="s">
        <v>280</v>
      </c>
      <c r="B173" s="54" t="s">
        <v>281</v>
      </c>
      <c r="C173" s="31">
        <v>4301020220</v>
      </c>
      <c r="D173" s="406">
        <v>4680115880764</v>
      </c>
      <c r="E173" s="407"/>
      <c r="F173" s="401">
        <v>0.35</v>
      </c>
      <c r="G173" s="32">
        <v>6</v>
      </c>
      <c r="H173" s="401">
        <v>2.1</v>
      </c>
      <c r="I173" s="401">
        <v>2.2999999999999998</v>
      </c>
      <c r="J173" s="32">
        <v>156</v>
      </c>
      <c r="K173" s="32" t="s">
        <v>64</v>
      </c>
      <c r="L173" s="33" t="s">
        <v>110</v>
      </c>
      <c r="M173" s="33"/>
      <c r="N173" s="32">
        <v>50</v>
      </c>
      <c r="O173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3" s="409"/>
      <c r="Q173" s="409"/>
      <c r="R173" s="409"/>
      <c r="S173" s="407"/>
      <c r="T173" s="34"/>
      <c r="U173" s="34"/>
      <c r="V173" s="35" t="s">
        <v>66</v>
      </c>
      <c r="W173" s="402">
        <v>0</v>
      </c>
      <c r="X173" s="403">
        <f>IFERROR(IF(W173="",0,CEILING((W173/$H173),1)*$H173),"")</f>
        <v>0</v>
      </c>
      <c r="Y173" s="36" t="str">
        <f>IFERROR(IF(X173=0,"",ROUNDUP(X173/H173,0)*0.00753),"")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x14ac:dyDescent="0.2">
      <c r="A174" s="414"/>
      <c r="B174" s="412"/>
      <c r="C174" s="412"/>
      <c r="D174" s="412"/>
      <c r="E174" s="412"/>
      <c r="F174" s="412"/>
      <c r="G174" s="412"/>
      <c r="H174" s="412"/>
      <c r="I174" s="412"/>
      <c r="J174" s="412"/>
      <c r="K174" s="412"/>
      <c r="L174" s="412"/>
      <c r="M174" s="412"/>
      <c r="N174" s="415"/>
      <c r="O174" s="432" t="s">
        <v>70</v>
      </c>
      <c r="P174" s="433"/>
      <c r="Q174" s="433"/>
      <c r="R174" s="433"/>
      <c r="S174" s="433"/>
      <c r="T174" s="433"/>
      <c r="U174" s="434"/>
      <c r="V174" s="37" t="s">
        <v>71</v>
      </c>
      <c r="W174" s="404">
        <f>IFERROR(W172/H172,"0")+IFERROR(W173/H173,"0")</f>
        <v>0</v>
      </c>
      <c r="X174" s="404">
        <f>IFERROR(X172/H172,"0")+IFERROR(X173/H173,"0")</f>
        <v>0</v>
      </c>
      <c r="Y174" s="404">
        <f>IFERROR(IF(Y172="",0,Y172),"0")+IFERROR(IF(Y173="",0,Y173),"0")</f>
        <v>0</v>
      </c>
      <c r="Z174" s="405"/>
      <c r="AA174" s="405"/>
    </row>
    <row r="175" spans="1:67" x14ac:dyDescent="0.2">
      <c r="A175" s="412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5"/>
      <c r="O175" s="432" t="s">
        <v>70</v>
      </c>
      <c r="P175" s="433"/>
      <c r="Q175" s="433"/>
      <c r="R175" s="433"/>
      <c r="S175" s="433"/>
      <c r="T175" s="433"/>
      <c r="U175" s="434"/>
      <c r="V175" s="37" t="s">
        <v>66</v>
      </c>
      <c r="W175" s="404">
        <f>IFERROR(SUM(W172:W173),"0")</f>
        <v>0</v>
      </c>
      <c r="X175" s="404">
        <f>IFERROR(SUM(X172:X173),"0")</f>
        <v>0</v>
      </c>
      <c r="Y175" s="37"/>
      <c r="Z175" s="405"/>
      <c r="AA175" s="405"/>
    </row>
    <row r="176" spans="1:67" ht="14.25" customHeight="1" x14ac:dyDescent="0.25">
      <c r="A176" s="411" t="s">
        <v>61</v>
      </c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12"/>
      <c r="O176" s="412"/>
      <c r="P176" s="412"/>
      <c r="Q176" s="412"/>
      <c r="R176" s="412"/>
      <c r="S176" s="412"/>
      <c r="T176" s="412"/>
      <c r="U176" s="412"/>
      <c r="V176" s="412"/>
      <c r="W176" s="412"/>
      <c r="X176" s="412"/>
      <c r="Y176" s="412"/>
      <c r="Z176" s="395"/>
      <c r="AA176" s="395"/>
    </row>
    <row r="177" spans="1:67" ht="27" customHeight="1" x14ac:dyDescent="0.25">
      <c r="A177" s="54" t="s">
        <v>282</v>
      </c>
      <c r="B177" s="54" t="s">
        <v>283</v>
      </c>
      <c r="C177" s="31">
        <v>4301031224</v>
      </c>
      <c r="D177" s="406">
        <v>4680115882683</v>
      </c>
      <c r="E177" s="407"/>
      <c r="F177" s="401">
        <v>0.9</v>
      </c>
      <c r="G177" s="32">
        <v>6</v>
      </c>
      <c r="H177" s="401">
        <v>5.4</v>
      </c>
      <c r="I177" s="40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7" s="409"/>
      <c r="Q177" s="409"/>
      <c r="R177" s="409"/>
      <c r="S177" s="407"/>
      <c r="T177" s="34"/>
      <c r="U177" s="34"/>
      <c r="V177" s="35" t="s">
        <v>66</v>
      </c>
      <c r="W177" s="402">
        <v>0</v>
      </c>
      <c r="X177" s="403">
        <f t="shared" ref="X177:X184" si="34"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ref="BL177:BL184" si="35">IFERROR(W177*I177/H177,"0")</f>
        <v>0</v>
      </c>
      <c r="BM177" s="64">
        <f t="shared" ref="BM177:BM184" si="36">IFERROR(X177*I177/H177,"0")</f>
        <v>0</v>
      </c>
      <c r="BN177" s="64">
        <f t="shared" ref="BN177:BN184" si="37">IFERROR(1/J177*(W177/H177),"0")</f>
        <v>0</v>
      </c>
      <c r="BO177" s="64">
        <f t="shared" ref="BO177:BO184" si="38">IFERROR(1/J177*(X177/H177),"0")</f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4301031230</v>
      </c>
      <c r="D178" s="406">
        <v>4680115882690</v>
      </c>
      <c r="E178" s="407"/>
      <c r="F178" s="401">
        <v>0.9</v>
      </c>
      <c r="G178" s="32">
        <v>6</v>
      </c>
      <c r="H178" s="401">
        <v>5.4</v>
      </c>
      <c r="I178" s="40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8" s="409"/>
      <c r="Q178" s="409"/>
      <c r="R178" s="409"/>
      <c r="S178" s="407"/>
      <c r="T178" s="34"/>
      <c r="U178" s="34"/>
      <c r="V178" s="35" t="s">
        <v>66</v>
      </c>
      <c r="W178" s="402">
        <v>86</v>
      </c>
      <c r="X178" s="403">
        <f t="shared" si="34"/>
        <v>86.4</v>
      </c>
      <c r="Y178" s="36">
        <f>IFERROR(IF(X178=0,"",ROUNDUP(X178/H178,0)*0.00937),"")</f>
        <v>0.14992</v>
      </c>
      <c r="Z178" s="56"/>
      <c r="AA178" s="57"/>
      <c r="AE178" s="64"/>
      <c r="BB178" s="161" t="s">
        <v>1</v>
      </c>
      <c r="BL178" s="64">
        <f t="shared" si="35"/>
        <v>89.344444444444449</v>
      </c>
      <c r="BM178" s="64">
        <f t="shared" si="36"/>
        <v>89.76</v>
      </c>
      <c r="BN178" s="64">
        <f t="shared" si="37"/>
        <v>0.13271604938271606</v>
      </c>
      <c r="BO178" s="64">
        <f t="shared" si="38"/>
        <v>0.13333333333333333</v>
      </c>
    </row>
    <row r="179" spans="1:67" ht="27" customHeight="1" x14ac:dyDescent="0.25">
      <c r="A179" s="54" t="s">
        <v>286</v>
      </c>
      <c r="B179" s="54" t="s">
        <v>287</v>
      </c>
      <c r="C179" s="31">
        <v>4301031220</v>
      </c>
      <c r="D179" s="406">
        <v>4680115882669</v>
      </c>
      <c r="E179" s="407"/>
      <c r="F179" s="401">
        <v>0.9</v>
      </c>
      <c r="G179" s="32">
        <v>6</v>
      </c>
      <c r="H179" s="401">
        <v>5.4</v>
      </c>
      <c r="I179" s="401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9" s="409"/>
      <c r="Q179" s="409"/>
      <c r="R179" s="409"/>
      <c r="S179" s="407"/>
      <c r="T179" s="34"/>
      <c r="U179" s="34"/>
      <c r="V179" s="35" t="s">
        <v>66</v>
      </c>
      <c r="W179" s="402">
        <v>0</v>
      </c>
      <c r="X179" s="403">
        <f t="shared" si="34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t="27" customHeight="1" x14ac:dyDescent="0.25">
      <c r="A180" s="54" t="s">
        <v>288</v>
      </c>
      <c r="B180" s="54" t="s">
        <v>289</v>
      </c>
      <c r="C180" s="31">
        <v>4301031221</v>
      </c>
      <c r="D180" s="406">
        <v>4680115882676</v>
      </c>
      <c r="E180" s="407"/>
      <c r="F180" s="401">
        <v>0.9</v>
      </c>
      <c r="G180" s="32">
        <v>6</v>
      </c>
      <c r="H180" s="401">
        <v>5.4</v>
      </c>
      <c r="I180" s="401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0" s="409"/>
      <c r="Q180" s="409"/>
      <c r="R180" s="409"/>
      <c r="S180" s="407"/>
      <c r="T180" s="34"/>
      <c r="U180" s="34"/>
      <c r="V180" s="35" t="s">
        <v>66</v>
      </c>
      <c r="W180" s="402">
        <v>0</v>
      </c>
      <c r="X180" s="403">
        <f t="shared" si="34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5"/>
        <v>0</v>
      </c>
      <c r="BM180" s="64">
        <f t="shared" si="36"/>
        <v>0</v>
      </c>
      <c r="BN180" s="64">
        <f t="shared" si="37"/>
        <v>0</v>
      </c>
      <c r="BO180" s="64">
        <f t="shared" si="38"/>
        <v>0</v>
      </c>
    </row>
    <row r="181" spans="1:67" ht="27" customHeight="1" x14ac:dyDescent="0.25">
      <c r="A181" s="54" t="s">
        <v>290</v>
      </c>
      <c r="B181" s="54" t="s">
        <v>291</v>
      </c>
      <c r="C181" s="31">
        <v>4301031223</v>
      </c>
      <c r="D181" s="406">
        <v>4680115884014</v>
      </c>
      <c r="E181" s="407"/>
      <c r="F181" s="401">
        <v>0.3</v>
      </c>
      <c r="G181" s="32">
        <v>6</v>
      </c>
      <c r="H181" s="401">
        <v>1.8</v>
      </c>
      <c r="I181" s="401">
        <v>1.93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99" t="s">
        <v>292</v>
      </c>
      <c r="P181" s="409"/>
      <c r="Q181" s="409"/>
      <c r="R181" s="409"/>
      <c r="S181" s="407"/>
      <c r="T181" s="34"/>
      <c r="U181" s="34"/>
      <c r="V181" s="35" t="s">
        <v>66</v>
      </c>
      <c r="W181" s="402">
        <v>0</v>
      </c>
      <c r="X181" s="403">
        <f t="shared" si="34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customHeight="1" x14ac:dyDescent="0.25">
      <c r="A182" s="54" t="s">
        <v>293</v>
      </c>
      <c r="B182" s="54" t="s">
        <v>294</v>
      </c>
      <c r="C182" s="31">
        <v>4301031222</v>
      </c>
      <c r="D182" s="406">
        <v>4680115884007</v>
      </c>
      <c r="E182" s="407"/>
      <c r="F182" s="401">
        <v>0.3</v>
      </c>
      <c r="G182" s="32">
        <v>6</v>
      </c>
      <c r="H182" s="401">
        <v>1.8</v>
      </c>
      <c r="I182" s="40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1" t="s">
        <v>295</v>
      </c>
      <c r="P182" s="409"/>
      <c r="Q182" s="409"/>
      <c r="R182" s="409"/>
      <c r="S182" s="407"/>
      <c r="T182" s="34"/>
      <c r="U182" s="34"/>
      <c r="V182" s="35" t="s">
        <v>66</v>
      </c>
      <c r="W182" s="402">
        <v>0</v>
      </c>
      <c r="X182" s="403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296</v>
      </c>
      <c r="B183" s="54" t="s">
        <v>297</v>
      </c>
      <c r="C183" s="31">
        <v>4301031229</v>
      </c>
      <c r="D183" s="406">
        <v>4680115884038</v>
      </c>
      <c r="E183" s="407"/>
      <c r="F183" s="401">
        <v>0.3</v>
      </c>
      <c r="G183" s="32">
        <v>6</v>
      </c>
      <c r="H183" s="401">
        <v>1.8</v>
      </c>
      <c r="I183" s="401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3" s="409"/>
      <c r="Q183" s="409"/>
      <c r="R183" s="409"/>
      <c r="S183" s="407"/>
      <c r="T183" s="34"/>
      <c r="U183" s="34"/>
      <c r="V183" s="35" t="s">
        <v>66</v>
      </c>
      <c r="W183" s="402">
        <v>0</v>
      </c>
      <c r="X183" s="403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customHeight="1" x14ac:dyDescent="0.25">
      <c r="A184" s="54" t="s">
        <v>298</v>
      </c>
      <c r="B184" s="54" t="s">
        <v>299</v>
      </c>
      <c r="C184" s="31">
        <v>4301031225</v>
      </c>
      <c r="D184" s="406">
        <v>4680115884021</v>
      </c>
      <c r="E184" s="407"/>
      <c r="F184" s="401">
        <v>0.3</v>
      </c>
      <c r="G184" s="32">
        <v>6</v>
      </c>
      <c r="H184" s="401">
        <v>1.8</v>
      </c>
      <c r="I184" s="401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5" t="s">
        <v>300</v>
      </c>
      <c r="P184" s="409"/>
      <c r="Q184" s="409"/>
      <c r="R184" s="409"/>
      <c r="S184" s="407"/>
      <c r="T184" s="34"/>
      <c r="U184" s="34"/>
      <c r="V184" s="35" t="s">
        <v>66</v>
      </c>
      <c r="W184" s="402">
        <v>0</v>
      </c>
      <c r="X184" s="403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x14ac:dyDescent="0.2">
      <c r="A185" s="414"/>
      <c r="B185" s="412"/>
      <c r="C185" s="412"/>
      <c r="D185" s="412"/>
      <c r="E185" s="412"/>
      <c r="F185" s="412"/>
      <c r="G185" s="412"/>
      <c r="H185" s="412"/>
      <c r="I185" s="412"/>
      <c r="J185" s="412"/>
      <c r="K185" s="412"/>
      <c r="L185" s="412"/>
      <c r="M185" s="412"/>
      <c r="N185" s="415"/>
      <c r="O185" s="432" t="s">
        <v>70</v>
      </c>
      <c r="P185" s="433"/>
      <c r="Q185" s="433"/>
      <c r="R185" s="433"/>
      <c r="S185" s="433"/>
      <c r="T185" s="433"/>
      <c r="U185" s="434"/>
      <c r="V185" s="37" t="s">
        <v>71</v>
      </c>
      <c r="W185" s="404">
        <f>IFERROR(W177/H177,"0")+IFERROR(W178/H178,"0")+IFERROR(W179/H179,"0")+IFERROR(W180/H180,"0")+IFERROR(W181/H181,"0")+IFERROR(W182/H182,"0")+IFERROR(W183/H183,"0")+IFERROR(W184/H184,"0")</f>
        <v>15.925925925925926</v>
      </c>
      <c r="X185" s="404">
        <f>IFERROR(X177/H177,"0")+IFERROR(X178/H178,"0")+IFERROR(X179/H179,"0")+IFERROR(X180/H180,"0")+IFERROR(X181/H181,"0")+IFERROR(X182/H182,"0")+IFERROR(X183/H183,"0")+IFERROR(X184/H184,"0")</f>
        <v>16</v>
      </c>
      <c r="Y185" s="404">
        <f>IFERROR(IF(Y177="",0,Y177),"0")+IFERROR(IF(Y178="",0,Y178),"0")+IFERROR(IF(Y179="",0,Y179),"0")+IFERROR(IF(Y180="",0,Y180),"0")+IFERROR(IF(Y181="",0,Y181),"0")+IFERROR(IF(Y182="",0,Y182),"0")+IFERROR(IF(Y183="",0,Y183),"0")+IFERROR(IF(Y184="",0,Y184),"0")</f>
        <v>0.14992</v>
      </c>
      <c r="Z185" s="405"/>
      <c r="AA185" s="405"/>
    </row>
    <row r="186" spans="1:67" x14ac:dyDescent="0.2">
      <c r="A186" s="412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5"/>
      <c r="O186" s="432" t="s">
        <v>70</v>
      </c>
      <c r="P186" s="433"/>
      <c r="Q186" s="433"/>
      <c r="R186" s="433"/>
      <c r="S186" s="433"/>
      <c r="T186" s="433"/>
      <c r="U186" s="434"/>
      <c r="V186" s="37" t="s">
        <v>66</v>
      </c>
      <c r="W186" s="404">
        <f>IFERROR(SUM(W177:W184),"0")</f>
        <v>86</v>
      </c>
      <c r="X186" s="404">
        <f>IFERROR(SUM(X177:X184),"0")</f>
        <v>86.4</v>
      </c>
      <c r="Y186" s="37"/>
      <c r="Z186" s="405"/>
      <c r="AA186" s="405"/>
    </row>
    <row r="187" spans="1:67" ht="14.25" customHeight="1" x14ac:dyDescent="0.25">
      <c r="A187" s="411" t="s">
        <v>72</v>
      </c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2"/>
      <c r="O187" s="412"/>
      <c r="P187" s="412"/>
      <c r="Q187" s="412"/>
      <c r="R187" s="412"/>
      <c r="S187" s="412"/>
      <c r="T187" s="412"/>
      <c r="U187" s="412"/>
      <c r="V187" s="412"/>
      <c r="W187" s="412"/>
      <c r="X187" s="412"/>
      <c r="Y187" s="412"/>
      <c r="Z187" s="395"/>
      <c r="AA187" s="395"/>
    </row>
    <row r="188" spans="1:67" ht="27" customHeight="1" x14ac:dyDescent="0.25">
      <c r="A188" s="54" t="s">
        <v>301</v>
      </c>
      <c r="B188" s="54" t="s">
        <v>302</v>
      </c>
      <c r="C188" s="31">
        <v>4301051409</v>
      </c>
      <c r="D188" s="406">
        <v>4680115881556</v>
      </c>
      <c r="E188" s="407"/>
      <c r="F188" s="401">
        <v>1</v>
      </c>
      <c r="G188" s="32">
        <v>4</v>
      </c>
      <c r="H188" s="401">
        <v>4</v>
      </c>
      <c r="I188" s="401">
        <v>4.4080000000000004</v>
      </c>
      <c r="J188" s="32">
        <v>104</v>
      </c>
      <c r="K188" s="32" t="s">
        <v>109</v>
      </c>
      <c r="L188" s="33" t="s">
        <v>129</v>
      </c>
      <c r="M188" s="33"/>
      <c r="N188" s="32">
        <v>45</v>
      </c>
      <c r="O188" s="6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8" s="409"/>
      <c r="Q188" s="409"/>
      <c r="R188" s="409"/>
      <c r="S188" s="407"/>
      <c r="T188" s="34"/>
      <c r="U188" s="34"/>
      <c r="V188" s="35" t="s">
        <v>66</v>
      </c>
      <c r="W188" s="402">
        <v>0</v>
      </c>
      <c r="X188" s="403">
        <f t="shared" ref="X188:X202" si="39">IFERROR(IF(W188="",0,CEILING((W188/$H188),1)*$H188),"")</f>
        <v>0</v>
      </c>
      <c r="Y188" s="36" t="str">
        <f>IFERROR(IF(X188=0,"",ROUNDUP(X188/H188,0)*0.01196),"")</f>
        <v/>
      </c>
      <c r="Z188" s="56"/>
      <c r="AA188" s="57"/>
      <c r="AE188" s="64"/>
      <c r="BB188" s="168" t="s">
        <v>1</v>
      </c>
      <c r="BL188" s="64">
        <f t="shared" ref="BL188:BL202" si="40">IFERROR(W188*I188/H188,"0")</f>
        <v>0</v>
      </c>
      <c r="BM188" s="64">
        <f t="shared" ref="BM188:BM202" si="41">IFERROR(X188*I188/H188,"0")</f>
        <v>0</v>
      </c>
      <c r="BN188" s="64">
        <f t="shared" ref="BN188:BN202" si="42">IFERROR(1/J188*(W188/H188),"0")</f>
        <v>0</v>
      </c>
      <c r="BO188" s="64">
        <f t="shared" ref="BO188:BO202" si="43">IFERROR(1/J188*(X188/H188),"0")</f>
        <v>0</v>
      </c>
    </row>
    <row r="189" spans="1:67" ht="27" customHeight="1" x14ac:dyDescent="0.25">
      <c r="A189" s="54" t="s">
        <v>303</v>
      </c>
      <c r="B189" s="54" t="s">
        <v>304</v>
      </c>
      <c r="C189" s="31">
        <v>4301051408</v>
      </c>
      <c r="D189" s="406">
        <v>4680115881594</v>
      </c>
      <c r="E189" s="407"/>
      <c r="F189" s="401">
        <v>1.35</v>
      </c>
      <c r="G189" s="32">
        <v>6</v>
      </c>
      <c r="H189" s="401">
        <v>8.1</v>
      </c>
      <c r="I189" s="401">
        <v>8.6639999999999997</v>
      </c>
      <c r="J189" s="32">
        <v>56</v>
      </c>
      <c r="K189" s="32" t="s">
        <v>109</v>
      </c>
      <c r="L189" s="33" t="s">
        <v>129</v>
      </c>
      <c r="M189" s="33"/>
      <c r="N189" s="32">
        <v>40</v>
      </c>
      <c r="O189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9" s="409"/>
      <c r="Q189" s="409"/>
      <c r="R189" s="409"/>
      <c r="S189" s="407"/>
      <c r="T189" s="34"/>
      <c r="U189" s="34"/>
      <c r="V189" s="35" t="s">
        <v>66</v>
      </c>
      <c r="W189" s="402">
        <v>0</v>
      </c>
      <c r="X189" s="403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305</v>
      </c>
      <c r="B190" s="54" t="s">
        <v>306</v>
      </c>
      <c r="C190" s="31">
        <v>4301051505</v>
      </c>
      <c r="D190" s="406">
        <v>4680115881587</v>
      </c>
      <c r="E190" s="407"/>
      <c r="F190" s="401">
        <v>1</v>
      </c>
      <c r="G190" s="32">
        <v>4</v>
      </c>
      <c r="H190" s="401">
        <v>4</v>
      </c>
      <c r="I190" s="401">
        <v>4.4080000000000004</v>
      </c>
      <c r="J190" s="32">
        <v>104</v>
      </c>
      <c r="K190" s="32" t="s">
        <v>109</v>
      </c>
      <c r="L190" s="33" t="s">
        <v>65</v>
      </c>
      <c r="M190" s="33"/>
      <c r="N190" s="32">
        <v>40</v>
      </c>
      <c r="O190" s="75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0" s="409"/>
      <c r="Q190" s="409"/>
      <c r="R190" s="409"/>
      <c r="S190" s="407"/>
      <c r="T190" s="34"/>
      <c r="U190" s="34"/>
      <c r="V190" s="35" t="s">
        <v>66</v>
      </c>
      <c r="W190" s="402">
        <v>0</v>
      </c>
      <c r="X190" s="403">
        <f t="shared" si="39"/>
        <v>0</v>
      </c>
      <c r="Y190" s="36" t="str">
        <f>IFERROR(IF(X190=0,"",ROUNDUP(X190/H190,0)*0.01196),"")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16.5" customHeight="1" x14ac:dyDescent="0.25">
      <c r="A191" s="54" t="s">
        <v>307</v>
      </c>
      <c r="B191" s="54" t="s">
        <v>308</v>
      </c>
      <c r="C191" s="31">
        <v>4301051754</v>
      </c>
      <c r="D191" s="406">
        <v>4680115880962</v>
      </c>
      <c r="E191" s="407"/>
      <c r="F191" s="401">
        <v>1.3</v>
      </c>
      <c r="G191" s="32">
        <v>6</v>
      </c>
      <c r="H191" s="401">
        <v>7.8</v>
      </c>
      <c r="I191" s="401">
        <v>8.3640000000000008</v>
      </c>
      <c r="J191" s="32">
        <v>56</v>
      </c>
      <c r="K191" s="32" t="s">
        <v>109</v>
      </c>
      <c r="L191" s="33" t="s">
        <v>65</v>
      </c>
      <c r="M191" s="33"/>
      <c r="N191" s="32">
        <v>40</v>
      </c>
      <c r="O191" s="550" t="s">
        <v>309</v>
      </c>
      <c r="P191" s="409"/>
      <c r="Q191" s="409"/>
      <c r="R191" s="409"/>
      <c r="S191" s="407"/>
      <c r="T191" s="34"/>
      <c r="U191" s="34"/>
      <c r="V191" s="35" t="s">
        <v>66</v>
      </c>
      <c r="W191" s="402">
        <v>170</v>
      </c>
      <c r="X191" s="403">
        <f t="shared" si="39"/>
        <v>171.6</v>
      </c>
      <c r="Y191" s="36">
        <f>IFERROR(IF(X191=0,"",ROUNDUP(X191/H191,0)*0.02175),"")</f>
        <v>0.47849999999999998</v>
      </c>
      <c r="Z191" s="56"/>
      <c r="AA191" s="57"/>
      <c r="AE191" s="64"/>
      <c r="BB191" s="171" t="s">
        <v>1</v>
      </c>
      <c r="BL191" s="64">
        <f t="shared" si="40"/>
        <v>182.2923076923077</v>
      </c>
      <c r="BM191" s="64">
        <f t="shared" si="41"/>
        <v>184.00800000000001</v>
      </c>
      <c r="BN191" s="64">
        <f t="shared" si="42"/>
        <v>0.3891941391941392</v>
      </c>
      <c r="BO191" s="64">
        <f t="shared" si="43"/>
        <v>0.39285714285714285</v>
      </c>
    </row>
    <row r="192" spans="1:67" ht="27" customHeight="1" x14ac:dyDescent="0.25">
      <c r="A192" s="54" t="s">
        <v>310</v>
      </c>
      <c r="B192" s="54" t="s">
        <v>311</v>
      </c>
      <c r="C192" s="31">
        <v>4301051411</v>
      </c>
      <c r="D192" s="406">
        <v>4680115881617</v>
      </c>
      <c r="E192" s="407"/>
      <c r="F192" s="401">
        <v>1.35</v>
      </c>
      <c r="G192" s="32">
        <v>6</v>
      </c>
      <c r="H192" s="401">
        <v>8.1</v>
      </c>
      <c r="I192" s="401">
        <v>8.6460000000000008</v>
      </c>
      <c r="J192" s="32">
        <v>56</v>
      </c>
      <c r="K192" s="32" t="s">
        <v>109</v>
      </c>
      <c r="L192" s="33" t="s">
        <v>129</v>
      </c>
      <c r="M192" s="33"/>
      <c r="N192" s="32">
        <v>40</v>
      </c>
      <c r="O192" s="5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2" s="409"/>
      <c r="Q192" s="409"/>
      <c r="R192" s="409"/>
      <c r="S192" s="407"/>
      <c r="T192" s="34"/>
      <c r="U192" s="34"/>
      <c r="V192" s="35" t="s">
        <v>66</v>
      </c>
      <c r="W192" s="402">
        <v>0</v>
      </c>
      <c r="X192" s="403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16.5" customHeight="1" x14ac:dyDescent="0.25">
      <c r="A193" s="54" t="s">
        <v>312</v>
      </c>
      <c r="B193" s="54" t="s">
        <v>313</v>
      </c>
      <c r="C193" s="31">
        <v>4301051632</v>
      </c>
      <c r="D193" s="406">
        <v>4680115880573</v>
      </c>
      <c r="E193" s="407"/>
      <c r="F193" s="401">
        <v>1.45</v>
      </c>
      <c r="G193" s="32">
        <v>6</v>
      </c>
      <c r="H193" s="401">
        <v>8.6999999999999993</v>
      </c>
      <c r="I193" s="401">
        <v>9.2639999999999993</v>
      </c>
      <c r="J193" s="32">
        <v>56</v>
      </c>
      <c r="K193" s="32" t="s">
        <v>109</v>
      </c>
      <c r="L193" s="33" t="s">
        <v>65</v>
      </c>
      <c r="M193" s="33"/>
      <c r="N193" s="32">
        <v>45</v>
      </c>
      <c r="O193" s="650" t="s">
        <v>314</v>
      </c>
      <c r="P193" s="409"/>
      <c r="Q193" s="409"/>
      <c r="R193" s="409"/>
      <c r="S193" s="407"/>
      <c r="T193" s="34"/>
      <c r="U193" s="34"/>
      <c r="V193" s="35" t="s">
        <v>66</v>
      </c>
      <c r="W193" s="402">
        <v>0</v>
      </c>
      <c r="X193" s="403">
        <f t="shared" si="39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4301051487</v>
      </c>
      <c r="D194" s="406">
        <v>4680115881228</v>
      </c>
      <c r="E194" s="407"/>
      <c r="F194" s="401">
        <v>0.4</v>
      </c>
      <c r="G194" s="32">
        <v>6</v>
      </c>
      <c r="H194" s="401">
        <v>2.4</v>
      </c>
      <c r="I194" s="401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40</v>
      </c>
      <c r="O194" s="5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4" s="409"/>
      <c r="Q194" s="409"/>
      <c r="R194" s="409"/>
      <c r="S194" s="407"/>
      <c r="T194" s="34"/>
      <c r="U194" s="34"/>
      <c r="V194" s="35" t="s">
        <v>66</v>
      </c>
      <c r="W194" s="402">
        <v>0</v>
      </c>
      <c r="X194" s="403">
        <f t="shared" si="39"/>
        <v>0</v>
      </c>
      <c r="Y194" s="36" t="str">
        <f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317</v>
      </c>
      <c r="B195" s="54" t="s">
        <v>318</v>
      </c>
      <c r="C195" s="31">
        <v>4301051506</v>
      </c>
      <c r="D195" s="406">
        <v>4680115881037</v>
      </c>
      <c r="E195" s="407"/>
      <c r="F195" s="401">
        <v>0.84</v>
      </c>
      <c r="G195" s="32">
        <v>4</v>
      </c>
      <c r="H195" s="401">
        <v>3.36</v>
      </c>
      <c r="I195" s="401">
        <v>3.6179999999999999</v>
      </c>
      <c r="J195" s="32">
        <v>120</v>
      </c>
      <c r="K195" s="32" t="s">
        <v>64</v>
      </c>
      <c r="L195" s="33" t="s">
        <v>65</v>
      </c>
      <c r="M195" s="33"/>
      <c r="N195" s="32">
        <v>40</v>
      </c>
      <c r="O195" s="46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5" s="409"/>
      <c r="Q195" s="409"/>
      <c r="R195" s="409"/>
      <c r="S195" s="407"/>
      <c r="T195" s="34"/>
      <c r="U195" s="34"/>
      <c r="V195" s="35" t="s">
        <v>66</v>
      </c>
      <c r="W195" s="402">
        <v>0</v>
      </c>
      <c r="X195" s="403">
        <f t="shared" si="39"/>
        <v>0</v>
      </c>
      <c r="Y195" s="36" t="str">
        <f>IFERROR(IF(X195=0,"",ROUNDUP(X195/H195,0)*0.00937),"")</f>
        <v/>
      </c>
      <c r="Z195" s="56"/>
      <c r="AA195" s="57"/>
      <c r="AE195" s="64"/>
      <c r="BB195" s="175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319</v>
      </c>
      <c r="B196" s="54" t="s">
        <v>320</v>
      </c>
      <c r="C196" s="31">
        <v>4301051384</v>
      </c>
      <c r="D196" s="406">
        <v>4680115881211</v>
      </c>
      <c r="E196" s="407"/>
      <c r="F196" s="401">
        <v>0.4</v>
      </c>
      <c r="G196" s="32">
        <v>6</v>
      </c>
      <c r="H196" s="401">
        <v>2.4</v>
      </c>
      <c r="I196" s="401">
        <v>2.6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8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6" s="409"/>
      <c r="Q196" s="409"/>
      <c r="R196" s="409"/>
      <c r="S196" s="407"/>
      <c r="T196" s="34"/>
      <c r="U196" s="34"/>
      <c r="V196" s="35" t="s">
        <v>66</v>
      </c>
      <c r="W196" s="402">
        <v>35</v>
      </c>
      <c r="X196" s="403">
        <f t="shared" si="39"/>
        <v>36</v>
      </c>
      <c r="Y196" s="36">
        <f>IFERROR(IF(X196=0,"",ROUNDUP(X196/H196,0)*0.00753),"")</f>
        <v>0.11295000000000001</v>
      </c>
      <c r="Z196" s="56"/>
      <c r="AA196" s="57"/>
      <c r="AE196" s="64"/>
      <c r="BB196" s="176" t="s">
        <v>1</v>
      </c>
      <c r="BL196" s="64">
        <f t="shared" si="40"/>
        <v>37.916666666666671</v>
      </c>
      <c r="BM196" s="64">
        <f t="shared" si="41"/>
        <v>39.000000000000007</v>
      </c>
      <c r="BN196" s="64">
        <f t="shared" si="42"/>
        <v>9.3482905982905984E-2</v>
      </c>
      <c r="BO196" s="64">
        <f t="shared" si="43"/>
        <v>9.6153846153846145E-2</v>
      </c>
    </row>
    <row r="197" spans="1:67" ht="27" customHeight="1" x14ac:dyDescent="0.25">
      <c r="A197" s="54" t="s">
        <v>321</v>
      </c>
      <c r="B197" s="54" t="s">
        <v>322</v>
      </c>
      <c r="C197" s="31">
        <v>4301051378</v>
      </c>
      <c r="D197" s="406">
        <v>4680115881020</v>
      </c>
      <c r="E197" s="407"/>
      <c r="F197" s="401">
        <v>0.84</v>
      </c>
      <c r="G197" s="32">
        <v>4</v>
      </c>
      <c r="H197" s="401">
        <v>3.36</v>
      </c>
      <c r="I197" s="401">
        <v>3.57</v>
      </c>
      <c r="J197" s="32">
        <v>120</v>
      </c>
      <c r="K197" s="32" t="s">
        <v>64</v>
      </c>
      <c r="L197" s="33" t="s">
        <v>65</v>
      </c>
      <c r="M197" s="33"/>
      <c r="N197" s="32">
        <v>45</v>
      </c>
      <c r="O197" s="62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7" s="409"/>
      <c r="Q197" s="409"/>
      <c r="R197" s="409"/>
      <c r="S197" s="407"/>
      <c r="T197" s="34"/>
      <c r="U197" s="34"/>
      <c r="V197" s="35" t="s">
        <v>66</v>
      </c>
      <c r="W197" s="402">
        <v>0</v>
      </c>
      <c r="X197" s="403">
        <f t="shared" si="39"/>
        <v>0</v>
      </c>
      <c r="Y197" s="36" t="str">
        <f>IFERROR(IF(X197=0,"",ROUNDUP(X197/H197,0)*0.00937),"")</f>
        <v/>
      </c>
      <c r="Z197" s="56"/>
      <c r="AA197" s="57"/>
      <c r="AE197" s="64"/>
      <c r="BB197" s="177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323</v>
      </c>
      <c r="B198" s="54" t="s">
        <v>324</v>
      </c>
      <c r="C198" s="31">
        <v>4301051407</v>
      </c>
      <c r="D198" s="406">
        <v>4680115882195</v>
      </c>
      <c r="E198" s="407"/>
      <c r="F198" s="401">
        <v>0.4</v>
      </c>
      <c r="G198" s="32">
        <v>6</v>
      </c>
      <c r="H198" s="401">
        <v>2.4</v>
      </c>
      <c r="I198" s="401">
        <v>2.69</v>
      </c>
      <c r="J198" s="32">
        <v>156</v>
      </c>
      <c r="K198" s="32" t="s">
        <v>64</v>
      </c>
      <c r="L198" s="33" t="s">
        <v>129</v>
      </c>
      <c r="M198" s="33"/>
      <c r="N198" s="32">
        <v>40</v>
      </c>
      <c r="O198" s="7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8" s="409"/>
      <c r="Q198" s="409"/>
      <c r="R198" s="409"/>
      <c r="S198" s="407"/>
      <c r="T198" s="34"/>
      <c r="U198" s="34"/>
      <c r="V198" s="35" t="s">
        <v>66</v>
      </c>
      <c r="W198" s="402">
        <v>0</v>
      </c>
      <c r="X198" s="403">
        <f t="shared" si="39"/>
        <v>0</v>
      </c>
      <c r="Y198" s="36" t="str">
        <f>IFERROR(IF(X198=0,"",ROUNDUP(X198/H198,0)*0.00753),"")</f>
        <v/>
      </c>
      <c r="Z198" s="56"/>
      <c r="AA198" s="57"/>
      <c r="AE198" s="64"/>
      <c r="BB198" s="178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4301051630</v>
      </c>
      <c r="D199" s="406">
        <v>4680115880092</v>
      </c>
      <c r="E199" s="407"/>
      <c r="F199" s="401">
        <v>0.4</v>
      </c>
      <c r="G199" s="32">
        <v>6</v>
      </c>
      <c r="H199" s="401">
        <v>2.4</v>
      </c>
      <c r="I199" s="401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804" t="s">
        <v>327</v>
      </c>
      <c r="P199" s="409"/>
      <c r="Q199" s="409"/>
      <c r="R199" s="409"/>
      <c r="S199" s="407"/>
      <c r="T199" s="34"/>
      <c r="U199" s="34"/>
      <c r="V199" s="35" t="s">
        <v>66</v>
      </c>
      <c r="W199" s="402">
        <v>0</v>
      </c>
      <c r="X199" s="403">
        <f t="shared" si="39"/>
        <v>0</v>
      </c>
      <c r="Y199" s="36" t="str">
        <f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customHeight="1" x14ac:dyDescent="0.25">
      <c r="A200" s="54" t="s">
        <v>328</v>
      </c>
      <c r="B200" s="54" t="s">
        <v>329</v>
      </c>
      <c r="C200" s="31">
        <v>4301051631</v>
      </c>
      <c r="D200" s="406">
        <v>4680115880221</v>
      </c>
      <c r="E200" s="407"/>
      <c r="F200" s="401">
        <v>0.4</v>
      </c>
      <c r="G200" s="32">
        <v>6</v>
      </c>
      <c r="H200" s="401">
        <v>2.4</v>
      </c>
      <c r="I200" s="40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441" t="s">
        <v>330</v>
      </c>
      <c r="P200" s="409"/>
      <c r="Q200" s="409"/>
      <c r="R200" s="409"/>
      <c r="S200" s="407"/>
      <c r="T200" s="34"/>
      <c r="U200" s="34"/>
      <c r="V200" s="35" t="s">
        <v>66</v>
      </c>
      <c r="W200" s="402">
        <v>110</v>
      </c>
      <c r="X200" s="403">
        <f t="shared" si="39"/>
        <v>110.39999999999999</v>
      </c>
      <c r="Y200" s="36">
        <f>IFERROR(IF(X200=0,"",ROUNDUP(X200/H200,0)*0.00753),"")</f>
        <v>0.34638000000000002</v>
      </c>
      <c r="Z200" s="56"/>
      <c r="AA200" s="57"/>
      <c r="AE200" s="64"/>
      <c r="BB200" s="180" t="s">
        <v>1</v>
      </c>
      <c r="BL200" s="64">
        <f t="shared" si="40"/>
        <v>122.46666666666668</v>
      </c>
      <c r="BM200" s="64">
        <f t="shared" si="41"/>
        <v>122.91199999999999</v>
      </c>
      <c r="BN200" s="64">
        <f t="shared" si="42"/>
        <v>0.29380341880341881</v>
      </c>
      <c r="BO200" s="64">
        <f t="shared" si="43"/>
        <v>0.29487179487179488</v>
      </c>
    </row>
    <row r="201" spans="1:67" ht="16.5" customHeight="1" x14ac:dyDescent="0.25">
      <c r="A201" s="54" t="s">
        <v>331</v>
      </c>
      <c r="B201" s="54" t="s">
        <v>332</v>
      </c>
      <c r="C201" s="31">
        <v>4301051753</v>
      </c>
      <c r="D201" s="406">
        <v>4680115880504</v>
      </c>
      <c r="E201" s="407"/>
      <c r="F201" s="401">
        <v>0.4</v>
      </c>
      <c r="G201" s="32">
        <v>6</v>
      </c>
      <c r="H201" s="401">
        <v>2.4</v>
      </c>
      <c r="I201" s="401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40</v>
      </c>
      <c r="O201" s="630" t="s">
        <v>333</v>
      </c>
      <c r="P201" s="409"/>
      <c r="Q201" s="409"/>
      <c r="R201" s="409"/>
      <c r="S201" s="407"/>
      <c r="T201" s="34"/>
      <c r="U201" s="34"/>
      <c r="V201" s="35" t="s">
        <v>66</v>
      </c>
      <c r="W201" s="402">
        <v>116</v>
      </c>
      <c r="X201" s="403">
        <f t="shared" si="39"/>
        <v>117.6</v>
      </c>
      <c r="Y201" s="36">
        <f>IFERROR(IF(X201=0,"",ROUNDUP(X201/H201,0)*0.00753),"")</f>
        <v>0.36897000000000002</v>
      </c>
      <c r="Z201" s="56"/>
      <c r="AA201" s="57"/>
      <c r="AE201" s="64"/>
      <c r="BB201" s="181" t="s">
        <v>1</v>
      </c>
      <c r="BL201" s="64">
        <f t="shared" si="40"/>
        <v>129.14666666666668</v>
      </c>
      <c r="BM201" s="64">
        <f t="shared" si="41"/>
        <v>130.928</v>
      </c>
      <c r="BN201" s="64">
        <f t="shared" si="42"/>
        <v>0.30982905982905984</v>
      </c>
      <c r="BO201" s="64">
        <f t="shared" si="43"/>
        <v>0.3141025641025641</v>
      </c>
    </row>
    <row r="202" spans="1:67" ht="27" customHeight="1" x14ac:dyDescent="0.25">
      <c r="A202" s="54" t="s">
        <v>334</v>
      </c>
      <c r="B202" s="54" t="s">
        <v>335</v>
      </c>
      <c r="C202" s="31">
        <v>4301051410</v>
      </c>
      <c r="D202" s="406">
        <v>4680115882164</v>
      </c>
      <c r="E202" s="407"/>
      <c r="F202" s="401">
        <v>0.4</v>
      </c>
      <c r="G202" s="32">
        <v>6</v>
      </c>
      <c r="H202" s="401">
        <v>2.4</v>
      </c>
      <c r="I202" s="401">
        <v>2.6779999999999999</v>
      </c>
      <c r="J202" s="32">
        <v>156</v>
      </c>
      <c r="K202" s="32" t="s">
        <v>64</v>
      </c>
      <c r="L202" s="33" t="s">
        <v>129</v>
      </c>
      <c r="M202" s="33"/>
      <c r="N202" s="32">
        <v>40</v>
      </c>
      <c r="O202" s="4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2" s="409"/>
      <c r="Q202" s="409"/>
      <c r="R202" s="409"/>
      <c r="S202" s="407"/>
      <c r="T202" s="34"/>
      <c r="U202" s="34"/>
      <c r="V202" s="35" t="s">
        <v>66</v>
      </c>
      <c r="W202" s="402">
        <v>32</v>
      </c>
      <c r="X202" s="403">
        <f t="shared" si="39"/>
        <v>33.6</v>
      </c>
      <c r="Y202" s="36">
        <f>IFERROR(IF(X202=0,"",ROUNDUP(X202/H202,0)*0.00753),"")</f>
        <v>0.10542</v>
      </c>
      <c r="Z202" s="56"/>
      <c r="AA202" s="57"/>
      <c r="AE202" s="64"/>
      <c r="BB202" s="182" t="s">
        <v>1</v>
      </c>
      <c r="BL202" s="64">
        <f t="shared" si="40"/>
        <v>35.706666666666671</v>
      </c>
      <c r="BM202" s="64">
        <f t="shared" si="41"/>
        <v>37.492000000000004</v>
      </c>
      <c r="BN202" s="64">
        <f t="shared" si="42"/>
        <v>8.5470085470085472E-2</v>
      </c>
      <c r="BO202" s="64">
        <f t="shared" si="43"/>
        <v>8.9743589743589758E-2</v>
      </c>
    </row>
    <row r="203" spans="1:67" x14ac:dyDescent="0.2">
      <c r="A203" s="414"/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5"/>
      <c r="O203" s="432" t="s">
        <v>70</v>
      </c>
      <c r="P203" s="433"/>
      <c r="Q203" s="433"/>
      <c r="R203" s="433"/>
      <c r="S203" s="433"/>
      <c r="T203" s="433"/>
      <c r="U203" s="434"/>
      <c r="V203" s="37" t="s">
        <v>71</v>
      </c>
      <c r="W203" s="404">
        <f>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</f>
        <v>143.87820512820514</v>
      </c>
      <c r="X203" s="404">
        <f>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</f>
        <v>146</v>
      </c>
      <c r="Y203" s="404">
        <f>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</f>
        <v>1.41222</v>
      </c>
      <c r="Z203" s="405"/>
      <c r="AA203" s="405"/>
    </row>
    <row r="204" spans="1:67" x14ac:dyDescent="0.2">
      <c r="A204" s="412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15"/>
      <c r="O204" s="432" t="s">
        <v>70</v>
      </c>
      <c r="P204" s="433"/>
      <c r="Q204" s="433"/>
      <c r="R204" s="433"/>
      <c r="S204" s="433"/>
      <c r="T204" s="433"/>
      <c r="U204" s="434"/>
      <c r="V204" s="37" t="s">
        <v>66</v>
      </c>
      <c r="W204" s="404">
        <f>IFERROR(SUM(W188:W202),"0")</f>
        <v>463</v>
      </c>
      <c r="X204" s="404">
        <f>IFERROR(SUM(X188:X202),"0")</f>
        <v>469.20000000000005</v>
      </c>
      <c r="Y204" s="37"/>
      <c r="Z204" s="405"/>
      <c r="AA204" s="405"/>
    </row>
    <row r="205" spans="1:67" ht="14.25" customHeight="1" x14ac:dyDescent="0.25">
      <c r="A205" s="411" t="s">
        <v>217</v>
      </c>
      <c r="B205" s="412"/>
      <c r="C205" s="412"/>
      <c r="D205" s="412"/>
      <c r="E205" s="412"/>
      <c r="F205" s="412"/>
      <c r="G205" s="412"/>
      <c r="H205" s="412"/>
      <c r="I205" s="412"/>
      <c r="J205" s="412"/>
      <c r="K205" s="412"/>
      <c r="L205" s="412"/>
      <c r="M205" s="412"/>
      <c r="N205" s="412"/>
      <c r="O205" s="412"/>
      <c r="P205" s="412"/>
      <c r="Q205" s="412"/>
      <c r="R205" s="412"/>
      <c r="S205" s="412"/>
      <c r="T205" s="412"/>
      <c r="U205" s="412"/>
      <c r="V205" s="412"/>
      <c r="W205" s="412"/>
      <c r="X205" s="412"/>
      <c r="Y205" s="412"/>
      <c r="Z205" s="395"/>
      <c r="AA205" s="395"/>
    </row>
    <row r="206" spans="1:67" ht="16.5" customHeight="1" x14ac:dyDescent="0.25">
      <c r="A206" s="54" t="s">
        <v>336</v>
      </c>
      <c r="B206" s="54" t="s">
        <v>337</v>
      </c>
      <c r="C206" s="31">
        <v>4301060360</v>
      </c>
      <c r="D206" s="406">
        <v>4680115882874</v>
      </c>
      <c r="E206" s="407"/>
      <c r="F206" s="401">
        <v>0.8</v>
      </c>
      <c r="G206" s="32">
        <v>4</v>
      </c>
      <c r="H206" s="401">
        <v>3.2</v>
      </c>
      <c r="I206" s="40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9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09"/>
      <c r="Q206" s="409"/>
      <c r="R206" s="409"/>
      <c r="S206" s="407"/>
      <c r="T206" s="34"/>
      <c r="U206" s="34"/>
      <c r="V206" s="35" t="s">
        <v>66</v>
      </c>
      <c r="W206" s="402">
        <v>0</v>
      </c>
      <c r="X206" s="40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338</v>
      </c>
      <c r="B207" s="54" t="s">
        <v>339</v>
      </c>
      <c r="C207" s="31">
        <v>4301060359</v>
      </c>
      <c r="D207" s="406">
        <v>4680115884434</v>
      </c>
      <c r="E207" s="407"/>
      <c r="F207" s="401">
        <v>0.8</v>
      </c>
      <c r="G207" s="32">
        <v>4</v>
      </c>
      <c r="H207" s="401">
        <v>3.2</v>
      </c>
      <c r="I207" s="40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09"/>
      <c r="Q207" s="409"/>
      <c r="R207" s="409"/>
      <c r="S207" s="407"/>
      <c r="T207" s="34"/>
      <c r="U207" s="34"/>
      <c r="V207" s="35" t="s">
        <v>66</v>
      </c>
      <c r="W207" s="402">
        <v>0</v>
      </c>
      <c r="X207" s="40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340</v>
      </c>
      <c r="B208" s="54" t="s">
        <v>341</v>
      </c>
      <c r="C208" s="31">
        <v>4301060375</v>
      </c>
      <c r="D208" s="406">
        <v>4680115880818</v>
      </c>
      <c r="E208" s="407"/>
      <c r="F208" s="401">
        <v>0.4</v>
      </c>
      <c r="G208" s="32">
        <v>6</v>
      </c>
      <c r="H208" s="401">
        <v>2.4</v>
      </c>
      <c r="I208" s="40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87" t="s">
        <v>342</v>
      </c>
      <c r="P208" s="409"/>
      <c r="Q208" s="409"/>
      <c r="R208" s="409"/>
      <c r="S208" s="407"/>
      <c r="T208" s="34"/>
      <c r="U208" s="34"/>
      <c r="V208" s="35" t="s">
        <v>66</v>
      </c>
      <c r="W208" s="402">
        <v>45</v>
      </c>
      <c r="X208" s="403">
        <f>IFERROR(IF(W208="",0,CEILING((W208/$H208),1)*$H208),"")</f>
        <v>45.6</v>
      </c>
      <c r="Y208" s="36">
        <f>IFERROR(IF(X208=0,"",ROUNDUP(X208/H208,0)*0.00753),"")</f>
        <v>0.14307</v>
      </c>
      <c r="Z208" s="56"/>
      <c r="AA208" s="57"/>
      <c r="AE208" s="64"/>
      <c r="BB208" s="185" t="s">
        <v>1</v>
      </c>
      <c r="BL208" s="64">
        <f>IFERROR(W208*I208/H208,"0")</f>
        <v>50.100000000000009</v>
      </c>
      <c r="BM208" s="64">
        <f>IFERROR(X208*I208/H208,"0")</f>
        <v>50.768000000000008</v>
      </c>
      <c r="BN208" s="64">
        <f>IFERROR(1/J208*(W208/H208),"0")</f>
        <v>0.12019230769230768</v>
      </c>
      <c r="BO208" s="64">
        <f>IFERROR(1/J208*(X208/H208),"0")</f>
        <v>0.12179487179487179</v>
      </c>
    </row>
    <row r="209" spans="1:67" ht="16.5" customHeight="1" x14ac:dyDescent="0.25">
      <c r="A209" s="54" t="s">
        <v>343</v>
      </c>
      <c r="B209" s="54" t="s">
        <v>344</v>
      </c>
      <c r="C209" s="31">
        <v>4301060389</v>
      </c>
      <c r="D209" s="406">
        <v>4680115880801</v>
      </c>
      <c r="E209" s="407"/>
      <c r="F209" s="401">
        <v>0.4</v>
      </c>
      <c r="G209" s="32">
        <v>6</v>
      </c>
      <c r="H209" s="401">
        <v>2.4</v>
      </c>
      <c r="I209" s="401">
        <v>2.6720000000000002</v>
      </c>
      <c r="J209" s="32">
        <v>156</v>
      </c>
      <c r="K209" s="32" t="s">
        <v>64</v>
      </c>
      <c r="L209" s="33" t="s">
        <v>129</v>
      </c>
      <c r="M209" s="33"/>
      <c r="N209" s="32">
        <v>40</v>
      </c>
      <c r="O209" s="659" t="s">
        <v>345</v>
      </c>
      <c r="P209" s="409"/>
      <c r="Q209" s="409"/>
      <c r="R209" s="409"/>
      <c r="S209" s="407"/>
      <c r="T209" s="34"/>
      <c r="U209" s="34"/>
      <c r="V209" s="35" t="s">
        <v>66</v>
      </c>
      <c r="W209" s="402">
        <v>6</v>
      </c>
      <c r="X209" s="403">
        <f>IFERROR(IF(W209="",0,CEILING((W209/$H209),1)*$H209),"")</f>
        <v>7.1999999999999993</v>
      </c>
      <c r="Y209" s="36">
        <f>IFERROR(IF(X209=0,"",ROUNDUP(X209/H209,0)*0.00753),"")</f>
        <v>2.2589999999999999E-2</v>
      </c>
      <c r="Z209" s="56"/>
      <c r="AA209" s="57"/>
      <c r="AE209" s="64"/>
      <c r="BB209" s="186" t="s">
        <v>1</v>
      </c>
      <c r="BL209" s="64">
        <f>IFERROR(W209*I209/H209,"0")</f>
        <v>6.6800000000000006</v>
      </c>
      <c r="BM209" s="64">
        <f>IFERROR(X209*I209/H209,"0")</f>
        <v>8.016</v>
      </c>
      <c r="BN209" s="64">
        <f>IFERROR(1/J209*(W209/H209),"0")</f>
        <v>1.6025641025641024E-2</v>
      </c>
      <c r="BO209" s="64">
        <f>IFERROR(1/J209*(X209/H209),"0")</f>
        <v>1.9230769230769232E-2</v>
      </c>
    </row>
    <row r="210" spans="1:67" x14ac:dyDescent="0.2">
      <c r="A210" s="414"/>
      <c r="B210" s="412"/>
      <c r="C210" s="412"/>
      <c r="D210" s="412"/>
      <c r="E210" s="412"/>
      <c r="F210" s="412"/>
      <c r="G210" s="412"/>
      <c r="H210" s="412"/>
      <c r="I210" s="412"/>
      <c r="J210" s="412"/>
      <c r="K210" s="412"/>
      <c r="L210" s="412"/>
      <c r="M210" s="412"/>
      <c r="N210" s="415"/>
      <c r="O210" s="432" t="s">
        <v>70</v>
      </c>
      <c r="P210" s="433"/>
      <c r="Q210" s="433"/>
      <c r="R210" s="433"/>
      <c r="S210" s="433"/>
      <c r="T210" s="433"/>
      <c r="U210" s="434"/>
      <c r="V210" s="37" t="s">
        <v>71</v>
      </c>
      <c r="W210" s="404">
        <f>IFERROR(W206/H206,"0")+IFERROR(W207/H207,"0")+IFERROR(W208/H208,"0")+IFERROR(W209/H209,"0")</f>
        <v>21.25</v>
      </c>
      <c r="X210" s="404">
        <f>IFERROR(X206/H206,"0")+IFERROR(X207/H207,"0")+IFERROR(X208/H208,"0")+IFERROR(X209/H209,"0")</f>
        <v>22</v>
      </c>
      <c r="Y210" s="404">
        <f>IFERROR(IF(Y206="",0,Y206),"0")+IFERROR(IF(Y207="",0,Y207),"0")+IFERROR(IF(Y208="",0,Y208),"0")+IFERROR(IF(Y209="",0,Y209),"0")</f>
        <v>0.16566</v>
      </c>
      <c r="Z210" s="405"/>
      <c r="AA210" s="405"/>
    </row>
    <row r="211" spans="1:67" x14ac:dyDescent="0.2">
      <c r="A211" s="412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5"/>
      <c r="O211" s="432" t="s">
        <v>70</v>
      </c>
      <c r="P211" s="433"/>
      <c r="Q211" s="433"/>
      <c r="R211" s="433"/>
      <c r="S211" s="433"/>
      <c r="T211" s="433"/>
      <c r="U211" s="434"/>
      <c r="V211" s="37" t="s">
        <v>66</v>
      </c>
      <c r="W211" s="404">
        <f>IFERROR(SUM(W206:W209),"0")</f>
        <v>51</v>
      </c>
      <c r="X211" s="404">
        <f>IFERROR(SUM(X206:X209),"0")</f>
        <v>52.8</v>
      </c>
      <c r="Y211" s="37"/>
      <c r="Z211" s="405"/>
      <c r="AA211" s="405"/>
    </row>
    <row r="212" spans="1:67" ht="16.5" customHeight="1" x14ac:dyDescent="0.25">
      <c r="A212" s="421" t="s">
        <v>346</v>
      </c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2"/>
      <c r="O212" s="412"/>
      <c r="P212" s="412"/>
      <c r="Q212" s="412"/>
      <c r="R212" s="412"/>
      <c r="S212" s="412"/>
      <c r="T212" s="412"/>
      <c r="U212" s="412"/>
      <c r="V212" s="412"/>
      <c r="W212" s="412"/>
      <c r="X212" s="412"/>
      <c r="Y212" s="412"/>
      <c r="Z212" s="396"/>
      <c r="AA212" s="396"/>
    </row>
    <row r="213" spans="1:67" ht="14.25" customHeight="1" x14ac:dyDescent="0.25">
      <c r="A213" s="411" t="s">
        <v>114</v>
      </c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395"/>
      <c r="AA213" s="395"/>
    </row>
    <row r="214" spans="1:67" ht="27" customHeight="1" x14ac:dyDescent="0.25">
      <c r="A214" s="54" t="s">
        <v>347</v>
      </c>
      <c r="B214" s="54" t="s">
        <v>348</v>
      </c>
      <c r="C214" s="31">
        <v>4301011717</v>
      </c>
      <c r="D214" s="406">
        <v>4680115884274</v>
      </c>
      <c r="E214" s="407"/>
      <c r="F214" s="401">
        <v>1.45</v>
      </c>
      <c r="G214" s="32">
        <v>8</v>
      </c>
      <c r="H214" s="401">
        <v>11.6</v>
      </c>
      <c r="I214" s="401">
        <v>12.08</v>
      </c>
      <c r="J214" s="32">
        <v>56</v>
      </c>
      <c r="K214" s="32" t="s">
        <v>109</v>
      </c>
      <c r="L214" s="33" t="s">
        <v>110</v>
      </c>
      <c r="M214" s="33"/>
      <c r="N214" s="32">
        <v>55</v>
      </c>
      <c r="O214" s="6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09"/>
      <c r="Q214" s="409"/>
      <c r="R214" s="409"/>
      <c r="S214" s="407"/>
      <c r="T214" s="34"/>
      <c r="U214" s="34"/>
      <c r="V214" s="35" t="s">
        <v>66</v>
      </c>
      <c r="W214" s="402">
        <v>0</v>
      </c>
      <c r="X214" s="403">
        <f t="shared" ref="X214:X220" si="44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5">IFERROR(W214*I214/H214,"0")</f>
        <v>0</v>
      </c>
      <c r="BM214" s="64">
        <f t="shared" ref="BM214:BM220" si="46">IFERROR(X214*I214/H214,"0")</f>
        <v>0</v>
      </c>
      <c r="BN214" s="64">
        <f t="shared" ref="BN214:BN220" si="47">IFERROR(1/J214*(W214/H214),"0")</f>
        <v>0</v>
      </c>
      <c r="BO214" s="64">
        <f t="shared" ref="BO214:BO220" si="48">IFERROR(1/J214*(X214/H214),"0")</f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4301011719</v>
      </c>
      <c r="D215" s="406">
        <v>4680115884298</v>
      </c>
      <c r="E215" s="407"/>
      <c r="F215" s="401">
        <v>1.45</v>
      </c>
      <c r="G215" s="32">
        <v>8</v>
      </c>
      <c r="H215" s="401">
        <v>11.6</v>
      </c>
      <c r="I215" s="401">
        <v>12.08</v>
      </c>
      <c r="J215" s="32">
        <v>56</v>
      </c>
      <c r="K215" s="32" t="s">
        <v>109</v>
      </c>
      <c r="L215" s="33" t="s">
        <v>110</v>
      </c>
      <c r="M215" s="33"/>
      <c r="N215" s="32">
        <v>55</v>
      </c>
      <c r="O215" s="47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09"/>
      <c r="Q215" s="409"/>
      <c r="R215" s="409"/>
      <c r="S215" s="407"/>
      <c r="T215" s="34"/>
      <c r="U215" s="34"/>
      <c r="V215" s="35" t="s">
        <v>66</v>
      </c>
      <c r="W215" s="402">
        <v>0</v>
      </c>
      <c r="X215" s="403">
        <f t="shared" si="44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ht="27" customHeight="1" x14ac:dyDescent="0.25">
      <c r="A216" s="54" t="s">
        <v>351</v>
      </c>
      <c r="B216" s="54" t="s">
        <v>352</v>
      </c>
      <c r="C216" s="31">
        <v>4301011733</v>
      </c>
      <c r="D216" s="406">
        <v>4680115884250</v>
      </c>
      <c r="E216" s="407"/>
      <c r="F216" s="401">
        <v>1.45</v>
      </c>
      <c r="G216" s="32">
        <v>8</v>
      </c>
      <c r="H216" s="401">
        <v>11.6</v>
      </c>
      <c r="I216" s="401">
        <v>12.08</v>
      </c>
      <c r="J216" s="32">
        <v>56</v>
      </c>
      <c r="K216" s="32" t="s">
        <v>109</v>
      </c>
      <c r="L216" s="33" t="s">
        <v>129</v>
      </c>
      <c r="M216" s="33"/>
      <c r="N216" s="32">
        <v>55</v>
      </c>
      <c r="O216" s="6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09"/>
      <c r="Q216" s="409"/>
      <c r="R216" s="409"/>
      <c r="S216" s="407"/>
      <c r="T216" s="34"/>
      <c r="U216" s="34"/>
      <c r="V216" s="35" t="s">
        <v>66</v>
      </c>
      <c r="W216" s="402">
        <v>18</v>
      </c>
      <c r="X216" s="403">
        <f t="shared" si="44"/>
        <v>23.2</v>
      </c>
      <c r="Y216" s="36">
        <f>IFERROR(IF(X216=0,"",ROUNDUP(X216/H216,0)*0.02175),"")</f>
        <v>4.3499999999999997E-2</v>
      </c>
      <c r="Z216" s="56"/>
      <c r="AA216" s="57"/>
      <c r="AE216" s="64"/>
      <c r="BB216" s="189" t="s">
        <v>1</v>
      </c>
      <c r="BL216" s="64">
        <f t="shared" si="45"/>
        <v>18.744827586206895</v>
      </c>
      <c r="BM216" s="64">
        <f t="shared" si="46"/>
        <v>24.159999999999997</v>
      </c>
      <c r="BN216" s="64">
        <f t="shared" si="47"/>
        <v>2.7709359605911327E-2</v>
      </c>
      <c r="BO216" s="64">
        <f t="shared" si="48"/>
        <v>3.5714285714285712E-2</v>
      </c>
    </row>
    <row r="217" spans="1:67" ht="27" customHeight="1" x14ac:dyDescent="0.25">
      <c r="A217" s="54" t="s">
        <v>353</v>
      </c>
      <c r="B217" s="54" t="s">
        <v>354</v>
      </c>
      <c r="C217" s="31">
        <v>4301011718</v>
      </c>
      <c r="D217" s="406">
        <v>4680115884281</v>
      </c>
      <c r="E217" s="407"/>
      <c r="F217" s="401">
        <v>0.4</v>
      </c>
      <c r="G217" s="32">
        <v>10</v>
      </c>
      <c r="H217" s="401">
        <v>4</v>
      </c>
      <c r="I217" s="401">
        <v>4.24</v>
      </c>
      <c r="J217" s="32">
        <v>120</v>
      </c>
      <c r="K217" s="32" t="s">
        <v>64</v>
      </c>
      <c r="L217" s="33" t="s">
        <v>110</v>
      </c>
      <c r="M217" s="33"/>
      <c r="N217" s="32">
        <v>55</v>
      </c>
      <c r="O217" s="4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09"/>
      <c r="Q217" s="409"/>
      <c r="R217" s="409"/>
      <c r="S217" s="407"/>
      <c r="T217" s="34"/>
      <c r="U217" s="34"/>
      <c r="V217" s="35" t="s">
        <v>66</v>
      </c>
      <c r="W217" s="402">
        <v>0</v>
      </c>
      <c r="X217" s="403">
        <f t="shared" si="44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customHeight="1" x14ac:dyDescent="0.25">
      <c r="A218" s="54" t="s">
        <v>355</v>
      </c>
      <c r="B218" s="54" t="s">
        <v>356</v>
      </c>
      <c r="C218" s="31">
        <v>4301011720</v>
      </c>
      <c r="D218" s="406">
        <v>4680115884199</v>
      </c>
      <c r="E218" s="407"/>
      <c r="F218" s="401">
        <v>0.37</v>
      </c>
      <c r="G218" s="32">
        <v>10</v>
      </c>
      <c r="H218" s="401">
        <v>3.7</v>
      </c>
      <c r="I218" s="401">
        <v>3.94</v>
      </c>
      <c r="J218" s="32">
        <v>120</v>
      </c>
      <c r="K218" s="32" t="s">
        <v>64</v>
      </c>
      <c r="L218" s="33" t="s">
        <v>110</v>
      </c>
      <c r="M218" s="33"/>
      <c r="N218" s="32">
        <v>55</v>
      </c>
      <c r="O218" s="6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09"/>
      <c r="Q218" s="409"/>
      <c r="R218" s="409"/>
      <c r="S218" s="407"/>
      <c r="T218" s="34"/>
      <c r="U218" s="34"/>
      <c r="V218" s="35" t="s">
        <v>66</v>
      </c>
      <c r="W218" s="402">
        <v>0</v>
      </c>
      <c r="X218" s="403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customHeight="1" x14ac:dyDescent="0.25">
      <c r="A219" s="54" t="s">
        <v>357</v>
      </c>
      <c r="B219" s="54" t="s">
        <v>358</v>
      </c>
      <c r="C219" s="31">
        <v>4301011716</v>
      </c>
      <c r="D219" s="406">
        <v>4680115884267</v>
      </c>
      <c r="E219" s="407"/>
      <c r="F219" s="401">
        <v>0.4</v>
      </c>
      <c r="G219" s="32">
        <v>10</v>
      </c>
      <c r="H219" s="401">
        <v>4</v>
      </c>
      <c r="I219" s="401">
        <v>4.24</v>
      </c>
      <c r="J219" s="32">
        <v>120</v>
      </c>
      <c r="K219" s="32" t="s">
        <v>64</v>
      </c>
      <c r="L219" s="33" t="s">
        <v>110</v>
      </c>
      <c r="M219" s="33"/>
      <c r="N219" s="32">
        <v>55</v>
      </c>
      <c r="O219" s="5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09"/>
      <c r="Q219" s="409"/>
      <c r="R219" s="409"/>
      <c r="S219" s="407"/>
      <c r="T219" s="34"/>
      <c r="U219" s="34"/>
      <c r="V219" s="35" t="s">
        <v>66</v>
      </c>
      <c r="W219" s="402">
        <v>14</v>
      </c>
      <c r="X219" s="403">
        <f t="shared" si="44"/>
        <v>16</v>
      </c>
      <c r="Y219" s="36">
        <f>IFERROR(IF(X219=0,"",ROUNDUP(X219/H219,0)*0.00937),"")</f>
        <v>3.7479999999999999E-2</v>
      </c>
      <c r="Z219" s="56"/>
      <c r="AA219" s="57"/>
      <c r="AE219" s="64"/>
      <c r="BB219" s="192" t="s">
        <v>1</v>
      </c>
      <c r="BL219" s="64">
        <f t="shared" si="45"/>
        <v>14.84</v>
      </c>
      <c r="BM219" s="64">
        <f t="shared" si="46"/>
        <v>16.96</v>
      </c>
      <c r="BN219" s="64">
        <f t="shared" si="47"/>
        <v>2.9166666666666667E-2</v>
      </c>
      <c r="BO219" s="64">
        <f t="shared" si="48"/>
        <v>3.3333333333333333E-2</v>
      </c>
    </row>
    <row r="220" spans="1:67" ht="27" customHeight="1" x14ac:dyDescent="0.25">
      <c r="A220" s="54" t="s">
        <v>359</v>
      </c>
      <c r="B220" s="54" t="s">
        <v>360</v>
      </c>
      <c r="C220" s="31">
        <v>4301011593</v>
      </c>
      <c r="D220" s="406">
        <v>4680115882973</v>
      </c>
      <c r="E220" s="407"/>
      <c r="F220" s="401">
        <v>0.7</v>
      </c>
      <c r="G220" s="32">
        <v>6</v>
      </c>
      <c r="H220" s="401">
        <v>4.2</v>
      </c>
      <c r="I220" s="401">
        <v>4.5599999999999996</v>
      </c>
      <c r="J220" s="32">
        <v>104</v>
      </c>
      <c r="K220" s="32" t="s">
        <v>109</v>
      </c>
      <c r="L220" s="33" t="s">
        <v>110</v>
      </c>
      <c r="M220" s="33"/>
      <c r="N220" s="32">
        <v>55</v>
      </c>
      <c r="O220" s="4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09"/>
      <c r="Q220" s="409"/>
      <c r="R220" s="409"/>
      <c r="S220" s="407"/>
      <c r="T220" s="34"/>
      <c r="U220" s="34"/>
      <c r="V220" s="35" t="s">
        <v>66</v>
      </c>
      <c r="W220" s="402">
        <v>0</v>
      </c>
      <c r="X220" s="403">
        <f t="shared" si="44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x14ac:dyDescent="0.2">
      <c r="A221" s="414"/>
      <c r="B221" s="412"/>
      <c r="C221" s="412"/>
      <c r="D221" s="412"/>
      <c r="E221" s="412"/>
      <c r="F221" s="412"/>
      <c r="G221" s="412"/>
      <c r="H221" s="412"/>
      <c r="I221" s="412"/>
      <c r="J221" s="412"/>
      <c r="K221" s="412"/>
      <c r="L221" s="412"/>
      <c r="M221" s="412"/>
      <c r="N221" s="415"/>
      <c r="O221" s="432" t="s">
        <v>70</v>
      </c>
      <c r="P221" s="433"/>
      <c r="Q221" s="433"/>
      <c r="R221" s="433"/>
      <c r="S221" s="433"/>
      <c r="T221" s="433"/>
      <c r="U221" s="434"/>
      <c r="V221" s="37" t="s">
        <v>71</v>
      </c>
      <c r="W221" s="404">
        <f>IFERROR(W214/H214,"0")+IFERROR(W215/H215,"0")+IFERROR(W216/H216,"0")+IFERROR(W217/H217,"0")+IFERROR(W218/H218,"0")+IFERROR(W219/H219,"0")+IFERROR(W220/H220,"0")</f>
        <v>5.0517241379310347</v>
      </c>
      <c r="X221" s="404">
        <f>IFERROR(X214/H214,"0")+IFERROR(X215/H215,"0")+IFERROR(X216/H216,"0")+IFERROR(X217/H217,"0")+IFERROR(X218/H218,"0")+IFERROR(X219/H219,"0")+IFERROR(X220/H220,"0")</f>
        <v>6</v>
      </c>
      <c r="Y221" s="404">
        <f>IFERROR(IF(Y214="",0,Y214),"0")+IFERROR(IF(Y215="",0,Y215),"0")+IFERROR(IF(Y216="",0,Y216),"0")+IFERROR(IF(Y217="",0,Y217),"0")+IFERROR(IF(Y218="",0,Y218),"0")+IFERROR(IF(Y219="",0,Y219),"0")+IFERROR(IF(Y220="",0,Y220),"0")</f>
        <v>8.0979999999999996E-2</v>
      </c>
      <c r="Z221" s="405"/>
      <c r="AA221" s="405"/>
    </row>
    <row r="222" spans="1:67" x14ac:dyDescent="0.2">
      <c r="A222" s="412"/>
      <c r="B222" s="412"/>
      <c r="C222" s="412"/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15"/>
      <c r="O222" s="432" t="s">
        <v>70</v>
      </c>
      <c r="P222" s="433"/>
      <c r="Q222" s="433"/>
      <c r="R222" s="433"/>
      <c r="S222" s="433"/>
      <c r="T222" s="433"/>
      <c r="U222" s="434"/>
      <c r="V222" s="37" t="s">
        <v>66</v>
      </c>
      <c r="W222" s="404">
        <f>IFERROR(SUM(W214:W220),"0")</f>
        <v>32</v>
      </c>
      <c r="X222" s="404">
        <f>IFERROR(SUM(X214:X220),"0")</f>
        <v>39.200000000000003</v>
      </c>
      <c r="Y222" s="37"/>
      <c r="Z222" s="405"/>
      <c r="AA222" s="405"/>
    </row>
    <row r="223" spans="1:67" ht="14.25" customHeight="1" x14ac:dyDescent="0.25">
      <c r="A223" s="411" t="s">
        <v>61</v>
      </c>
      <c r="B223" s="412"/>
      <c r="C223" s="412"/>
      <c r="D223" s="412"/>
      <c r="E223" s="412"/>
      <c r="F223" s="412"/>
      <c r="G223" s="412"/>
      <c r="H223" s="412"/>
      <c r="I223" s="412"/>
      <c r="J223" s="412"/>
      <c r="K223" s="412"/>
      <c r="L223" s="412"/>
      <c r="M223" s="412"/>
      <c r="N223" s="412"/>
      <c r="O223" s="412"/>
      <c r="P223" s="412"/>
      <c r="Q223" s="412"/>
      <c r="R223" s="412"/>
      <c r="S223" s="412"/>
      <c r="T223" s="412"/>
      <c r="U223" s="412"/>
      <c r="V223" s="412"/>
      <c r="W223" s="412"/>
      <c r="X223" s="412"/>
      <c r="Y223" s="412"/>
      <c r="Z223" s="395"/>
      <c r="AA223" s="395"/>
    </row>
    <row r="224" spans="1:67" ht="27" customHeight="1" x14ac:dyDescent="0.25">
      <c r="A224" s="54" t="s">
        <v>361</v>
      </c>
      <c r="B224" s="54" t="s">
        <v>362</v>
      </c>
      <c r="C224" s="31">
        <v>4301031305</v>
      </c>
      <c r="D224" s="406">
        <v>4607091389845</v>
      </c>
      <c r="E224" s="407"/>
      <c r="F224" s="401">
        <v>0.35</v>
      </c>
      <c r="G224" s="32">
        <v>6</v>
      </c>
      <c r="H224" s="401">
        <v>2.1</v>
      </c>
      <c r="I224" s="401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408" t="s">
        <v>363</v>
      </c>
      <c r="P224" s="409"/>
      <c r="Q224" s="409"/>
      <c r="R224" s="409"/>
      <c r="S224" s="407"/>
      <c r="T224" s="34" t="s">
        <v>83</v>
      </c>
      <c r="U224" s="34"/>
      <c r="V224" s="35" t="s">
        <v>66</v>
      </c>
      <c r="W224" s="402">
        <v>0</v>
      </c>
      <c r="X224" s="403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customHeight="1" x14ac:dyDescent="0.25">
      <c r="A225" s="54" t="s">
        <v>361</v>
      </c>
      <c r="B225" s="54" t="s">
        <v>364</v>
      </c>
      <c r="C225" s="31">
        <v>4301031151</v>
      </c>
      <c r="D225" s="406">
        <v>4607091389845</v>
      </c>
      <c r="E225" s="407"/>
      <c r="F225" s="401">
        <v>0.35</v>
      </c>
      <c r="G225" s="32">
        <v>6</v>
      </c>
      <c r="H225" s="401">
        <v>2.1</v>
      </c>
      <c r="I225" s="401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71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09"/>
      <c r="Q225" s="409"/>
      <c r="R225" s="409"/>
      <c r="S225" s="407"/>
      <c r="T225" s="34"/>
      <c r="U225" s="34"/>
      <c r="V225" s="35" t="s">
        <v>66</v>
      </c>
      <c r="W225" s="402">
        <v>0</v>
      </c>
      <c r="X225" s="403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365</v>
      </c>
      <c r="B226" s="54" t="s">
        <v>366</v>
      </c>
      <c r="C226" s="31">
        <v>4301031259</v>
      </c>
      <c r="D226" s="406">
        <v>4680115882881</v>
      </c>
      <c r="E226" s="407"/>
      <c r="F226" s="401">
        <v>0.28000000000000003</v>
      </c>
      <c r="G226" s="32">
        <v>6</v>
      </c>
      <c r="H226" s="401">
        <v>1.68</v>
      </c>
      <c r="I226" s="401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4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409"/>
      <c r="Q226" s="409"/>
      <c r="R226" s="409"/>
      <c r="S226" s="407"/>
      <c r="T226" s="34"/>
      <c r="U226" s="34"/>
      <c r="V226" s="35" t="s">
        <v>66</v>
      </c>
      <c r="W226" s="402">
        <v>0</v>
      </c>
      <c r="X226" s="403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414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5"/>
      <c r="O227" s="432" t="s">
        <v>70</v>
      </c>
      <c r="P227" s="433"/>
      <c r="Q227" s="433"/>
      <c r="R227" s="433"/>
      <c r="S227" s="433"/>
      <c r="T227" s="433"/>
      <c r="U227" s="434"/>
      <c r="V227" s="37" t="s">
        <v>71</v>
      </c>
      <c r="W227" s="404">
        <f>IFERROR(W224/H224,"0")+IFERROR(W225/H225,"0")+IFERROR(W226/H226,"0")</f>
        <v>0</v>
      </c>
      <c r="X227" s="404">
        <f>IFERROR(X224/H224,"0")+IFERROR(X225/H225,"0")+IFERROR(X226/H226,"0")</f>
        <v>0</v>
      </c>
      <c r="Y227" s="404">
        <f>IFERROR(IF(Y224="",0,Y224),"0")+IFERROR(IF(Y225="",0,Y225),"0")+IFERROR(IF(Y226="",0,Y226),"0")</f>
        <v>0</v>
      </c>
      <c r="Z227" s="405"/>
      <c r="AA227" s="405"/>
    </row>
    <row r="228" spans="1:67" x14ac:dyDescent="0.2">
      <c r="A228" s="412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15"/>
      <c r="O228" s="432" t="s">
        <v>70</v>
      </c>
      <c r="P228" s="433"/>
      <c r="Q228" s="433"/>
      <c r="R228" s="433"/>
      <c r="S228" s="433"/>
      <c r="T228" s="433"/>
      <c r="U228" s="434"/>
      <c r="V228" s="37" t="s">
        <v>66</v>
      </c>
      <c r="W228" s="404">
        <f>IFERROR(SUM(W224:W226),"0")</f>
        <v>0</v>
      </c>
      <c r="X228" s="404">
        <f>IFERROR(SUM(X224:X226),"0")</f>
        <v>0</v>
      </c>
      <c r="Y228" s="37"/>
      <c r="Z228" s="405"/>
      <c r="AA228" s="405"/>
    </row>
    <row r="229" spans="1:67" ht="16.5" customHeight="1" x14ac:dyDescent="0.25">
      <c r="A229" s="421" t="s">
        <v>367</v>
      </c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12"/>
      <c r="O229" s="412"/>
      <c r="P229" s="412"/>
      <c r="Q229" s="412"/>
      <c r="R229" s="412"/>
      <c r="S229" s="412"/>
      <c r="T229" s="412"/>
      <c r="U229" s="412"/>
      <c r="V229" s="412"/>
      <c r="W229" s="412"/>
      <c r="X229" s="412"/>
      <c r="Y229" s="412"/>
      <c r="Z229" s="396"/>
      <c r="AA229" s="396"/>
    </row>
    <row r="230" spans="1:67" ht="14.25" customHeight="1" x14ac:dyDescent="0.25">
      <c r="A230" s="411" t="s">
        <v>114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395"/>
      <c r="AA230" s="395"/>
    </row>
    <row r="231" spans="1:67" ht="27" customHeight="1" x14ac:dyDescent="0.25">
      <c r="A231" s="54" t="s">
        <v>368</v>
      </c>
      <c r="B231" s="54" t="s">
        <v>369</v>
      </c>
      <c r="C231" s="31">
        <v>4301011826</v>
      </c>
      <c r="D231" s="406">
        <v>4680115884137</v>
      </c>
      <c r="E231" s="407"/>
      <c r="F231" s="401">
        <v>1.45</v>
      </c>
      <c r="G231" s="32">
        <v>8</v>
      </c>
      <c r="H231" s="401">
        <v>11.6</v>
      </c>
      <c r="I231" s="401">
        <v>12.08</v>
      </c>
      <c r="J231" s="32">
        <v>56</v>
      </c>
      <c r="K231" s="32" t="s">
        <v>109</v>
      </c>
      <c r="L231" s="33" t="s">
        <v>110</v>
      </c>
      <c r="M231" s="33"/>
      <c r="N231" s="32">
        <v>55</v>
      </c>
      <c r="O231" s="7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409"/>
      <c r="Q231" s="409"/>
      <c r="R231" s="409"/>
      <c r="S231" s="407"/>
      <c r="T231" s="34"/>
      <c r="U231" s="34"/>
      <c r="V231" s="35" t="s">
        <v>66</v>
      </c>
      <c r="W231" s="402">
        <v>25</v>
      </c>
      <c r="X231" s="403">
        <f t="shared" ref="X231:X236" si="49">IFERROR(IF(W231="",0,CEILING((W231/$H231),1)*$H231),"")</f>
        <v>34.799999999999997</v>
      </c>
      <c r="Y231" s="36">
        <f>IFERROR(IF(X231=0,"",ROUNDUP(X231/H231,0)*0.02175),"")</f>
        <v>6.5250000000000002E-2</v>
      </c>
      <c r="Z231" s="56"/>
      <c r="AA231" s="57"/>
      <c r="AE231" s="64"/>
      <c r="BB231" s="197" t="s">
        <v>1</v>
      </c>
      <c r="BL231" s="64">
        <f t="shared" ref="BL231:BL236" si="50">IFERROR(W231*I231/H231,"0")</f>
        <v>26.03448275862069</v>
      </c>
      <c r="BM231" s="64">
        <f t="shared" ref="BM231:BM236" si="51">IFERROR(X231*I231/H231,"0")</f>
        <v>36.239999999999995</v>
      </c>
      <c r="BN231" s="64">
        <f t="shared" ref="BN231:BN236" si="52">IFERROR(1/J231*(W231/H231),"0")</f>
        <v>3.8485221674876849E-2</v>
      </c>
      <c r="BO231" s="64">
        <f t="shared" ref="BO231:BO236" si="53">IFERROR(1/J231*(X231/H231),"0")</f>
        <v>5.3571428571428568E-2</v>
      </c>
    </row>
    <row r="232" spans="1:67" ht="27" customHeight="1" x14ac:dyDescent="0.25">
      <c r="A232" s="54" t="s">
        <v>370</v>
      </c>
      <c r="B232" s="54" t="s">
        <v>371</v>
      </c>
      <c r="C232" s="31">
        <v>4301011724</v>
      </c>
      <c r="D232" s="406">
        <v>4680115884236</v>
      </c>
      <c r="E232" s="407"/>
      <c r="F232" s="401">
        <v>1.45</v>
      </c>
      <c r="G232" s="32">
        <v>8</v>
      </c>
      <c r="H232" s="401">
        <v>11.6</v>
      </c>
      <c r="I232" s="401">
        <v>12.08</v>
      </c>
      <c r="J232" s="32">
        <v>56</v>
      </c>
      <c r="K232" s="32" t="s">
        <v>109</v>
      </c>
      <c r="L232" s="33" t="s">
        <v>110</v>
      </c>
      <c r="M232" s="33"/>
      <c r="N232" s="32">
        <v>55</v>
      </c>
      <c r="O232" s="6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09"/>
      <c r="Q232" s="409"/>
      <c r="R232" s="409"/>
      <c r="S232" s="407"/>
      <c r="T232" s="34"/>
      <c r="U232" s="34"/>
      <c r="V232" s="35" t="s">
        <v>66</v>
      </c>
      <c r="W232" s="402">
        <v>0</v>
      </c>
      <c r="X232" s="403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372</v>
      </c>
      <c r="B233" s="54" t="s">
        <v>373</v>
      </c>
      <c r="C233" s="31">
        <v>4301011721</v>
      </c>
      <c r="D233" s="406">
        <v>4680115884175</v>
      </c>
      <c r="E233" s="407"/>
      <c r="F233" s="401">
        <v>1.45</v>
      </c>
      <c r="G233" s="32">
        <v>8</v>
      </c>
      <c r="H233" s="401">
        <v>11.6</v>
      </c>
      <c r="I233" s="401">
        <v>12.08</v>
      </c>
      <c r="J233" s="32">
        <v>56</v>
      </c>
      <c r="K233" s="32" t="s">
        <v>109</v>
      </c>
      <c r="L233" s="33" t="s">
        <v>110</v>
      </c>
      <c r="M233" s="33"/>
      <c r="N233" s="32">
        <v>55</v>
      </c>
      <c r="O233" s="7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09"/>
      <c r="Q233" s="409"/>
      <c r="R233" s="409"/>
      <c r="S233" s="407"/>
      <c r="T233" s="34"/>
      <c r="U233" s="34"/>
      <c r="V233" s="35" t="s">
        <v>66</v>
      </c>
      <c r="W233" s="402">
        <v>0</v>
      </c>
      <c r="X233" s="403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374</v>
      </c>
      <c r="B234" s="54" t="s">
        <v>375</v>
      </c>
      <c r="C234" s="31">
        <v>4301011824</v>
      </c>
      <c r="D234" s="406">
        <v>4680115884144</v>
      </c>
      <c r="E234" s="407"/>
      <c r="F234" s="401">
        <v>0.4</v>
      </c>
      <c r="G234" s="32">
        <v>10</v>
      </c>
      <c r="H234" s="401">
        <v>4</v>
      </c>
      <c r="I234" s="401">
        <v>4.24</v>
      </c>
      <c r="J234" s="32">
        <v>120</v>
      </c>
      <c r="K234" s="32" t="s">
        <v>64</v>
      </c>
      <c r="L234" s="33" t="s">
        <v>110</v>
      </c>
      <c r="M234" s="33"/>
      <c r="N234" s="32">
        <v>55</v>
      </c>
      <c r="O234" s="5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09"/>
      <c r="Q234" s="409"/>
      <c r="R234" s="409"/>
      <c r="S234" s="407"/>
      <c r="T234" s="34"/>
      <c r="U234" s="34"/>
      <c r="V234" s="35" t="s">
        <v>66</v>
      </c>
      <c r="W234" s="402">
        <v>0</v>
      </c>
      <c r="X234" s="403">
        <f t="shared" si="49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376</v>
      </c>
      <c r="B235" s="54" t="s">
        <v>377</v>
      </c>
      <c r="C235" s="31">
        <v>4301011726</v>
      </c>
      <c r="D235" s="406">
        <v>4680115884182</v>
      </c>
      <c r="E235" s="407"/>
      <c r="F235" s="401">
        <v>0.37</v>
      </c>
      <c r="G235" s="32">
        <v>10</v>
      </c>
      <c r="H235" s="401">
        <v>3.7</v>
      </c>
      <c r="I235" s="401">
        <v>3.94</v>
      </c>
      <c r="J235" s="32">
        <v>120</v>
      </c>
      <c r="K235" s="32" t="s">
        <v>64</v>
      </c>
      <c r="L235" s="33" t="s">
        <v>110</v>
      </c>
      <c r="M235" s="33"/>
      <c r="N235" s="32">
        <v>55</v>
      </c>
      <c r="O235" s="60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409"/>
      <c r="Q235" s="409"/>
      <c r="R235" s="409"/>
      <c r="S235" s="407"/>
      <c r="T235" s="34"/>
      <c r="U235" s="34"/>
      <c r="V235" s="35" t="s">
        <v>66</v>
      </c>
      <c r="W235" s="402">
        <v>0</v>
      </c>
      <c r="X235" s="403">
        <f t="shared" si="49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378</v>
      </c>
      <c r="B236" s="54" t="s">
        <v>379</v>
      </c>
      <c r="C236" s="31">
        <v>4301011722</v>
      </c>
      <c r="D236" s="406">
        <v>4680115884205</v>
      </c>
      <c r="E236" s="407"/>
      <c r="F236" s="401">
        <v>0.4</v>
      </c>
      <c r="G236" s="32">
        <v>10</v>
      </c>
      <c r="H236" s="401">
        <v>4</v>
      </c>
      <c r="I236" s="401">
        <v>4.24</v>
      </c>
      <c r="J236" s="32">
        <v>120</v>
      </c>
      <c r="K236" s="32" t="s">
        <v>64</v>
      </c>
      <c r="L236" s="33" t="s">
        <v>110</v>
      </c>
      <c r="M236" s="33"/>
      <c r="N236" s="32">
        <v>55</v>
      </c>
      <c r="O236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409"/>
      <c r="Q236" s="409"/>
      <c r="R236" s="409"/>
      <c r="S236" s="407"/>
      <c r="T236" s="34"/>
      <c r="U236" s="34"/>
      <c r="V236" s="35" t="s">
        <v>66</v>
      </c>
      <c r="W236" s="402">
        <v>0</v>
      </c>
      <c r="X236" s="403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x14ac:dyDescent="0.2">
      <c r="A237" s="414"/>
      <c r="B237" s="412"/>
      <c r="C237" s="412"/>
      <c r="D237" s="412"/>
      <c r="E237" s="412"/>
      <c r="F237" s="412"/>
      <c r="G237" s="412"/>
      <c r="H237" s="412"/>
      <c r="I237" s="412"/>
      <c r="J237" s="412"/>
      <c r="K237" s="412"/>
      <c r="L237" s="412"/>
      <c r="M237" s="412"/>
      <c r="N237" s="415"/>
      <c r="O237" s="432" t="s">
        <v>70</v>
      </c>
      <c r="P237" s="433"/>
      <c r="Q237" s="433"/>
      <c r="R237" s="433"/>
      <c r="S237" s="433"/>
      <c r="T237" s="433"/>
      <c r="U237" s="434"/>
      <c r="V237" s="37" t="s">
        <v>71</v>
      </c>
      <c r="W237" s="404">
        <f>IFERROR(W231/H231,"0")+IFERROR(W232/H232,"0")+IFERROR(W233/H233,"0")+IFERROR(W234/H234,"0")+IFERROR(W235/H235,"0")+IFERROR(W236/H236,"0")</f>
        <v>2.1551724137931036</v>
      </c>
      <c r="X237" s="404">
        <f>IFERROR(X231/H231,"0")+IFERROR(X232/H232,"0")+IFERROR(X233/H233,"0")+IFERROR(X234/H234,"0")+IFERROR(X235/H235,"0")+IFERROR(X236/H236,"0")</f>
        <v>3</v>
      </c>
      <c r="Y237" s="404">
        <f>IFERROR(IF(Y231="",0,Y231),"0")+IFERROR(IF(Y232="",0,Y232),"0")+IFERROR(IF(Y233="",0,Y233),"0")+IFERROR(IF(Y234="",0,Y234),"0")+IFERROR(IF(Y235="",0,Y235),"0")+IFERROR(IF(Y236="",0,Y236),"0")</f>
        <v>6.5250000000000002E-2</v>
      </c>
      <c r="Z237" s="405"/>
      <c r="AA237" s="405"/>
    </row>
    <row r="238" spans="1:67" x14ac:dyDescent="0.2">
      <c r="A238" s="412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15"/>
      <c r="O238" s="432" t="s">
        <v>70</v>
      </c>
      <c r="P238" s="433"/>
      <c r="Q238" s="433"/>
      <c r="R238" s="433"/>
      <c r="S238" s="433"/>
      <c r="T238" s="433"/>
      <c r="U238" s="434"/>
      <c r="V238" s="37" t="s">
        <v>66</v>
      </c>
      <c r="W238" s="404">
        <f>IFERROR(SUM(W231:W236),"0")</f>
        <v>25</v>
      </c>
      <c r="X238" s="404">
        <f>IFERROR(SUM(X231:X236),"0")</f>
        <v>34.799999999999997</v>
      </c>
      <c r="Y238" s="37"/>
      <c r="Z238" s="405"/>
      <c r="AA238" s="405"/>
    </row>
    <row r="239" spans="1:67" ht="16.5" customHeight="1" x14ac:dyDescent="0.25">
      <c r="A239" s="421" t="s">
        <v>380</v>
      </c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2"/>
      <c r="O239" s="412"/>
      <c r="P239" s="412"/>
      <c r="Q239" s="412"/>
      <c r="R239" s="412"/>
      <c r="S239" s="412"/>
      <c r="T239" s="412"/>
      <c r="U239" s="412"/>
      <c r="V239" s="412"/>
      <c r="W239" s="412"/>
      <c r="X239" s="412"/>
      <c r="Y239" s="412"/>
      <c r="Z239" s="396"/>
      <c r="AA239" s="396"/>
    </row>
    <row r="240" spans="1:67" ht="14.25" customHeight="1" x14ac:dyDescent="0.25">
      <c r="A240" s="411" t="s">
        <v>114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395"/>
      <c r="AA240" s="395"/>
    </row>
    <row r="241" spans="1:67" ht="27" customHeight="1" x14ac:dyDescent="0.25">
      <c r="A241" s="54" t="s">
        <v>381</v>
      </c>
      <c r="B241" s="54" t="s">
        <v>382</v>
      </c>
      <c r="C241" s="31">
        <v>4301012016</v>
      </c>
      <c r="D241" s="406">
        <v>4680115885554</v>
      </c>
      <c r="E241" s="407"/>
      <c r="F241" s="401">
        <v>1.35</v>
      </c>
      <c r="G241" s="32">
        <v>8</v>
      </c>
      <c r="H241" s="401">
        <v>10.8</v>
      </c>
      <c r="I241" s="401">
        <v>11.28</v>
      </c>
      <c r="J241" s="32">
        <v>56</v>
      </c>
      <c r="K241" s="32" t="s">
        <v>109</v>
      </c>
      <c r="L241" s="33" t="s">
        <v>129</v>
      </c>
      <c r="M241" s="33"/>
      <c r="N241" s="32">
        <v>55</v>
      </c>
      <c r="O241" s="746" t="s">
        <v>383</v>
      </c>
      <c r="P241" s="409"/>
      <c r="Q241" s="409"/>
      <c r="R241" s="409"/>
      <c r="S241" s="407"/>
      <c r="T241" s="34"/>
      <c r="U241" s="34"/>
      <c r="V241" s="35" t="s">
        <v>66</v>
      </c>
      <c r="W241" s="402">
        <v>0</v>
      </c>
      <c r="X241" s="403">
        <f t="shared" ref="X241:X250" si="54">IFERROR(IF(W241="",0,CEILING((W241/$H241),1)*$H241),"")</f>
        <v>0</v>
      </c>
      <c r="Y241" s="36" t="str">
        <f>IFERROR(IF(X241=0,"",ROUNDUP(X241/H241,0)*0.02175),"")</f>
        <v/>
      </c>
      <c r="Z241" s="56"/>
      <c r="AA241" s="57" t="s">
        <v>187</v>
      </c>
      <c r="AE241" s="64"/>
      <c r="BB241" s="203" t="s">
        <v>1</v>
      </c>
      <c r="BL241" s="64">
        <f t="shared" ref="BL241:BL250" si="55">IFERROR(W241*I241/H241,"0")</f>
        <v>0</v>
      </c>
      <c r="BM241" s="64">
        <f t="shared" ref="BM241:BM250" si="56">IFERROR(X241*I241/H241,"0")</f>
        <v>0</v>
      </c>
      <c r="BN241" s="64">
        <f t="shared" ref="BN241:BN250" si="57">IFERROR(1/J241*(W241/H241),"0")</f>
        <v>0</v>
      </c>
      <c r="BO241" s="64">
        <f t="shared" ref="BO241:BO250" si="58">IFERROR(1/J241*(X241/H241),"0")</f>
        <v>0</v>
      </c>
    </row>
    <row r="242" spans="1:67" ht="27" customHeight="1" x14ac:dyDescent="0.25">
      <c r="A242" s="54" t="s">
        <v>384</v>
      </c>
      <c r="B242" s="54" t="s">
        <v>385</v>
      </c>
      <c r="C242" s="31">
        <v>4301012024</v>
      </c>
      <c r="D242" s="406">
        <v>4680115885615</v>
      </c>
      <c r="E242" s="407"/>
      <c r="F242" s="401">
        <v>1.35</v>
      </c>
      <c r="G242" s="32">
        <v>8</v>
      </c>
      <c r="H242" s="401">
        <v>10.8</v>
      </c>
      <c r="I242" s="401">
        <v>11.28</v>
      </c>
      <c r="J242" s="32">
        <v>56</v>
      </c>
      <c r="K242" s="32" t="s">
        <v>109</v>
      </c>
      <c r="L242" s="33" t="s">
        <v>129</v>
      </c>
      <c r="M242" s="33"/>
      <c r="N242" s="32">
        <v>55</v>
      </c>
      <c r="O242" s="556" t="s">
        <v>386</v>
      </c>
      <c r="P242" s="409"/>
      <c r="Q242" s="409"/>
      <c r="R242" s="409"/>
      <c r="S242" s="407"/>
      <c r="T242" s="34"/>
      <c r="U242" s="34"/>
      <c r="V242" s="35" t="s">
        <v>66</v>
      </c>
      <c r="W242" s="402">
        <v>0</v>
      </c>
      <c r="X242" s="403">
        <f t="shared" si="54"/>
        <v>0</v>
      </c>
      <c r="Y242" s="36" t="str">
        <f>IFERROR(IF(X242=0,"",ROUNDUP(X242/H242,0)*0.02175),"")</f>
        <v/>
      </c>
      <c r="Z242" s="56"/>
      <c r="AA242" s="57" t="s">
        <v>187</v>
      </c>
      <c r="AE242" s="64"/>
      <c r="BB242" s="204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customHeight="1" x14ac:dyDescent="0.25">
      <c r="A243" s="54" t="s">
        <v>387</v>
      </c>
      <c r="B243" s="54" t="s">
        <v>388</v>
      </c>
      <c r="C243" s="31">
        <v>4301011858</v>
      </c>
      <c r="D243" s="406">
        <v>4680115885646</v>
      </c>
      <c r="E243" s="407"/>
      <c r="F243" s="401">
        <v>1.35</v>
      </c>
      <c r="G243" s="32">
        <v>8</v>
      </c>
      <c r="H243" s="401">
        <v>10.8</v>
      </c>
      <c r="I243" s="401">
        <v>11.28</v>
      </c>
      <c r="J243" s="32">
        <v>56</v>
      </c>
      <c r="K243" s="32" t="s">
        <v>109</v>
      </c>
      <c r="L243" s="33" t="s">
        <v>110</v>
      </c>
      <c r="M243" s="33"/>
      <c r="N243" s="32">
        <v>55</v>
      </c>
      <c r="O243" s="748" t="s">
        <v>389</v>
      </c>
      <c r="P243" s="409"/>
      <c r="Q243" s="409"/>
      <c r="R243" s="409"/>
      <c r="S243" s="407"/>
      <c r="T243" s="34"/>
      <c r="U243" s="34"/>
      <c r="V243" s="35" t="s">
        <v>66</v>
      </c>
      <c r="W243" s="402">
        <v>0</v>
      </c>
      <c r="X243" s="403">
        <f t="shared" si="54"/>
        <v>0</v>
      </c>
      <c r="Y243" s="36" t="str">
        <f>IFERROR(IF(X243=0,"",ROUNDUP(X243/H243,0)*0.02175),"")</f>
        <v/>
      </c>
      <c r="Z243" s="56"/>
      <c r="AA243" s="57" t="s">
        <v>187</v>
      </c>
      <c r="AE243" s="64"/>
      <c r="BB243" s="205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390</v>
      </c>
      <c r="B244" s="54" t="s">
        <v>391</v>
      </c>
      <c r="C244" s="31">
        <v>4301011347</v>
      </c>
      <c r="D244" s="406">
        <v>4607091386073</v>
      </c>
      <c r="E244" s="407"/>
      <c r="F244" s="401">
        <v>0.9</v>
      </c>
      <c r="G244" s="32">
        <v>10</v>
      </c>
      <c r="H244" s="401">
        <v>9</v>
      </c>
      <c r="I244" s="401">
        <v>9.6300000000000008</v>
      </c>
      <c r="J244" s="32">
        <v>56</v>
      </c>
      <c r="K244" s="32" t="s">
        <v>109</v>
      </c>
      <c r="L244" s="33" t="s">
        <v>110</v>
      </c>
      <c r="M244" s="33"/>
      <c r="N244" s="32">
        <v>31</v>
      </c>
      <c r="O244" s="53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4" s="409"/>
      <c r="Q244" s="409"/>
      <c r="R244" s="409"/>
      <c r="S244" s="407"/>
      <c r="T244" s="34"/>
      <c r="U244" s="34"/>
      <c r="V244" s="35" t="s">
        <v>66</v>
      </c>
      <c r="W244" s="402">
        <v>0</v>
      </c>
      <c r="X244" s="403">
        <f t="shared" si="54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392</v>
      </c>
      <c r="B245" s="54" t="s">
        <v>393</v>
      </c>
      <c r="C245" s="31">
        <v>4301011328</v>
      </c>
      <c r="D245" s="406">
        <v>4607091386011</v>
      </c>
      <c r="E245" s="407"/>
      <c r="F245" s="401">
        <v>0.5</v>
      </c>
      <c r="G245" s="32">
        <v>10</v>
      </c>
      <c r="H245" s="401">
        <v>5</v>
      </c>
      <c r="I245" s="401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09"/>
      <c r="Q245" s="409"/>
      <c r="R245" s="409"/>
      <c r="S245" s="407"/>
      <c r="T245" s="34"/>
      <c r="U245" s="34"/>
      <c r="V245" s="35" t="s">
        <v>66</v>
      </c>
      <c r="W245" s="402">
        <v>0</v>
      </c>
      <c r="X245" s="403">
        <f t="shared" si="54"/>
        <v>0</v>
      </c>
      <c r="Y245" s="36" t="str">
        <f t="shared" ref="Y245:Y250" si="59"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4301011329</v>
      </c>
      <c r="D246" s="406">
        <v>4607091387308</v>
      </c>
      <c r="E246" s="407"/>
      <c r="F246" s="401">
        <v>0.5</v>
      </c>
      <c r="G246" s="32">
        <v>10</v>
      </c>
      <c r="H246" s="401">
        <v>5</v>
      </c>
      <c r="I246" s="401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09"/>
      <c r="Q246" s="409"/>
      <c r="R246" s="409"/>
      <c r="S246" s="407"/>
      <c r="T246" s="34"/>
      <c r="U246" s="34"/>
      <c r="V246" s="35" t="s">
        <v>66</v>
      </c>
      <c r="W246" s="402">
        <v>0</v>
      </c>
      <c r="X246" s="403">
        <f t="shared" si="54"/>
        <v>0</v>
      </c>
      <c r="Y246" s="36" t="str">
        <f t="shared" si="59"/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396</v>
      </c>
      <c r="B247" s="54" t="s">
        <v>397</v>
      </c>
      <c r="C247" s="31">
        <v>4301011049</v>
      </c>
      <c r="D247" s="406">
        <v>4607091387339</v>
      </c>
      <c r="E247" s="407"/>
      <c r="F247" s="401">
        <v>0.5</v>
      </c>
      <c r="G247" s="32">
        <v>10</v>
      </c>
      <c r="H247" s="401">
        <v>5</v>
      </c>
      <c r="I247" s="401">
        <v>5.24</v>
      </c>
      <c r="J247" s="32">
        <v>120</v>
      </c>
      <c r="K247" s="32" t="s">
        <v>64</v>
      </c>
      <c r="L247" s="33" t="s">
        <v>110</v>
      </c>
      <c r="M247" s="33"/>
      <c r="N247" s="32">
        <v>55</v>
      </c>
      <c r="O247" s="7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09"/>
      <c r="Q247" s="409"/>
      <c r="R247" s="409"/>
      <c r="S247" s="407"/>
      <c r="T247" s="34"/>
      <c r="U247" s="34"/>
      <c r="V247" s="35" t="s">
        <v>66</v>
      </c>
      <c r="W247" s="402">
        <v>0</v>
      </c>
      <c r="X247" s="403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398</v>
      </c>
      <c r="B248" s="54" t="s">
        <v>399</v>
      </c>
      <c r="C248" s="31">
        <v>4301011573</v>
      </c>
      <c r="D248" s="406">
        <v>4680115881938</v>
      </c>
      <c r="E248" s="407"/>
      <c r="F248" s="401">
        <v>0.4</v>
      </c>
      <c r="G248" s="32">
        <v>10</v>
      </c>
      <c r="H248" s="401">
        <v>4</v>
      </c>
      <c r="I248" s="401">
        <v>4.24</v>
      </c>
      <c r="J248" s="32">
        <v>120</v>
      </c>
      <c r="K248" s="32" t="s">
        <v>64</v>
      </c>
      <c r="L248" s="33" t="s">
        <v>110</v>
      </c>
      <c r="M248" s="33"/>
      <c r="N248" s="32">
        <v>90</v>
      </c>
      <c r="O248" s="7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09"/>
      <c r="Q248" s="409"/>
      <c r="R248" s="409"/>
      <c r="S248" s="407"/>
      <c r="T248" s="34"/>
      <c r="U248" s="34"/>
      <c r="V248" s="35" t="s">
        <v>66</v>
      </c>
      <c r="W248" s="402">
        <v>0</v>
      </c>
      <c r="X248" s="403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400</v>
      </c>
      <c r="B249" s="54" t="s">
        <v>401</v>
      </c>
      <c r="C249" s="31">
        <v>4301010944</v>
      </c>
      <c r="D249" s="406">
        <v>4607091387346</v>
      </c>
      <c r="E249" s="407"/>
      <c r="F249" s="401">
        <v>0.4</v>
      </c>
      <c r="G249" s="32">
        <v>10</v>
      </c>
      <c r="H249" s="401">
        <v>4</v>
      </c>
      <c r="I249" s="401">
        <v>4.24</v>
      </c>
      <c r="J249" s="32">
        <v>120</v>
      </c>
      <c r="K249" s="32" t="s">
        <v>64</v>
      </c>
      <c r="L249" s="33" t="s">
        <v>110</v>
      </c>
      <c r="M249" s="33"/>
      <c r="N249" s="32">
        <v>55</v>
      </c>
      <c r="O249" s="7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09"/>
      <c r="Q249" s="409"/>
      <c r="R249" s="409"/>
      <c r="S249" s="407"/>
      <c r="T249" s="34"/>
      <c r="U249" s="34"/>
      <c r="V249" s="35" t="s">
        <v>66</v>
      </c>
      <c r="W249" s="402">
        <v>0</v>
      </c>
      <c r="X249" s="403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402</v>
      </c>
      <c r="B250" s="54" t="s">
        <v>403</v>
      </c>
      <c r="C250" s="31">
        <v>4301011353</v>
      </c>
      <c r="D250" s="406">
        <v>4607091389807</v>
      </c>
      <c r="E250" s="407"/>
      <c r="F250" s="401">
        <v>0.4</v>
      </c>
      <c r="G250" s="32">
        <v>10</v>
      </c>
      <c r="H250" s="401">
        <v>4</v>
      </c>
      <c r="I250" s="401">
        <v>4.24</v>
      </c>
      <c r="J250" s="32">
        <v>120</v>
      </c>
      <c r="K250" s="32" t="s">
        <v>64</v>
      </c>
      <c r="L250" s="33" t="s">
        <v>110</v>
      </c>
      <c r="M250" s="33"/>
      <c r="N250" s="32">
        <v>55</v>
      </c>
      <c r="O250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09"/>
      <c r="Q250" s="409"/>
      <c r="R250" s="409"/>
      <c r="S250" s="407"/>
      <c r="T250" s="34"/>
      <c r="U250" s="34"/>
      <c r="V250" s="35" t="s">
        <v>66</v>
      </c>
      <c r="W250" s="402">
        <v>0</v>
      </c>
      <c r="X250" s="403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x14ac:dyDescent="0.2">
      <c r="A251" s="414"/>
      <c r="B251" s="412"/>
      <c r="C251" s="412"/>
      <c r="D251" s="412"/>
      <c r="E251" s="412"/>
      <c r="F251" s="412"/>
      <c r="G251" s="412"/>
      <c r="H251" s="412"/>
      <c r="I251" s="412"/>
      <c r="J251" s="412"/>
      <c r="K251" s="412"/>
      <c r="L251" s="412"/>
      <c r="M251" s="412"/>
      <c r="N251" s="415"/>
      <c r="O251" s="432" t="s">
        <v>70</v>
      </c>
      <c r="P251" s="433"/>
      <c r="Q251" s="433"/>
      <c r="R251" s="433"/>
      <c r="S251" s="433"/>
      <c r="T251" s="433"/>
      <c r="U251" s="434"/>
      <c r="V251" s="37" t="s">
        <v>71</v>
      </c>
      <c r="W251" s="404">
        <f>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04">
        <f>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04">
        <f>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405"/>
      <c r="AA251" s="405"/>
    </row>
    <row r="252" spans="1:67" x14ac:dyDescent="0.2">
      <c r="A252" s="412"/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5"/>
      <c r="O252" s="432" t="s">
        <v>70</v>
      </c>
      <c r="P252" s="433"/>
      <c r="Q252" s="433"/>
      <c r="R252" s="433"/>
      <c r="S252" s="433"/>
      <c r="T252" s="433"/>
      <c r="U252" s="434"/>
      <c r="V252" s="37" t="s">
        <v>66</v>
      </c>
      <c r="W252" s="404">
        <f>IFERROR(SUM(W241:W250),"0")</f>
        <v>0</v>
      </c>
      <c r="X252" s="404">
        <f>IFERROR(SUM(X241:X250),"0")</f>
        <v>0</v>
      </c>
      <c r="Y252" s="37"/>
      <c r="Z252" s="405"/>
      <c r="AA252" s="405"/>
    </row>
    <row r="253" spans="1:67" ht="14.25" customHeight="1" x14ac:dyDescent="0.25">
      <c r="A253" s="411" t="s">
        <v>61</v>
      </c>
      <c r="B253" s="412"/>
      <c r="C253" s="412"/>
      <c r="D253" s="412"/>
      <c r="E253" s="412"/>
      <c r="F253" s="412"/>
      <c r="G253" s="412"/>
      <c r="H253" s="412"/>
      <c r="I253" s="412"/>
      <c r="J253" s="412"/>
      <c r="K253" s="412"/>
      <c r="L253" s="412"/>
      <c r="M253" s="412"/>
      <c r="N253" s="412"/>
      <c r="O253" s="412"/>
      <c r="P253" s="412"/>
      <c r="Q253" s="412"/>
      <c r="R253" s="412"/>
      <c r="S253" s="412"/>
      <c r="T253" s="412"/>
      <c r="U253" s="412"/>
      <c r="V253" s="412"/>
      <c r="W253" s="412"/>
      <c r="X253" s="412"/>
      <c r="Y253" s="412"/>
      <c r="Z253" s="395"/>
      <c r="AA253" s="395"/>
    </row>
    <row r="254" spans="1:67" ht="27" customHeight="1" x14ac:dyDescent="0.25">
      <c r="A254" s="54" t="s">
        <v>404</v>
      </c>
      <c r="B254" s="54" t="s">
        <v>405</v>
      </c>
      <c r="C254" s="31">
        <v>4301030878</v>
      </c>
      <c r="D254" s="406">
        <v>4607091387193</v>
      </c>
      <c r="E254" s="407"/>
      <c r="F254" s="401">
        <v>0.7</v>
      </c>
      <c r="G254" s="32">
        <v>6</v>
      </c>
      <c r="H254" s="401">
        <v>4.2</v>
      </c>
      <c r="I254" s="401">
        <v>4.46</v>
      </c>
      <c r="J254" s="32">
        <v>156</v>
      </c>
      <c r="K254" s="32" t="s">
        <v>64</v>
      </c>
      <c r="L254" s="33" t="s">
        <v>65</v>
      </c>
      <c r="M254" s="33"/>
      <c r="N254" s="32">
        <v>35</v>
      </c>
      <c r="O254" s="6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409"/>
      <c r="Q254" s="409"/>
      <c r="R254" s="409"/>
      <c r="S254" s="407"/>
      <c r="T254" s="34"/>
      <c r="U254" s="34"/>
      <c r="V254" s="35" t="s">
        <v>66</v>
      </c>
      <c r="W254" s="402">
        <v>0</v>
      </c>
      <c r="X254" s="403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406</v>
      </c>
      <c r="B255" s="54" t="s">
        <v>407</v>
      </c>
      <c r="C255" s="31">
        <v>4301031153</v>
      </c>
      <c r="D255" s="406">
        <v>4607091387230</v>
      </c>
      <c r="E255" s="407"/>
      <c r="F255" s="401">
        <v>0.7</v>
      </c>
      <c r="G255" s="32">
        <v>6</v>
      </c>
      <c r="H255" s="401">
        <v>4.2</v>
      </c>
      <c r="I255" s="401">
        <v>4.46</v>
      </c>
      <c r="J255" s="32">
        <v>156</v>
      </c>
      <c r="K255" s="32" t="s">
        <v>64</v>
      </c>
      <c r="L255" s="33" t="s">
        <v>65</v>
      </c>
      <c r="M255" s="33"/>
      <c r="N255" s="32">
        <v>40</v>
      </c>
      <c r="O255" s="5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409"/>
      <c r="Q255" s="409"/>
      <c r="R255" s="409"/>
      <c r="S255" s="407"/>
      <c r="T255" s="34"/>
      <c r="U255" s="34"/>
      <c r="V255" s="35" t="s">
        <v>66</v>
      </c>
      <c r="W255" s="402">
        <v>0</v>
      </c>
      <c r="X255" s="40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408</v>
      </c>
      <c r="B256" s="54" t="s">
        <v>409</v>
      </c>
      <c r="C256" s="31">
        <v>4301031152</v>
      </c>
      <c r="D256" s="406">
        <v>4607091387285</v>
      </c>
      <c r="E256" s="407"/>
      <c r="F256" s="401">
        <v>0.35</v>
      </c>
      <c r="G256" s="32">
        <v>6</v>
      </c>
      <c r="H256" s="401">
        <v>2.1</v>
      </c>
      <c r="I256" s="401">
        <v>2.23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409"/>
      <c r="Q256" s="409"/>
      <c r="R256" s="409"/>
      <c r="S256" s="407"/>
      <c r="T256" s="34"/>
      <c r="U256" s="34"/>
      <c r="V256" s="35" t="s">
        <v>66</v>
      </c>
      <c r="W256" s="402">
        <v>0</v>
      </c>
      <c r="X256" s="403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410</v>
      </c>
      <c r="B257" s="54" t="s">
        <v>411</v>
      </c>
      <c r="C257" s="31">
        <v>4301031164</v>
      </c>
      <c r="D257" s="406">
        <v>4680115880481</v>
      </c>
      <c r="E257" s="407"/>
      <c r="F257" s="401">
        <v>0.28000000000000003</v>
      </c>
      <c r="G257" s="32">
        <v>6</v>
      </c>
      <c r="H257" s="401">
        <v>1.68</v>
      </c>
      <c r="I257" s="401">
        <v>1.78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409"/>
      <c r="Q257" s="409"/>
      <c r="R257" s="409"/>
      <c r="S257" s="407"/>
      <c r="T257" s="34"/>
      <c r="U257" s="34"/>
      <c r="V257" s="35" t="s">
        <v>66</v>
      </c>
      <c r="W257" s="402">
        <v>0</v>
      </c>
      <c r="X257" s="40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x14ac:dyDescent="0.2">
      <c r="A258" s="414"/>
      <c r="B258" s="412"/>
      <c r="C258" s="412"/>
      <c r="D258" s="412"/>
      <c r="E258" s="412"/>
      <c r="F258" s="412"/>
      <c r="G258" s="412"/>
      <c r="H258" s="412"/>
      <c r="I258" s="412"/>
      <c r="J258" s="412"/>
      <c r="K258" s="412"/>
      <c r="L258" s="412"/>
      <c r="M258" s="412"/>
      <c r="N258" s="415"/>
      <c r="O258" s="432" t="s">
        <v>70</v>
      </c>
      <c r="P258" s="433"/>
      <c r="Q258" s="433"/>
      <c r="R258" s="433"/>
      <c r="S258" s="433"/>
      <c r="T258" s="433"/>
      <c r="U258" s="434"/>
      <c r="V258" s="37" t="s">
        <v>71</v>
      </c>
      <c r="W258" s="404">
        <f>IFERROR(W254/H254,"0")+IFERROR(W255/H255,"0")+IFERROR(W256/H256,"0")+IFERROR(W257/H257,"0")</f>
        <v>0</v>
      </c>
      <c r="X258" s="404">
        <f>IFERROR(X254/H254,"0")+IFERROR(X255/H255,"0")+IFERROR(X256/H256,"0")+IFERROR(X257/H257,"0")</f>
        <v>0</v>
      </c>
      <c r="Y258" s="404">
        <f>IFERROR(IF(Y254="",0,Y254),"0")+IFERROR(IF(Y255="",0,Y255),"0")+IFERROR(IF(Y256="",0,Y256),"0")+IFERROR(IF(Y257="",0,Y257),"0")</f>
        <v>0</v>
      </c>
      <c r="Z258" s="405"/>
      <c r="AA258" s="405"/>
    </row>
    <row r="259" spans="1:67" x14ac:dyDescent="0.2">
      <c r="A259" s="412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5"/>
      <c r="O259" s="432" t="s">
        <v>70</v>
      </c>
      <c r="P259" s="433"/>
      <c r="Q259" s="433"/>
      <c r="R259" s="433"/>
      <c r="S259" s="433"/>
      <c r="T259" s="433"/>
      <c r="U259" s="434"/>
      <c r="V259" s="37" t="s">
        <v>66</v>
      </c>
      <c r="W259" s="404">
        <f>IFERROR(SUM(W254:W257),"0")</f>
        <v>0</v>
      </c>
      <c r="X259" s="404">
        <f>IFERROR(SUM(X254:X257),"0")</f>
        <v>0</v>
      </c>
      <c r="Y259" s="37"/>
      <c r="Z259" s="405"/>
      <c r="AA259" s="405"/>
    </row>
    <row r="260" spans="1:67" ht="14.25" customHeight="1" x14ac:dyDescent="0.25">
      <c r="A260" s="411" t="s">
        <v>72</v>
      </c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12"/>
      <c r="O260" s="412"/>
      <c r="P260" s="412"/>
      <c r="Q260" s="412"/>
      <c r="R260" s="412"/>
      <c r="S260" s="412"/>
      <c r="T260" s="412"/>
      <c r="U260" s="412"/>
      <c r="V260" s="412"/>
      <c r="W260" s="412"/>
      <c r="X260" s="412"/>
      <c r="Y260" s="412"/>
      <c r="Z260" s="395"/>
      <c r="AA260" s="395"/>
    </row>
    <row r="261" spans="1:67" ht="16.5" customHeight="1" x14ac:dyDescent="0.25">
      <c r="A261" s="54" t="s">
        <v>412</v>
      </c>
      <c r="B261" s="54" t="s">
        <v>413</v>
      </c>
      <c r="C261" s="31">
        <v>4301051100</v>
      </c>
      <c r="D261" s="406">
        <v>4607091387766</v>
      </c>
      <c r="E261" s="407"/>
      <c r="F261" s="401">
        <v>1.3</v>
      </c>
      <c r="G261" s="32">
        <v>6</v>
      </c>
      <c r="H261" s="401">
        <v>7.8</v>
      </c>
      <c r="I261" s="401">
        <v>8.3580000000000005</v>
      </c>
      <c r="J261" s="32">
        <v>56</v>
      </c>
      <c r="K261" s="32" t="s">
        <v>109</v>
      </c>
      <c r="L261" s="33" t="s">
        <v>129</v>
      </c>
      <c r="M261" s="33"/>
      <c r="N261" s="32">
        <v>40</v>
      </c>
      <c r="O261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409"/>
      <c r="Q261" s="409"/>
      <c r="R261" s="409"/>
      <c r="S261" s="407"/>
      <c r="T261" s="34"/>
      <c r="U261" s="34"/>
      <c r="V261" s="35" t="s">
        <v>66</v>
      </c>
      <c r="W261" s="402">
        <v>0</v>
      </c>
      <c r="X261" s="403">
        <f t="shared" ref="X261:X270" si="60">IFERROR(IF(W261="",0,CEILING((W261/$H261),1)*$H261),"")</f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ref="BL261:BL270" si="61">IFERROR(W261*I261/H261,"0")</f>
        <v>0</v>
      </c>
      <c r="BM261" s="64">
        <f t="shared" ref="BM261:BM270" si="62">IFERROR(X261*I261/H261,"0")</f>
        <v>0</v>
      </c>
      <c r="BN261" s="64">
        <f t="shared" ref="BN261:BN270" si="63">IFERROR(1/J261*(W261/H261),"0")</f>
        <v>0</v>
      </c>
      <c r="BO261" s="64">
        <f t="shared" ref="BO261:BO270" si="64">IFERROR(1/J261*(X261/H261),"0")</f>
        <v>0</v>
      </c>
    </row>
    <row r="262" spans="1:67" ht="27" customHeight="1" x14ac:dyDescent="0.25">
      <c r="A262" s="54" t="s">
        <v>414</v>
      </c>
      <c r="B262" s="54" t="s">
        <v>415</v>
      </c>
      <c r="C262" s="31">
        <v>4301051116</v>
      </c>
      <c r="D262" s="406">
        <v>4607091387957</v>
      </c>
      <c r="E262" s="407"/>
      <c r="F262" s="401">
        <v>1.3</v>
      </c>
      <c r="G262" s="32">
        <v>6</v>
      </c>
      <c r="H262" s="401">
        <v>7.8</v>
      </c>
      <c r="I262" s="401">
        <v>8.3640000000000008</v>
      </c>
      <c r="J262" s="32">
        <v>56</v>
      </c>
      <c r="K262" s="32" t="s">
        <v>109</v>
      </c>
      <c r="L262" s="33" t="s">
        <v>65</v>
      </c>
      <c r="M262" s="33"/>
      <c r="N262" s="32">
        <v>40</v>
      </c>
      <c r="O262" s="8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409"/>
      <c r="Q262" s="409"/>
      <c r="R262" s="409"/>
      <c r="S262" s="407"/>
      <c r="T262" s="34"/>
      <c r="U262" s="34"/>
      <c r="V262" s="35" t="s">
        <v>66</v>
      </c>
      <c r="W262" s="402">
        <v>0</v>
      </c>
      <c r="X262" s="403">
        <f t="shared" si="60"/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customHeight="1" x14ac:dyDescent="0.25">
      <c r="A263" s="54" t="s">
        <v>416</v>
      </c>
      <c r="B263" s="54" t="s">
        <v>417</v>
      </c>
      <c r="C263" s="31">
        <v>4301051115</v>
      </c>
      <c r="D263" s="406">
        <v>4607091387964</v>
      </c>
      <c r="E263" s="407"/>
      <c r="F263" s="401">
        <v>1.35</v>
      </c>
      <c r="G263" s="32">
        <v>6</v>
      </c>
      <c r="H263" s="401">
        <v>8.1</v>
      </c>
      <c r="I263" s="401">
        <v>8.6460000000000008</v>
      </c>
      <c r="J263" s="32">
        <v>56</v>
      </c>
      <c r="K263" s="32" t="s">
        <v>109</v>
      </c>
      <c r="L263" s="33" t="s">
        <v>65</v>
      </c>
      <c r="M263" s="33"/>
      <c r="N263" s="32">
        <v>40</v>
      </c>
      <c r="O263" s="4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409"/>
      <c r="Q263" s="409"/>
      <c r="R263" s="409"/>
      <c r="S263" s="407"/>
      <c r="T263" s="34"/>
      <c r="U263" s="34"/>
      <c r="V263" s="35" t="s">
        <v>66</v>
      </c>
      <c r="W263" s="402">
        <v>0</v>
      </c>
      <c r="X263" s="403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16.5" customHeight="1" x14ac:dyDescent="0.25">
      <c r="A264" s="54" t="s">
        <v>418</v>
      </c>
      <c r="B264" s="54" t="s">
        <v>419</v>
      </c>
      <c r="C264" s="31">
        <v>4301051731</v>
      </c>
      <c r="D264" s="406">
        <v>4680115884618</v>
      </c>
      <c r="E264" s="407"/>
      <c r="F264" s="401">
        <v>0.6</v>
      </c>
      <c r="G264" s="32">
        <v>6</v>
      </c>
      <c r="H264" s="401">
        <v>3.6</v>
      </c>
      <c r="I264" s="401">
        <v>3.81</v>
      </c>
      <c r="J264" s="32">
        <v>120</v>
      </c>
      <c r="K264" s="32" t="s">
        <v>64</v>
      </c>
      <c r="L264" s="33" t="s">
        <v>65</v>
      </c>
      <c r="M264" s="33"/>
      <c r="N264" s="32">
        <v>45</v>
      </c>
      <c r="O264" s="79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409"/>
      <c r="Q264" s="409"/>
      <c r="R264" s="409"/>
      <c r="S264" s="407"/>
      <c r="T264" s="34"/>
      <c r="U264" s="34"/>
      <c r="V264" s="35" t="s">
        <v>66</v>
      </c>
      <c r="W264" s="402">
        <v>0</v>
      </c>
      <c r="X264" s="403">
        <f t="shared" si="60"/>
        <v>0</v>
      </c>
      <c r="Y264" s="36" t="str">
        <f>IFERROR(IF(X264=0,"",ROUNDUP(X264/H264,0)*0.00937),"")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420</v>
      </c>
      <c r="B265" s="54" t="s">
        <v>421</v>
      </c>
      <c r="C265" s="31">
        <v>4301051134</v>
      </c>
      <c r="D265" s="406">
        <v>4607091381672</v>
      </c>
      <c r="E265" s="407"/>
      <c r="F265" s="401">
        <v>0.6</v>
      </c>
      <c r="G265" s="32">
        <v>6</v>
      </c>
      <c r="H265" s="401">
        <v>3.6</v>
      </c>
      <c r="I265" s="401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4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09"/>
      <c r="Q265" s="409"/>
      <c r="R265" s="409"/>
      <c r="S265" s="407"/>
      <c r="T265" s="34"/>
      <c r="U265" s="34"/>
      <c r="V265" s="35" t="s">
        <v>66</v>
      </c>
      <c r="W265" s="402">
        <v>0</v>
      </c>
      <c r="X265" s="403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422</v>
      </c>
      <c r="B266" s="54" t="s">
        <v>423</v>
      </c>
      <c r="C266" s="31">
        <v>4301051705</v>
      </c>
      <c r="D266" s="406">
        <v>4680115884588</v>
      </c>
      <c r="E266" s="407"/>
      <c r="F266" s="401">
        <v>0.5</v>
      </c>
      <c r="G266" s="32">
        <v>6</v>
      </c>
      <c r="H266" s="401">
        <v>3</v>
      </c>
      <c r="I266" s="401">
        <v>3.266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21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6" s="409"/>
      <c r="Q266" s="409"/>
      <c r="R266" s="409"/>
      <c r="S266" s="407"/>
      <c r="T266" s="34"/>
      <c r="U266" s="34"/>
      <c r="V266" s="35" t="s">
        <v>66</v>
      </c>
      <c r="W266" s="402">
        <v>0</v>
      </c>
      <c r="X266" s="403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customHeight="1" x14ac:dyDescent="0.25">
      <c r="A267" s="54" t="s">
        <v>424</v>
      </c>
      <c r="B267" s="54" t="s">
        <v>425</v>
      </c>
      <c r="C267" s="31">
        <v>4301051130</v>
      </c>
      <c r="D267" s="406">
        <v>4607091387537</v>
      </c>
      <c r="E267" s="407"/>
      <c r="F267" s="401">
        <v>0.45</v>
      </c>
      <c r="G267" s="32">
        <v>6</v>
      </c>
      <c r="H267" s="401">
        <v>2.7</v>
      </c>
      <c r="I267" s="401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09"/>
      <c r="Q267" s="409"/>
      <c r="R267" s="409"/>
      <c r="S267" s="407"/>
      <c r="T267" s="34"/>
      <c r="U267" s="34"/>
      <c r="V267" s="35" t="s">
        <v>66</v>
      </c>
      <c r="W267" s="402">
        <v>0</v>
      </c>
      <c r="X267" s="403">
        <f t="shared" si="60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426</v>
      </c>
      <c r="B268" s="54" t="s">
        <v>427</v>
      </c>
      <c r="C268" s="31">
        <v>4301051132</v>
      </c>
      <c r="D268" s="406">
        <v>4607091387513</v>
      </c>
      <c r="E268" s="407"/>
      <c r="F268" s="401">
        <v>0.45</v>
      </c>
      <c r="G268" s="32">
        <v>6</v>
      </c>
      <c r="H268" s="401">
        <v>2.7</v>
      </c>
      <c r="I268" s="401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09"/>
      <c r="Q268" s="409"/>
      <c r="R268" s="409"/>
      <c r="S268" s="407"/>
      <c r="T268" s="34"/>
      <c r="U268" s="34"/>
      <c r="V268" s="35" t="s">
        <v>66</v>
      </c>
      <c r="W268" s="402">
        <v>0</v>
      </c>
      <c r="X268" s="403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428</v>
      </c>
      <c r="B269" s="54" t="s">
        <v>429</v>
      </c>
      <c r="C269" s="31">
        <v>4301051277</v>
      </c>
      <c r="D269" s="406">
        <v>4680115880511</v>
      </c>
      <c r="E269" s="407"/>
      <c r="F269" s="401">
        <v>0.33</v>
      </c>
      <c r="G269" s="32">
        <v>6</v>
      </c>
      <c r="H269" s="401">
        <v>1.98</v>
      </c>
      <c r="I269" s="401">
        <v>2.1800000000000002</v>
      </c>
      <c r="J269" s="32">
        <v>156</v>
      </c>
      <c r="K269" s="32" t="s">
        <v>64</v>
      </c>
      <c r="L269" s="33" t="s">
        <v>129</v>
      </c>
      <c r="M269" s="33"/>
      <c r="N269" s="32">
        <v>40</v>
      </c>
      <c r="O269" s="6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09"/>
      <c r="Q269" s="409"/>
      <c r="R269" s="409"/>
      <c r="S269" s="407"/>
      <c r="T269" s="34"/>
      <c r="U269" s="34"/>
      <c r="V269" s="35" t="s">
        <v>66</v>
      </c>
      <c r="W269" s="402">
        <v>0</v>
      </c>
      <c r="X269" s="403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430</v>
      </c>
      <c r="B270" s="54" t="s">
        <v>431</v>
      </c>
      <c r="C270" s="31">
        <v>4301051344</v>
      </c>
      <c r="D270" s="406">
        <v>4680115880412</v>
      </c>
      <c r="E270" s="407"/>
      <c r="F270" s="401">
        <v>0.33</v>
      </c>
      <c r="G270" s="32">
        <v>6</v>
      </c>
      <c r="H270" s="401">
        <v>1.98</v>
      </c>
      <c r="I270" s="401">
        <v>2.246</v>
      </c>
      <c r="J270" s="32">
        <v>156</v>
      </c>
      <c r="K270" s="32" t="s">
        <v>64</v>
      </c>
      <c r="L270" s="33" t="s">
        <v>129</v>
      </c>
      <c r="M270" s="33"/>
      <c r="N270" s="32">
        <v>45</v>
      </c>
      <c r="O270" s="4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09"/>
      <c r="Q270" s="409"/>
      <c r="R270" s="409"/>
      <c r="S270" s="407"/>
      <c r="T270" s="34"/>
      <c r="U270" s="34"/>
      <c r="V270" s="35" t="s">
        <v>66</v>
      </c>
      <c r="W270" s="402">
        <v>0</v>
      </c>
      <c r="X270" s="403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x14ac:dyDescent="0.2">
      <c r="A271" s="414"/>
      <c r="B271" s="412"/>
      <c r="C271" s="412"/>
      <c r="D271" s="412"/>
      <c r="E271" s="412"/>
      <c r="F271" s="412"/>
      <c r="G271" s="412"/>
      <c r="H271" s="412"/>
      <c r="I271" s="412"/>
      <c r="J271" s="412"/>
      <c r="K271" s="412"/>
      <c r="L271" s="412"/>
      <c r="M271" s="412"/>
      <c r="N271" s="415"/>
      <c r="O271" s="432" t="s">
        <v>70</v>
      </c>
      <c r="P271" s="433"/>
      <c r="Q271" s="433"/>
      <c r="R271" s="433"/>
      <c r="S271" s="433"/>
      <c r="T271" s="433"/>
      <c r="U271" s="434"/>
      <c r="V271" s="37" t="s">
        <v>71</v>
      </c>
      <c r="W271" s="404">
        <f>IFERROR(W261/H261,"0")+IFERROR(W262/H262,"0")+IFERROR(W263/H263,"0")+IFERROR(W264/H264,"0")+IFERROR(W265/H265,"0")+IFERROR(W266/H266,"0")+IFERROR(W267/H267,"0")+IFERROR(W268/H268,"0")+IFERROR(W269/H269,"0")+IFERROR(W270/H270,"0")</f>
        <v>0</v>
      </c>
      <c r="X271" s="404">
        <f>IFERROR(X261/H261,"0")+IFERROR(X262/H262,"0")+IFERROR(X263/H263,"0")+IFERROR(X264/H264,"0")+IFERROR(X265/H265,"0")+IFERROR(X266/H266,"0")+IFERROR(X267/H267,"0")+IFERROR(X268/H268,"0")+IFERROR(X269/H269,"0")+IFERROR(X270/H270,"0")</f>
        <v>0</v>
      </c>
      <c r="Y271" s="404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405"/>
      <c r="AA271" s="405"/>
    </row>
    <row r="272" spans="1:67" x14ac:dyDescent="0.2">
      <c r="A272" s="412"/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15"/>
      <c r="O272" s="432" t="s">
        <v>70</v>
      </c>
      <c r="P272" s="433"/>
      <c r="Q272" s="433"/>
      <c r="R272" s="433"/>
      <c r="S272" s="433"/>
      <c r="T272" s="433"/>
      <c r="U272" s="434"/>
      <c r="V272" s="37" t="s">
        <v>66</v>
      </c>
      <c r="W272" s="404">
        <f>IFERROR(SUM(W261:W270),"0")</f>
        <v>0</v>
      </c>
      <c r="X272" s="404">
        <f>IFERROR(SUM(X261:X270),"0")</f>
        <v>0</v>
      </c>
      <c r="Y272" s="37"/>
      <c r="Z272" s="405"/>
      <c r="AA272" s="405"/>
    </row>
    <row r="273" spans="1:67" ht="14.25" customHeight="1" x14ac:dyDescent="0.25">
      <c r="A273" s="411" t="s">
        <v>217</v>
      </c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2"/>
      <c r="O273" s="412"/>
      <c r="P273" s="412"/>
      <c r="Q273" s="412"/>
      <c r="R273" s="412"/>
      <c r="S273" s="412"/>
      <c r="T273" s="412"/>
      <c r="U273" s="412"/>
      <c r="V273" s="412"/>
      <c r="W273" s="412"/>
      <c r="X273" s="412"/>
      <c r="Y273" s="412"/>
      <c r="Z273" s="395"/>
      <c r="AA273" s="395"/>
    </row>
    <row r="274" spans="1:67" ht="16.5" customHeight="1" x14ac:dyDescent="0.25">
      <c r="A274" s="54" t="s">
        <v>432</v>
      </c>
      <c r="B274" s="54" t="s">
        <v>433</v>
      </c>
      <c r="C274" s="31">
        <v>4301060379</v>
      </c>
      <c r="D274" s="406">
        <v>4607091380880</v>
      </c>
      <c r="E274" s="407"/>
      <c r="F274" s="401">
        <v>1.4</v>
      </c>
      <c r="G274" s="32">
        <v>6</v>
      </c>
      <c r="H274" s="401">
        <v>8.4</v>
      </c>
      <c r="I274" s="401">
        <v>8.9640000000000004</v>
      </c>
      <c r="J274" s="32">
        <v>56</v>
      </c>
      <c r="K274" s="32" t="s">
        <v>109</v>
      </c>
      <c r="L274" s="33" t="s">
        <v>65</v>
      </c>
      <c r="M274" s="33"/>
      <c r="N274" s="32">
        <v>30</v>
      </c>
      <c r="O274" s="776" t="s">
        <v>434</v>
      </c>
      <c r="P274" s="409"/>
      <c r="Q274" s="409"/>
      <c r="R274" s="409"/>
      <c r="S274" s="407"/>
      <c r="T274" s="34"/>
      <c r="U274" s="34"/>
      <c r="V274" s="35" t="s">
        <v>66</v>
      </c>
      <c r="W274" s="402">
        <v>10</v>
      </c>
      <c r="X274" s="403">
        <f>IFERROR(IF(W274="",0,CEILING((W274/$H274),1)*$H274),"")</f>
        <v>16.8</v>
      </c>
      <c r="Y274" s="36">
        <f>IFERROR(IF(X274=0,"",ROUNDUP(X274/H274,0)*0.02175),"")</f>
        <v>4.3499999999999997E-2</v>
      </c>
      <c r="Z274" s="56"/>
      <c r="AA274" s="57"/>
      <c r="AE274" s="64"/>
      <c r="BB274" s="227" t="s">
        <v>1</v>
      </c>
      <c r="BL274" s="64">
        <f>IFERROR(W274*I274/H274,"0")</f>
        <v>10.671428571428571</v>
      </c>
      <c r="BM274" s="64">
        <f>IFERROR(X274*I274/H274,"0")</f>
        <v>17.928000000000001</v>
      </c>
      <c r="BN274" s="64">
        <f>IFERROR(1/J274*(W274/H274),"0")</f>
        <v>2.1258503401360544E-2</v>
      </c>
      <c r="BO274" s="64">
        <f>IFERROR(1/J274*(X274/H274),"0")</f>
        <v>3.5714285714285712E-2</v>
      </c>
    </row>
    <row r="275" spans="1:67" ht="27" customHeight="1" x14ac:dyDescent="0.25">
      <c r="A275" s="54" t="s">
        <v>435</v>
      </c>
      <c r="B275" s="54" t="s">
        <v>436</v>
      </c>
      <c r="C275" s="31">
        <v>4301060308</v>
      </c>
      <c r="D275" s="406">
        <v>4607091384482</v>
      </c>
      <c r="E275" s="407"/>
      <c r="F275" s="401">
        <v>1.3</v>
      </c>
      <c r="G275" s="32">
        <v>6</v>
      </c>
      <c r="H275" s="401">
        <v>7.8</v>
      </c>
      <c r="I275" s="401">
        <v>8.3640000000000008</v>
      </c>
      <c r="J275" s="32">
        <v>56</v>
      </c>
      <c r="K275" s="32" t="s">
        <v>109</v>
      </c>
      <c r="L275" s="33" t="s">
        <v>65</v>
      </c>
      <c r="M275" s="33"/>
      <c r="N275" s="32">
        <v>30</v>
      </c>
      <c r="O275" s="8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9"/>
      <c r="Q275" s="409"/>
      <c r="R275" s="409"/>
      <c r="S275" s="407"/>
      <c r="T275" s="34"/>
      <c r="U275" s="34"/>
      <c r="V275" s="35" t="s">
        <v>66</v>
      </c>
      <c r="W275" s="402">
        <v>26</v>
      </c>
      <c r="X275" s="403">
        <f>IFERROR(IF(W275="",0,CEILING((W275/$H275),1)*$H275),"")</f>
        <v>31.2</v>
      </c>
      <c r="Y275" s="36">
        <f>IFERROR(IF(X275=0,"",ROUNDUP(X275/H275,0)*0.02175),"")</f>
        <v>8.6999999999999994E-2</v>
      </c>
      <c r="Z275" s="56"/>
      <c r="AA275" s="57"/>
      <c r="AE275" s="64"/>
      <c r="BB275" s="228" t="s">
        <v>1</v>
      </c>
      <c r="BL275" s="64">
        <f>IFERROR(W275*I275/H275,"0")</f>
        <v>27.880000000000003</v>
      </c>
      <c r="BM275" s="64">
        <f>IFERROR(X275*I275/H275,"0")</f>
        <v>33.456000000000003</v>
      </c>
      <c r="BN275" s="64">
        <f>IFERROR(1/J275*(W275/H275),"0")</f>
        <v>5.9523809523809521E-2</v>
      </c>
      <c r="BO275" s="64">
        <f>IFERROR(1/J275*(X275/H275),"0")</f>
        <v>7.1428571428571425E-2</v>
      </c>
    </row>
    <row r="276" spans="1:67" ht="16.5" customHeight="1" x14ac:dyDescent="0.25">
      <c r="A276" s="54" t="s">
        <v>437</v>
      </c>
      <c r="B276" s="54" t="s">
        <v>438</v>
      </c>
      <c r="C276" s="31">
        <v>4301060325</v>
      </c>
      <c r="D276" s="406">
        <v>4607091380897</v>
      </c>
      <c r="E276" s="407"/>
      <c r="F276" s="401">
        <v>1.4</v>
      </c>
      <c r="G276" s="32">
        <v>6</v>
      </c>
      <c r="H276" s="401">
        <v>8.4</v>
      </c>
      <c r="I276" s="401">
        <v>8.9640000000000004</v>
      </c>
      <c r="J276" s="32">
        <v>56</v>
      </c>
      <c r="K276" s="32" t="s">
        <v>109</v>
      </c>
      <c r="L276" s="33" t="s">
        <v>65</v>
      </c>
      <c r="M276" s="33"/>
      <c r="N276" s="32">
        <v>30</v>
      </c>
      <c r="O276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9"/>
      <c r="Q276" s="409"/>
      <c r="R276" s="409"/>
      <c r="S276" s="407"/>
      <c r="T276" s="34"/>
      <c r="U276" s="34"/>
      <c r="V276" s="35" t="s">
        <v>66</v>
      </c>
      <c r="W276" s="402">
        <v>66</v>
      </c>
      <c r="X276" s="403">
        <f>IFERROR(IF(W276="",0,CEILING((W276/$H276),1)*$H276),"")</f>
        <v>67.2</v>
      </c>
      <c r="Y276" s="36">
        <f>IFERROR(IF(X276=0,"",ROUNDUP(X276/H276,0)*0.02175),"")</f>
        <v>0.17399999999999999</v>
      </c>
      <c r="Z276" s="56"/>
      <c r="AA276" s="57"/>
      <c r="AE276" s="64"/>
      <c r="BB276" s="229" t="s">
        <v>1</v>
      </c>
      <c r="BL276" s="64">
        <f>IFERROR(W276*I276/H276,"0")</f>
        <v>70.431428571428569</v>
      </c>
      <c r="BM276" s="64">
        <f>IFERROR(X276*I276/H276,"0")</f>
        <v>71.712000000000003</v>
      </c>
      <c r="BN276" s="64">
        <f>IFERROR(1/J276*(W276/H276),"0")</f>
        <v>0.14030612244897958</v>
      </c>
      <c r="BO276" s="64">
        <f>IFERROR(1/J276*(X276/H276),"0")</f>
        <v>0.14285714285714285</v>
      </c>
    </row>
    <row r="277" spans="1:67" x14ac:dyDescent="0.2">
      <c r="A277" s="414"/>
      <c r="B277" s="412"/>
      <c r="C277" s="412"/>
      <c r="D277" s="412"/>
      <c r="E277" s="412"/>
      <c r="F277" s="412"/>
      <c r="G277" s="412"/>
      <c r="H277" s="412"/>
      <c r="I277" s="412"/>
      <c r="J277" s="412"/>
      <c r="K277" s="412"/>
      <c r="L277" s="412"/>
      <c r="M277" s="412"/>
      <c r="N277" s="415"/>
      <c r="O277" s="432" t="s">
        <v>70</v>
      </c>
      <c r="P277" s="433"/>
      <c r="Q277" s="433"/>
      <c r="R277" s="433"/>
      <c r="S277" s="433"/>
      <c r="T277" s="433"/>
      <c r="U277" s="434"/>
      <c r="V277" s="37" t="s">
        <v>71</v>
      </c>
      <c r="W277" s="404">
        <f>IFERROR(W274/H274,"0")+IFERROR(W275/H275,"0")+IFERROR(W276/H276,"0")</f>
        <v>12.38095238095238</v>
      </c>
      <c r="X277" s="404">
        <f>IFERROR(X274/H274,"0")+IFERROR(X275/H275,"0")+IFERROR(X276/H276,"0")</f>
        <v>14</v>
      </c>
      <c r="Y277" s="404">
        <f>IFERROR(IF(Y274="",0,Y274),"0")+IFERROR(IF(Y275="",0,Y275),"0")+IFERROR(IF(Y276="",0,Y276),"0")</f>
        <v>0.30449999999999999</v>
      </c>
      <c r="Z277" s="405"/>
      <c r="AA277" s="405"/>
    </row>
    <row r="278" spans="1:67" x14ac:dyDescent="0.2">
      <c r="A278" s="412"/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5"/>
      <c r="O278" s="432" t="s">
        <v>70</v>
      </c>
      <c r="P278" s="433"/>
      <c r="Q278" s="433"/>
      <c r="R278" s="433"/>
      <c r="S278" s="433"/>
      <c r="T278" s="433"/>
      <c r="U278" s="434"/>
      <c r="V278" s="37" t="s">
        <v>66</v>
      </c>
      <c r="W278" s="404">
        <f>IFERROR(SUM(W274:W276),"0")</f>
        <v>102</v>
      </c>
      <c r="X278" s="404">
        <f>IFERROR(SUM(X274:X276),"0")</f>
        <v>115.2</v>
      </c>
      <c r="Y278" s="37"/>
      <c r="Z278" s="405"/>
      <c r="AA278" s="405"/>
    </row>
    <row r="279" spans="1:67" ht="14.25" customHeight="1" x14ac:dyDescent="0.25">
      <c r="A279" s="411" t="s">
        <v>92</v>
      </c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12"/>
      <c r="O279" s="412"/>
      <c r="P279" s="412"/>
      <c r="Q279" s="412"/>
      <c r="R279" s="412"/>
      <c r="S279" s="412"/>
      <c r="T279" s="412"/>
      <c r="U279" s="412"/>
      <c r="V279" s="412"/>
      <c r="W279" s="412"/>
      <c r="X279" s="412"/>
      <c r="Y279" s="412"/>
      <c r="Z279" s="395"/>
      <c r="AA279" s="395"/>
    </row>
    <row r="280" spans="1:67" ht="16.5" customHeight="1" x14ac:dyDescent="0.25">
      <c r="A280" s="54" t="s">
        <v>439</v>
      </c>
      <c r="B280" s="54" t="s">
        <v>440</v>
      </c>
      <c r="C280" s="31">
        <v>4301030232</v>
      </c>
      <c r="D280" s="406">
        <v>4607091388374</v>
      </c>
      <c r="E280" s="407"/>
      <c r="F280" s="401">
        <v>0.38</v>
      </c>
      <c r="G280" s="32">
        <v>8</v>
      </c>
      <c r="H280" s="401">
        <v>3.04</v>
      </c>
      <c r="I280" s="401">
        <v>3.28</v>
      </c>
      <c r="J280" s="32">
        <v>156</v>
      </c>
      <c r="K280" s="32" t="s">
        <v>64</v>
      </c>
      <c r="L280" s="33" t="s">
        <v>95</v>
      </c>
      <c r="M280" s="33"/>
      <c r="N280" s="32">
        <v>180</v>
      </c>
      <c r="O280" s="673" t="s">
        <v>441</v>
      </c>
      <c r="P280" s="409"/>
      <c r="Q280" s="409"/>
      <c r="R280" s="409"/>
      <c r="S280" s="407"/>
      <c r="T280" s="34"/>
      <c r="U280" s="34"/>
      <c r="V280" s="35" t="s">
        <v>66</v>
      </c>
      <c r="W280" s="402">
        <v>0</v>
      </c>
      <c r="X280" s="40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442</v>
      </c>
      <c r="B281" s="54" t="s">
        <v>443</v>
      </c>
      <c r="C281" s="31">
        <v>4301030235</v>
      </c>
      <c r="D281" s="406">
        <v>4607091388381</v>
      </c>
      <c r="E281" s="407"/>
      <c r="F281" s="401">
        <v>0.38</v>
      </c>
      <c r="G281" s="32">
        <v>8</v>
      </c>
      <c r="H281" s="401">
        <v>3.04</v>
      </c>
      <c r="I281" s="401">
        <v>3.32</v>
      </c>
      <c r="J281" s="32">
        <v>156</v>
      </c>
      <c r="K281" s="32" t="s">
        <v>64</v>
      </c>
      <c r="L281" s="33" t="s">
        <v>95</v>
      </c>
      <c r="M281" s="33"/>
      <c r="N281" s="32">
        <v>180</v>
      </c>
      <c r="O281" s="645" t="s">
        <v>444</v>
      </c>
      <c r="P281" s="409"/>
      <c r="Q281" s="409"/>
      <c r="R281" s="409"/>
      <c r="S281" s="407"/>
      <c r="T281" s="34"/>
      <c r="U281" s="34"/>
      <c r="V281" s="35" t="s">
        <v>66</v>
      </c>
      <c r="W281" s="402">
        <v>0</v>
      </c>
      <c r="X281" s="40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445</v>
      </c>
      <c r="B282" s="54" t="s">
        <v>446</v>
      </c>
      <c r="C282" s="31">
        <v>4301030233</v>
      </c>
      <c r="D282" s="406">
        <v>4607091388404</v>
      </c>
      <c r="E282" s="407"/>
      <c r="F282" s="401">
        <v>0.17</v>
      </c>
      <c r="G282" s="32">
        <v>15</v>
      </c>
      <c r="H282" s="401">
        <v>2.5499999999999998</v>
      </c>
      <c r="I282" s="401">
        <v>2.9</v>
      </c>
      <c r="J282" s="32">
        <v>156</v>
      </c>
      <c r="K282" s="32" t="s">
        <v>64</v>
      </c>
      <c r="L282" s="33" t="s">
        <v>95</v>
      </c>
      <c r="M282" s="33"/>
      <c r="N282" s="32">
        <v>180</v>
      </c>
      <c r="O282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9"/>
      <c r="Q282" s="409"/>
      <c r="R282" s="409"/>
      <c r="S282" s="407"/>
      <c r="T282" s="34"/>
      <c r="U282" s="34"/>
      <c r="V282" s="35" t="s">
        <v>66</v>
      </c>
      <c r="W282" s="402">
        <v>0</v>
      </c>
      <c r="X282" s="40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14"/>
      <c r="B283" s="412"/>
      <c r="C283" s="412"/>
      <c r="D283" s="412"/>
      <c r="E283" s="412"/>
      <c r="F283" s="412"/>
      <c r="G283" s="412"/>
      <c r="H283" s="412"/>
      <c r="I283" s="412"/>
      <c r="J283" s="412"/>
      <c r="K283" s="412"/>
      <c r="L283" s="412"/>
      <c r="M283" s="412"/>
      <c r="N283" s="415"/>
      <c r="O283" s="432" t="s">
        <v>70</v>
      </c>
      <c r="P283" s="433"/>
      <c r="Q283" s="433"/>
      <c r="R283" s="433"/>
      <c r="S283" s="433"/>
      <c r="T283" s="433"/>
      <c r="U283" s="434"/>
      <c r="V283" s="37" t="s">
        <v>71</v>
      </c>
      <c r="W283" s="404">
        <f>IFERROR(W280/H280,"0")+IFERROR(W281/H281,"0")+IFERROR(W282/H282,"0")</f>
        <v>0</v>
      </c>
      <c r="X283" s="404">
        <f>IFERROR(X280/H280,"0")+IFERROR(X281/H281,"0")+IFERROR(X282/H282,"0")</f>
        <v>0</v>
      </c>
      <c r="Y283" s="404">
        <f>IFERROR(IF(Y280="",0,Y280),"0")+IFERROR(IF(Y281="",0,Y281),"0")+IFERROR(IF(Y282="",0,Y282),"0")</f>
        <v>0</v>
      </c>
      <c r="Z283" s="405"/>
      <c r="AA283" s="405"/>
    </row>
    <row r="284" spans="1:67" x14ac:dyDescent="0.2">
      <c r="A284" s="412"/>
      <c r="B284" s="412"/>
      <c r="C284" s="412"/>
      <c r="D284" s="412"/>
      <c r="E284" s="412"/>
      <c r="F284" s="412"/>
      <c r="G284" s="412"/>
      <c r="H284" s="412"/>
      <c r="I284" s="412"/>
      <c r="J284" s="412"/>
      <c r="K284" s="412"/>
      <c r="L284" s="412"/>
      <c r="M284" s="412"/>
      <c r="N284" s="415"/>
      <c r="O284" s="432" t="s">
        <v>70</v>
      </c>
      <c r="P284" s="433"/>
      <c r="Q284" s="433"/>
      <c r="R284" s="433"/>
      <c r="S284" s="433"/>
      <c r="T284" s="433"/>
      <c r="U284" s="434"/>
      <c r="V284" s="37" t="s">
        <v>66</v>
      </c>
      <c r="W284" s="404">
        <f>IFERROR(SUM(W280:W282),"0")</f>
        <v>0</v>
      </c>
      <c r="X284" s="404">
        <f>IFERROR(SUM(X280:X282),"0")</f>
        <v>0</v>
      </c>
      <c r="Y284" s="37"/>
      <c r="Z284" s="405"/>
      <c r="AA284" s="405"/>
    </row>
    <row r="285" spans="1:67" ht="14.25" customHeight="1" x14ac:dyDescent="0.25">
      <c r="A285" s="411" t="s">
        <v>447</v>
      </c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2"/>
      <c r="O285" s="412"/>
      <c r="P285" s="412"/>
      <c r="Q285" s="412"/>
      <c r="R285" s="412"/>
      <c r="S285" s="412"/>
      <c r="T285" s="412"/>
      <c r="U285" s="412"/>
      <c r="V285" s="412"/>
      <c r="W285" s="412"/>
      <c r="X285" s="412"/>
      <c r="Y285" s="412"/>
      <c r="Z285" s="395"/>
      <c r="AA285" s="395"/>
    </row>
    <row r="286" spans="1:67" ht="16.5" customHeight="1" x14ac:dyDescent="0.25">
      <c r="A286" s="54" t="s">
        <v>448</v>
      </c>
      <c r="B286" s="54" t="s">
        <v>449</v>
      </c>
      <c r="C286" s="31">
        <v>4301180007</v>
      </c>
      <c r="D286" s="406">
        <v>4680115881808</v>
      </c>
      <c r="E286" s="407"/>
      <c r="F286" s="401">
        <v>0.1</v>
      </c>
      <c r="G286" s="32">
        <v>20</v>
      </c>
      <c r="H286" s="401">
        <v>2</v>
      </c>
      <c r="I286" s="401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5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9"/>
      <c r="Q286" s="409"/>
      <c r="R286" s="409"/>
      <c r="S286" s="407"/>
      <c r="T286" s="34"/>
      <c r="U286" s="34"/>
      <c r="V286" s="35" t="s">
        <v>66</v>
      </c>
      <c r="W286" s="402">
        <v>0</v>
      </c>
      <c r="X286" s="40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452</v>
      </c>
      <c r="B287" s="54" t="s">
        <v>453</v>
      </c>
      <c r="C287" s="31">
        <v>4301180006</v>
      </c>
      <c r="D287" s="406">
        <v>4680115881822</v>
      </c>
      <c r="E287" s="407"/>
      <c r="F287" s="401">
        <v>0.1</v>
      </c>
      <c r="G287" s="32">
        <v>20</v>
      </c>
      <c r="H287" s="401">
        <v>2</v>
      </c>
      <c r="I287" s="401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9"/>
      <c r="Q287" s="409"/>
      <c r="R287" s="409"/>
      <c r="S287" s="407"/>
      <c r="T287" s="34"/>
      <c r="U287" s="34"/>
      <c r="V287" s="35" t="s">
        <v>66</v>
      </c>
      <c r="W287" s="402">
        <v>0</v>
      </c>
      <c r="X287" s="40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454</v>
      </c>
      <c r="B288" s="54" t="s">
        <v>455</v>
      </c>
      <c r="C288" s="31">
        <v>4301180001</v>
      </c>
      <c r="D288" s="406">
        <v>4680115880016</v>
      </c>
      <c r="E288" s="407"/>
      <c r="F288" s="401">
        <v>0.1</v>
      </c>
      <c r="G288" s="32">
        <v>20</v>
      </c>
      <c r="H288" s="401">
        <v>2</v>
      </c>
      <c r="I288" s="401">
        <v>2.2400000000000002</v>
      </c>
      <c r="J288" s="32">
        <v>238</v>
      </c>
      <c r="K288" s="32" t="s">
        <v>450</v>
      </c>
      <c r="L288" s="33" t="s">
        <v>451</v>
      </c>
      <c r="M288" s="33"/>
      <c r="N288" s="32">
        <v>730</v>
      </c>
      <c r="O288" s="7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9"/>
      <c r="Q288" s="409"/>
      <c r="R288" s="409"/>
      <c r="S288" s="407"/>
      <c r="T288" s="34"/>
      <c r="U288" s="34"/>
      <c r="V288" s="35" t="s">
        <v>66</v>
      </c>
      <c r="W288" s="402">
        <v>0</v>
      </c>
      <c r="X288" s="40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14"/>
      <c r="B289" s="412"/>
      <c r="C289" s="412"/>
      <c r="D289" s="412"/>
      <c r="E289" s="412"/>
      <c r="F289" s="412"/>
      <c r="G289" s="412"/>
      <c r="H289" s="412"/>
      <c r="I289" s="412"/>
      <c r="J289" s="412"/>
      <c r="K289" s="412"/>
      <c r="L289" s="412"/>
      <c r="M289" s="412"/>
      <c r="N289" s="415"/>
      <c r="O289" s="432" t="s">
        <v>70</v>
      </c>
      <c r="P289" s="433"/>
      <c r="Q289" s="433"/>
      <c r="R289" s="433"/>
      <c r="S289" s="433"/>
      <c r="T289" s="433"/>
      <c r="U289" s="434"/>
      <c r="V289" s="37" t="s">
        <v>71</v>
      </c>
      <c r="W289" s="404">
        <f>IFERROR(W286/H286,"0")+IFERROR(W287/H287,"0")+IFERROR(W288/H288,"0")</f>
        <v>0</v>
      </c>
      <c r="X289" s="404">
        <f>IFERROR(X286/H286,"0")+IFERROR(X287/H287,"0")+IFERROR(X288/H288,"0")</f>
        <v>0</v>
      </c>
      <c r="Y289" s="404">
        <f>IFERROR(IF(Y286="",0,Y286),"0")+IFERROR(IF(Y287="",0,Y287),"0")+IFERROR(IF(Y288="",0,Y288),"0")</f>
        <v>0</v>
      </c>
      <c r="Z289" s="405"/>
      <c r="AA289" s="405"/>
    </row>
    <row r="290" spans="1:67" x14ac:dyDescent="0.2">
      <c r="A290" s="412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15"/>
      <c r="O290" s="432" t="s">
        <v>70</v>
      </c>
      <c r="P290" s="433"/>
      <c r="Q290" s="433"/>
      <c r="R290" s="433"/>
      <c r="S290" s="433"/>
      <c r="T290" s="433"/>
      <c r="U290" s="434"/>
      <c r="V290" s="37" t="s">
        <v>66</v>
      </c>
      <c r="W290" s="404">
        <f>IFERROR(SUM(W286:W288),"0")</f>
        <v>0</v>
      </c>
      <c r="X290" s="404">
        <f>IFERROR(SUM(X286:X288),"0")</f>
        <v>0</v>
      </c>
      <c r="Y290" s="37"/>
      <c r="Z290" s="405"/>
      <c r="AA290" s="405"/>
    </row>
    <row r="291" spans="1:67" ht="16.5" customHeight="1" x14ac:dyDescent="0.25">
      <c r="A291" s="421" t="s">
        <v>456</v>
      </c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2"/>
      <c r="O291" s="412"/>
      <c r="P291" s="412"/>
      <c r="Q291" s="412"/>
      <c r="R291" s="412"/>
      <c r="S291" s="412"/>
      <c r="T291" s="412"/>
      <c r="U291" s="412"/>
      <c r="V291" s="412"/>
      <c r="W291" s="412"/>
      <c r="X291" s="412"/>
      <c r="Y291" s="412"/>
      <c r="Z291" s="396"/>
      <c r="AA291" s="396"/>
    </row>
    <row r="292" spans="1:67" ht="14.25" customHeight="1" x14ac:dyDescent="0.25">
      <c r="A292" s="411" t="s">
        <v>114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395"/>
      <c r="AA292" s="395"/>
    </row>
    <row r="293" spans="1:67" ht="27" customHeight="1" x14ac:dyDescent="0.25">
      <c r="A293" s="54" t="s">
        <v>457</v>
      </c>
      <c r="B293" s="54" t="s">
        <v>458</v>
      </c>
      <c r="C293" s="31">
        <v>4301011315</v>
      </c>
      <c r="D293" s="406">
        <v>4607091387421</v>
      </c>
      <c r="E293" s="407"/>
      <c r="F293" s="401">
        <v>1.35</v>
      </c>
      <c r="G293" s="32">
        <v>8</v>
      </c>
      <c r="H293" s="401">
        <v>10.8</v>
      </c>
      <c r="I293" s="401">
        <v>11.28</v>
      </c>
      <c r="J293" s="32">
        <v>56</v>
      </c>
      <c r="K293" s="32" t="s">
        <v>109</v>
      </c>
      <c r="L293" s="33" t="s">
        <v>110</v>
      </c>
      <c r="M293" s="33"/>
      <c r="N293" s="32">
        <v>55</v>
      </c>
      <c r="O293" s="46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9"/>
      <c r="Q293" s="409"/>
      <c r="R293" s="409"/>
      <c r="S293" s="407"/>
      <c r="T293" s="34"/>
      <c r="U293" s="34"/>
      <c r="V293" s="35" t="s">
        <v>66</v>
      </c>
      <c r="W293" s="402">
        <v>0</v>
      </c>
      <c r="X293" s="403">
        <f t="shared" ref="X293:X299" si="65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6">IFERROR(W293*I293/H293,"0")</f>
        <v>0</v>
      </c>
      <c r="BM293" s="64">
        <f t="shared" ref="BM293:BM299" si="67">IFERROR(X293*I293/H293,"0")</f>
        <v>0</v>
      </c>
      <c r="BN293" s="64">
        <f t="shared" ref="BN293:BN299" si="68">IFERROR(1/J293*(W293/H293),"0")</f>
        <v>0</v>
      </c>
      <c r="BO293" s="64">
        <f t="shared" ref="BO293:BO299" si="69">IFERROR(1/J293*(X293/H293),"0")</f>
        <v>0</v>
      </c>
    </row>
    <row r="294" spans="1:67" ht="27" customHeight="1" x14ac:dyDescent="0.25">
      <c r="A294" s="54" t="s">
        <v>457</v>
      </c>
      <c r="B294" s="54" t="s">
        <v>459</v>
      </c>
      <c r="C294" s="31">
        <v>4301011121</v>
      </c>
      <c r="D294" s="406">
        <v>4607091387421</v>
      </c>
      <c r="E294" s="407"/>
      <c r="F294" s="401">
        <v>1.35</v>
      </c>
      <c r="G294" s="32">
        <v>8</v>
      </c>
      <c r="H294" s="401">
        <v>10.8</v>
      </c>
      <c r="I294" s="401">
        <v>11.28</v>
      </c>
      <c r="J294" s="32">
        <v>48</v>
      </c>
      <c r="K294" s="32" t="s">
        <v>109</v>
      </c>
      <c r="L294" s="33" t="s">
        <v>118</v>
      </c>
      <c r="M294" s="33"/>
      <c r="N294" s="32">
        <v>55</v>
      </c>
      <c r="O294" s="76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9"/>
      <c r="Q294" s="409"/>
      <c r="R294" s="409"/>
      <c r="S294" s="407"/>
      <c r="T294" s="34"/>
      <c r="U294" s="34"/>
      <c r="V294" s="35" t="s">
        <v>66</v>
      </c>
      <c r="W294" s="402">
        <v>0</v>
      </c>
      <c r="X294" s="403">
        <f t="shared" si="65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customHeight="1" x14ac:dyDescent="0.25">
      <c r="A295" s="54" t="s">
        <v>460</v>
      </c>
      <c r="B295" s="54" t="s">
        <v>461</v>
      </c>
      <c r="C295" s="31">
        <v>4301011322</v>
      </c>
      <c r="D295" s="406">
        <v>4607091387452</v>
      </c>
      <c r="E295" s="407"/>
      <c r="F295" s="401">
        <v>1.35</v>
      </c>
      <c r="G295" s="32">
        <v>8</v>
      </c>
      <c r="H295" s="401">
        <v>10.8</v>
      </c>
      <c r="I295" s="401">
        <v>11.28</v>
      </c>
      <c r="J295" s="32">
        <v>56</v>
      </c>
      <c r="K295" s="32" t="s">
        <v>109</v>
      </c>
      <c r="L295" s="33" t="s">
        <v>129</v>
      </c>
      <c r="M295" s="33"/>
      <c r="N295" s="32">
        <v>55</v>
      </c>
      <c r="O295" s="67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9"/>
      <c r="Q295" s="409"/>
      <c r="R295" s="409"/>
      <c r="S295" s="407"/>
      <c r="T295" s="34"/>
      <c r="U295" s="34"/>
      <c r="V295" s="35" t="s">
        <v>66</v>
      </c>
      <c r="W295" s="402">
        <v>0</v>
      </c>
      <c r="X295" s="403">
        <f t="shared" si="65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customHeight="1" x14ac:dyDescent="0.25">
      <c r="A296" s="54" t="s">
        <v>460</v>
      </c>
      <c r="B296" s="54" t="s">
        <v>462</v>
      </c>
      <c r="C296" s="31">
        <v>4301011619</v>
      </c>
      <c r="D296" s="406">
        <v>4607091387452</v>
      </c>
      <c r="E296" s="407"/>
      <c r="F296" s="401">
        <v>1.45</v>
      </c>
      <c r="G296" s="32">
        <v>8</v>
      </c>
      <c r="H296" s="401">
        <v>11.6</v>
      </c>
      <c r="I296" s="401">
        <v>12.08</v>
      </c>
      <c r="J296" s="32">
        <v>56</v>
      </c>
      <c r="K296" s="32" t="s">
        <v>109</v>
      </c>
      <c r="L296" s="33" t="s">
        <v>110</v>
      </c>
      <c r="M296" s="33"/>
      <c r="N296" s="32">
        <v>55</v>
      </c>
      <c r="O296" s="47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9"/>
      <c r="Q296" s="409"/>
      <c r="R296" s="409"/>
      <c r="S296" s="407"/>
      <c r="T296" s="34"/>
      <c r="U296" s="34"/>
      <c r="V296" s="35" t="s">
        <v>66</v>
      </c>
      <c r="W296" s="402">
        <v>0</v>
      </c>
      <c r="X296" s="403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customHeight="1" x14ac:dyDescent="0.25">
      <c r="A297" s="54" t="s">
        <v>463</v>
      </c>
      <c r="B297" s="54" t="s">
        <v>464</v>
      </c>
      <c r="C297" s="31">
        <v>4301011313</v>
      </c>
      <c r="D297" s="406">
        <v>4607091385984</v>
      </c>
      <c r="E297" s="407"/>
      <c r="F297" s="401">
        <v>1.35</v>
      </c>
      <c r="G297" s="32">
        <v>8</v>
      </c>
      <c r="H297" s="401">
        <v>10.8</v>
      </c>
      <c r="I297" s="401">
        <v>11.28</v>
      </c>
      <c r="J297" s="32">
        <v>56</v>
      </c>
      <c r="K297" s="32" t="s">
        <v>109</v>
      </c>
      <c r="L297" s="33" t="s">
        <v>110</v>
      </c>
      <c r="M297" s="33"/>
      <c r="N297" s="32">
        <v>55</v>
      </c>
      <c r="O297" s="74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9"/>
      <c r="Q297" s="409"/>
      <c r="R297" s="409"/>
      <c r="S297" s="407"/>
      <c r="T297" s="34"/>
      <c r="U297" s="34"/>
      <c r="V297" s="35" t="s">
        <v>66</v>
      </c>
      <c r="W297" s="402">
        <v>0</v>
      </c>
      <c r="X297" s="403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465</v>
      </c>
      <c r="B298" s="54" t="s">
        <v>466</v>
      </c>
      <c r="C298" s="31">
        <v>4301011316</v>
      </c>
      <c r="D298" s="406">
        <v>4607091387438</v>
      </c>
      <c r="E298" s="407"/>
      <c r="F298" s="401">
        <v>0.5</v>
      </c>
      <c r="G298" s="32">
        <v>10</v>
      </c>
      <c r="H298" s="401">
        <v>5</v>
      </c>
      <c r="I298" s="401">
        <v>5.24</v>
      </c>
      <c r="J298" s="32">
        <v>120</v>
      </c>
      <c r="K298" s="32" t="s">
        <v>64</v>
      </c>
      <c r="L298" s="33" t="s">
        <v>110</v>
      </c>
      <c r="M298" s="33"/>
      <c r="N298" s="32">
        <v>55</v>
      </c>
      <c r="O298" s="7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9"/>
      <c r="Q298" s="409"/>
      <c r="R298" s="409"/>
      <c r="S298" s="407"/>
      <c r="T298" s="34"/>
      <c r="U298" s="34"/>
      <c r="V298" s="35" t="s">
        <v>66</v>
      </c>
      <c r="W298" s="402">
        <v>0</v>
      </c>
      <c r="X298" s="403">
        <f t="shared" si="65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467</v>
      </c>
      <c r="B299" s="54" t="s">
        <v>468</v>
      </c>
      <c r="C299" s="31">
        <v>4301011319</v>
      </c>
      <c r="D299" s="406">
        <v>4607091387469</v>
      </c>
      <c r="E299" s="407"/>
      <c r="F299" s="401">
        <v>0.5</v>
      </c>
      <c r="G299" s="32">
        <v>10</v>
      </c>
      <c r="H299" s="401">
        <v>5</v>
      </c>
      <c r="I299" s="401">
        <v>5.24</v>
      </c>
      <c r="J299" s="32">
        <v>120</v>
      </c>
      <c r="K299" s="32" t="s">
        <v>64</v>
      </c>
      <c r="L299" s="33" t="s">
        <v>110</v>
      </c>
      <c r="M299" s="33"/>
      <c r="N299" s="32">
        <v>55</v>
      </c>
      <c r="O299" s="77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9"/>
      <c r="Q299" s="409"/>
      <c r="R299" s="409"/>
      <c r="S299" s="407"/>
      <c r="T299" s="34"/>
      <c r="U299" s="34"/>
      <c r="V299" s="35" t="s">
        <v>66</v>
      </c>
      <c r="W299" s="402">
        <v>0</v>
      </c>
      <c r="X299" s="403">
        <f t="shared" si="65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x14ac:dyDescent="0.2">
      <c r="A300" s="414"/>
      <c r="B300" s="412"/>
      <c r="C300" s="412"/>
      <c r="D300" s="412"/>
      <c r="E300" s="412"/>
      <c r="F300" s="412"/>
      <c r="G300" s="412"/>
      <c r="H300" s="412"/>
      <c r="I300" s="412"/>
      <c r="J300" s="412"/>
      <c r="K300" s="412"/>
      <c r="L300" s="412"/>
      <c r="M300" s="412"/>
      <c r="N300" s="415"/>
      <c r="O300" s="432" t="s">
        <v>70</v>
      </c>
      <c r="P300" s="433"/>
      <c r="Q300" s="433"/>
      <c r="R300" s="433"/>
      <c r="S300" s="433"/>
      <c r="T300" s="433"/>
      <c r="U300" s="434"/>
      <c r="V300" s="37" t="s">
        <v>71</v>
      </c>
      <c r="W300" s="404">
        <f>IFERROR(W293/H293,"0")+IFERROR(W294/H294,"0")+IFERROR(W295/H295,"0")+IFERROR(W296/H296,"0")+IFERROR(W297/H297,"0")+IFERROR(W298/H298,"0")+IFERROR(W299/H299,"0")</f>
        <v>0</v>
      </c>
      <c r="X300" s="404">
        <f>IFERROR(X293/H293,"0")+IFERROR(X294/H294,"0")+IFERROR(X295/H295,"0")+IFERROR(X296/H296,"0")+IFERROR(X297/H297,"0")+IFERROR(X298/H298,"0")+IFERROR(X299/H299,"0")</f>
        <v>0</v>
      </c>
      <c r="Y300" s="40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405"/>
      <c r="AA300" s="405"/>
    </row>
    <row r="301" spans="1:67" x14ac:dyDescent="0.2">
      <c r="A301" s="412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15"/>
      <c r="O301" s="432" t="s">
        <v>70</v>
      </c>
      <c r="P301" s="433"/>
      <c r="Q301" s="433"/>
      <c r="R301" s="433"/>
      <c r="S301" s="433"/>
      <c r="T301" s="433"/>
      <c r="U301" s="434"/>
      <c r="V301" s="37" t="s">
        <v>66</v>
      </c>
      <c r="W301" s="404">
        <f>IFERROR(SUM(W293:W299),"0")</f>
        <v>0</v>
      </c>
      <c r="X301" s="404">
        <f>IFERROR(SUM(X293:X299),"0")</f>
        <v>0</v>
      </c>
      <c r="Y301" s="37"/>
      <c r="Z301" s="405"/>
      <c r="AA301" s="405"/>
    </row>
    <row r="302" spans="1:67" ht="14.25" customHeight="1" x14ac:dyDescent="0.25">
      <c r="A302" s="411" t="s">
        <v>61</v>
      </c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2"/>
      <c r="O302" s="412"/>
      <c r="P302" s="412"/>
      <c r="Q302" s="412"/>
      <c r="R302" s="412"/>
      <c r="S302" s="412"/>
      <c r="T302" s="412"/>
      <c r="U302" s="412"/>
      <c r="V302" s="412"/>
      <c r="W302" s="412"/>
      <c r="X302" s="412"/>
      <c r="Y302" s="412"/>
      <c r="Z302" s="395"/>
      <c r="AA302" s="395"/>
    </row>
    <row r="303" spans="1:67" ht="27" customHeight="1" x14ac:dyDescent="0.25">
      <c r="A303" s="54" t="s">
        <v>469</v>
      </c>
      <c r="B303" s="54" t="s">
        <v>470</v>
      </c>
      <c r="C303" s="31">
        <v>4301031154</v>
      </c>
      <c r="D303" s="406">
        <v>4607091387292</v>
      </c>
      <c r="E303" s="407"/>
      <c r="F303" s="401">
        <v>0.73</v>
      </c>
      <c r="G303" s="32">
        <v>6</v>
      </c>
      <c r="H303" s="401">
        <v>4.38</v>
      </c>
      <c r="I303" s="401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70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9"/>
      <c r="Q303" s="409"/>
      <c r="R303" s="409"/>
      <c r="S303" s="407"/>
      <c r="T303" s="34"/>
      <c r="U303" s="34"/>
      <c r="V303" s="35" t="s">
        <v>66</v>
      </c>
      <c r="W303" s="402">
        <v>0</v>
      </c>
      <c r="X303" s="403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471</v>
      </c>
      <c r="B304" s="54" t="s">
        <v>472</v>
      </c>
      <c r="C304" s="31">
        <v>4301031155</v>
      </c>
      <c r="D304" s="406">
        <v>4607091387315</v>
      </c>
      <c r="E304" s="407"/>
      <c r="F304" s="401">
        <v>0.7</v>
      </c>
      <c r="G304" s="32">
        <v>4</v>
      </c>
      <c r="H304" s="401">
        <v>2.8</v>
      </c>
      <c r="I304" s="401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7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9"/>
      <c r="Q304" s="409"/>
      <c r="R304" s="409"/>
      <c r="S304" s="407"/>
      <c r="T304" s="34"/>
      <c r="U304" s="34"/>
      <c r="V304" s="35" t="s">
        <v>66</v>
      </c>
      <c r="W304" s="402">
        <v>0</v>
      </c>
      <c r="X304" s="40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14"/>
      <c r="B305" s="412"/>
      <c r="C305" s="412"/>
      <c r="D305" s="412"/>
      <c r="E305" s="412"/>
      <c r="F305" s="412"/>
      <c r="G305" s="412"/>
      <c r="H305" s="412"/>
      <c r="I305" s="412"/>
      <c r="J305" s="412"/>
      <c r="K305" s="412"/>
      <c r="L305" s="412"/>
      <c r="M305" s="412"/>
      <c r="N305" s="415"/>
      <c r="O305" s="432" t="s">
        <v>70</v>
      </c>
      <c r="P305" s="433"/>
      <c r="Q305" s="433"/>
      <c r="R305" s="433"/>
      <c r="S305" s="433"/>
      <c r="T305" s="433"/>
      <c r="U305" s="434"/>
      <c r="V305" s="37" t="s">
        <v>71</v>
      </c>
      <c r="W305" s="404">
        <f>IFERROR(W303/H303,"0")+IFERROR(W304/H304,"0")</f>
        <v>0</v>
      </c>
      <c r="X305" s="404">
        <f>IFERROR(X303/H303,"0")+IFERROR(X304/H304,"0")</f>
        <v>0</v>
      </c>
      <c r="Y305" s="404">
        <f>IFERROR(IF(Y303="",0,Y303),"0")+IFERROR(IF(Y304="",0,Y304),"0")</f>
        <v>0</v>
      </c>
      <c r="Z305" s="405"/>
      <c r="AA305" s="405"/>
    </row>
    <row r="306" spans="1:67" x14ac:dyDescent="0.2">
      <c r="A306" s="412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5"/>
      <c r="O306" s="432" t="s">
        <v>70</v>
      </c>
      <c r="P306" s="433"/>
      <c r="Q306" s="433"/>
      <c r="R306" s="433"/>
      <c r="S306" s="433"/>
      <c r="T306" s="433"/>
      <c r="U306" s="434"/>
      <c r="V306" s="37" t="s">
        <v>66</v>
      </c>
      <c r="W306" s="404">
        <f>IFERROR(SUM(W303:W304),"0")</f>
        <v>0</v>
      </c>
      <c r="X306" s="404">
        <f>IFERROR(SUM(X303:X304),"0")</f>
        <v>0</v>
      </c>
      <c r="Y306" s="37"/>
      <c r="Z306" s="405"/>
      <c r="AA306" s="405"/>
    </row>
    <row r="307" spans="1:67" ht="16.5" customHeight="1" x14ac:dyDescent="0.25">
      <c r="A307" s="421" t="s">
        <v>473</v>
      </c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12"/>
      <c r="O307" s="412"/>
      <c r="P307" s="412"/>
      <c r="Q307" s="412"/>
      <c r="R307" s="412"/>
      <c r="S307" s="412"/>
      <c r="T307" s="412"/>
      <c r="U307" s="412"/>
      <c r="V307" s="412"/>
      <c r="W307" s="412"/>
      <c r="X307" s="412"/>
      <c r="Y307" s="412"/>
      <c r="Z307" s="396"/>
      <c r="AA307" s="396"/>
    </row>
    <row r="308" spans="1:67" ht="14.25" customHeight="1" x14ac:dyDescent="0.25">
      <c r="A308" s="411" t="s">
        <v>61</v>
      </c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  <c r="U308" s="412"/>
      <c r="V308" s="412"/>
      <c r="W308" s="412"/>
      <c r="X308" s="412"/>
      <c r="Y308" s="412"/>
      <c r="Z308" s="395"/>
      <c r="AA308" s="395"/>
    </row>
    <row r="309" spans="1:67" ht="27" customHeight="1" x14ac:dyDescent="0.25">
      <c r="A309" s="54" t="s">
        <v>474</v>
      </c>
      <c r="B309" s="54" t="s">
        <v>475</v>
      </c>
      <c r="C309" s="31">
        <v>4301031066</v>
      </c>
      <c r="D309" s="406">
        <v>4607091383836</v>
      </c>
      <c r="E309" s="407"/>
      <c r="F309" s="401">
        <v>0.3</v>
      </c>
      <c r="G309" s="32">
        <v>6</v>
      </c>
      <c r="H309" s="401">
        <v>1.8</v>
      </c>
      <c r="I309" s="401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9"/>
      <c r="Q309" s="409"/>
      <c r="R309" s="409"/>
      <c r="S309" s="407"/>
      <c r="T309" s="34"/>
      <c r="U309" s="34"/>
      <c r="V309" s="35" t="s">
        <v>66</v>
      </c>
      <c r="W309" s="402">
        <v>0</v>
      </c>
      <c r="X309" s="403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14"/>
      <c r="B310" s="412"/>
      <c r="C310" s="412"/>
      <c r="D310" s="412"/>
      <c r="E310" s="412"/>
      <c r="F310" s="412"/>
      <c r="G310" s="412"/>
      <c r="H310" s="412"/>
      <c r="I310" s="412"/>
      <c r="J310" s="412"/>
      <c r="K310" s="412"/>
      <c r="L310" s="412"/>
      <c r="M310" s="412"/>
      <c r="N310" s="415"/>
      <c r="O310" s="432" t="s">
        <v>70</v>
      </c>
      <c r="P310" s="433"/>
      <c r="Q310" s="433"/>
      <c r="R310" s="433"/>
      <c r="S310" s="433"/>
      <c r="T310" s="433"/>
      <c r="U310" s="434"/>
      <c r="V310" s="37" t="s">
        <v>71</v>
      </c>
      <c r="W310" s="404">
        <f>IFERROR(W309/H309,"0")</f>
        <v>0</v>
      </c>
      <c r="X310" s="404">
        <f>IFERROR(X309/H309,"0")</f>
        <v>0</v>
      </c>
      <c r="Y310" s="404">
        <f>IFERROR(IF(Y309="",0,Y309),"0")</f>
        <v>0</v>
      </c>
      <c r="Z310" s="405"/>
      <c r="AA310" s="405"/>
    </row>
    <row r="311" spans="1:67" x14ac:dyDescent="0.2">
      <c r="A311" s="412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15"/>
      <c r="O311" s="432" t="s">
        <v>70</v>
      </c>
      <c r="P311" s="433"/>
      <c r="Q311" s="433"/>
      <c r="R311" s="433"/>
      <c r="S311" s="433"/>
      <c r="T311" s="433"/>
      <c r="U311" s="434"/>
      <c r="V311" s="37" t="s">
        <v>66</v>
      </c>
      <c r="W311" s="404">
        <f>IFERROR(SUM(W309:W309),"0")</f>
        <v>0</v>
      </c>
      <c r="X311" s="404">
        <f>IFERROR(SUM(X309:X309),"0")</f>
        <v>0</v>
      </c>
      <c r="Y311" s="37"/>
      <c r="Z311" s="405"/>
      <c r="AA311" s="405"/>
    </row>
    <row r="312" spans="1:67" ht="14.25" customHeight="1" x14ac:dyDescent="0.25">
      <c r="A312" s="411" t="s">
        <v>72</v>
      </c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412"/>
      <c r="S312" s="412"/>
      <c r="T312" s="412"/>
      <c r="U312" s="412"/>
      <c r="V312" s="412"/>
      <c r="W312" s="412"/>
      <c r="X312" s="412"/>
      <c r="Y312" s="412"/>
      <c r="Z312" s="395"/>
      <c r="AA312" s="395"/>
    </row>
    <row r="313" spans="1:67" ht="27" customHeight="1" x14ac:dyDescent="0.25">
      <c r="A313" s="54" t="s">
        <v>476</v>
      </c>
      <c r="B313" s="54" t="s">
        <v>477</v>
      </c>
      <c r="C313" s="31">
        <v>4301051142</v>
      </c>
      <c r="D313" s="406">
        <v>4607091387919</v>
      </c>
      <c r="E313" s="407"/>
      <c r="F313" s="401">
        <v>1.35</v>
      </c>
      <c r="G313" s="32">
        <v>6</v>
      </c>
      <c r="H313" s="401">
        <v>8.1</v>
      </c>
      <c r="I313" s="401">
        <v>8.6639999999999997</v>
      </c>
      <c r="J313" s="32">
        <v>56</v>
      </c>
      <c r="K313" s="32" t="s">
        <v>109</v>
      </c>
      <c r="L313" s="33" t="s">
        <v>65</v>
      </c>
      <c r="M313" s="33"/>
      <c r="N313" s="32">
        <v>45</v>
      </c>
      <c r="O313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9"/>
      <c r="Q313" s="409"/>
      <c r="R313" s="409"/>
      <c r="S313" s="407"/>
      <c r="T313" s="34"/>
      <c r="U313" s="34"/>
      <c r="V313" s="35" t="s">
        <v>66</v>
      </c>
      <c r="W313" s="402">
        <v>0</v>
      </c>
      <c r="X313" s="403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478</v>
      </c>
      <c r="B314" s="54" t="s">
        <v>479</v>
      </c>
      <c r="C314" s="31">
        <v>4301051461</v>
      </c>
      <c r="D314" s="406">
        <v>4680115883604</v>
      </c>
      <c r="E314" s="407"/>
      <c r="F314" s="401">
        <v>0.35</v>
      </c>
      <c r="G314" s="32">
        <v>6</v>
      </c>
      <c r="H314" s="401">
        <v>2.1</v>
      </c>
      <c r="I314" s="401">
        <v>2.3719999999999999</v>
      </c>
      <c r="J314" s="32">
        <v>156</v>
      </c>
      <c r="K314" s="32" t="s">
        <v>64</v>
      </c>
      <c r="L314" s="33" t="s">
        <v>129</v>
      </c>
      <c r="M314" s="33"/>
      <c r="N314" s="32">
        <v>45</v>
      </c>
      <c r="O314" s="51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9"/>
      <c r="Q314" s="409"/>
      <c r="R314" s="409"/>
      <c r="S314" s="407"/>
      <c r="T314" s="34"/>
      <c r="U314" s="34"/>
      <c r="V314" s="35" t="s">
        <v>66</v>
      </c>
      <c r="W314" s="402">
        <v>0</v>
      </c>
      <c r="X314" s="403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480</v>
      </c>
      <c r="B315" s="54" t="s">
        <v>481</v>
      </c>
      <c r="C315" s="31">
        <v>4301051485</v>
      </c>
      <c r="D315" s="406">
        <v>4680115883567</v>
      </c>
      <c r="E315" s="407"/>
      <c r="F315" s="401">
        <v>0.35</v>
      </c>
      <c r="G315" s="32">
        <v>6</v>
      </c>
      <c r="H315" s="401">
        <v>2.1</v>
      </c>
      <c r="I315" s="401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81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9"/>
      <c r="Q315" s="409"/>
      <c r="R315" s="409"/>
      <c r="S315" s="407"/>
      <c r="T315" s="34"/>
      <c r="U315" s="34"/>
      <c r="V315" s="35" t="s">
        <v>66</v>
      </c>
      <c r="W315" s="402">
        <v>0</v>
      </c>
      <c r="X315" s="40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14"/>
      <c r="B316" s="412"/>
      <c r="C316" s="412"/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5"/>
      <c r="O316" s="432" t="s">
        <v>70</v>
      </c>
      <c r="P316" s="433"/>
      <c r="Q316" s="433"/>
      <c r="R316" s="433"/>
      <c r="S316" s="433"/>
      <c r="T316" s="433"/>
      <c r="U316" s="434"/>
      <c r="V316" s="37" t="s">
        <v>71</v>
      </c>
      <c r="W316" s="404">
        <f>IFERROR(W313/H313,"0")+IFERROR(W314/H314,"0")+IFERROR(W315/H315,"0")</f>
        <v>0</v>
      </c>
      <c r="X316" s="404">
        <f>IFERROR(X313/H313,"0")+IFERROR(X314/H314,"0")+IFERROR(X315/H315,"0")</f>
        <v>0</v>
      </c>
      <c r="Y316" s="404">
        <f>IFERROR(IF(Y313="",0,Y313),"0")+IFERROR(IF(Y314="",0,Y314),"0")+IFERROR(IF(Y315="",0,Y315),"0")</f>
        <v>0</v>
      </c>
      <c r="Z316" s="405"/>
      <c r="AA316" s="405"/>
    </row>
    <row r="317" spans="1:67" x14ac:dyDescent="0.2">
      <c r="A317" s="412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15"/>
      <c r="O317" s="432" t="s">
        <v>70</v>
      </c>
      <c r="P317" s="433"/>
      <c r="Q317" s="433"/>
      <c r="R317" s="433"/>
      <c r="S317" s="433"/>
      <c r="T317" s="433"/>
      <c r="U317" s="434"/>
      <c r="V317" s="37" t="s">
        <v>66</v>
      </c>
      <c r="W317" s="404">
        <f>IFERROR(SUM(W313:W315),"0")</f>
        <v>0</v>
      </c>
      <c r="X317" s="404">
        <f>IFERROR(SUM(X313:X315),"0")</f>
        <v>0</v>
      </c>
      <c r="Y317" s="37"/>
      <c r="Z317" s="405"/>
      <c r="AA317" s="405"/>
    </row>
    <row r="318" spans="1:67" ht="14.25" customHeight="1" x14ac:dyDescent="0.25">
      <c r="A318" s="411" t="s">
        <v>217</v>
      </c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12"/>
      <c r="O318" s="412"/>
      <c r="P318" s="412"/>
      <c r="Q318" s="412"/>
      <c r="R318" s="412"/>
      <c r="S318" s="412"/>
      <c r="T318" s="412"/>
      <c r="U318" s="412"/>
      <c r="V318" s="412"/>
      <c r="W318" s="412"/>
      <c r="X318" s="412"/>
      <c r="Y318" s="412"/>
      <c r="Z318" s="395"/>
      <c r="AA318" s="395"/>
    </row>
    <row r="319" spans="1:67" ht="27" customHeight="1" x14ac:dyDescent="0.25">
      <c r="A319" s="54" t="s">
        <v>482</v>
      </c>
      <c r="B319" s="54" t="s">
        <v>483</v>
      </c>
      <c r="C319" s="31">
        <v>4301060324</v>
      </c>
      <c r="D319" s="406">
        <v>4607091388831</v>
      </c>
      <c r="E319" s="407"/>
      <c r="F319" s="401">
        <v>0.38</v>
      </c>
      <c r="G319" s="32">
        <v>6</v>
      </c>
      <c r="H319" s="401">
        <v>2.2799999999999998</v>
      </c>
      <c r="I319" s="401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6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9"/>
      <c r="Q319" s="409"/>
      <c r="R319" s="409"/>
      <c r="S319" s="407"/>
      <c r="T319" s="34"/>
      <c r="U319" s="34"/>
      <c r="V319" s="35" t="s">
        <v>66</v>
      </c>
      <c r="W319" s="402">
        <v>0</v>
      </c>
      <c r="X319" s="403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14"/>
      <c r="B320" s="412"/>
      <c r="C320" s="412"/>
      <c r="D320" s="412"/>
      <c r="E320" s="412"/>
      <c r="F320" s="412"/>
      <c r="G320" s="412"/>
      <c r="H320" s="412"/>
      <c r="I320" s="412"/>
      <c r="J320" s="412"/>
      <c r="K320" s="412"/>
      <c r="L320" s="412"/>
      <c r="M320" s="412"/>
      <c r="N320" s="415"/>
      <c r="O320" s="432" t="s">
        <v>70</v>
      </c>
      <c r="P320" s="433"/>
      <c r="Q320" s="433"/>
      <c r="R320" s="433"/>
      <c r="S320" s="433"/>
      <c r="T320" s="433"/>
      <c r="U320" s="434"/>
      <c r="V320" s="37" t="s">
        <v>71</v>
      </c>
      <c r="W320" s="404">
        <f>IFERROR(W319/H319,"0")</f>
        <v>0</v>
      </c>
      <c r="X320" s="404">
        <f>IFERROR(X319/H319,"0")</f>
        <v>0</v>
      </c>
      <c r="Y320" s="404">
        <f>IFERROR(IF(Y319="",0,Y319),"0")</f>
        <v>0</v>
      </c>
      <c r="Z320" s="405"/>
      <c r="AA320" s="405"/>
    </row>
    <row r="321" spans="1:67" x14ac:dyDescent="0.2">
      <c r="A321" s="412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15"/>
      <c r="O321" s="432" t="s">
        <v>70</v>
      </c>
      <c r="P321" s="433"/>
      <c r="Q321" s="433"/>
      <c r="R321" s="433"/>
      <c r="S321" s="433"/>
      <c r="T321" s="433"/>
      <c r="U321" s="434"/>
      <c r="V321" s="37" t="s">
        <v>66</v>
      </c>
      <c r="W321" s="404">
        <f>IFERROR(SUM(W319:W319),"0")</f>
        <v>0</v>
      </c>
      <c r="X321" s="404">
        <f>IFERROR(SUM(X319:X319),"0")</f>
        <v>0</v>
      </c>
      <c r="Y321" s="37"/>
      <c r="Z321" s="405"/>
      <c r="AA321" s="405"/>
    </row>
    <row r="322" spans="1:67" ht="14.25" customHeight="1" x14ac:dyDescent="0.25">
      <c r="A322" s="411" t="s">
        <v>92</v>
      </c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2"/>
      <c r="O322" s="412"/>
      <c r="P322" s="412"/>
      <c r="Q322" s="412"/>
      <c r="R322" s="412"/>
      <c r="S322" s="412"/>
      <c r="T322" s="412"/>
      <c r="U322" s="412"/>
      <c r="V322" s="412"/>
      <c r="W322" s="412"/>
      <c r="X322" s="412"/>
      <c r="Y322" s="412"/>
      <c r="Z322" s="395"/>
      <c r="AA322" s="395"/>
    </row>
    <row r="323" spans="1:67" ht="27" customHeight="1" x14ac:dyDescent="0.25">
      <c r="A323" s="54" t="s">
        <v>484</v>
      </c>
      <c r="B323" s="54" t="s">
        <v>485</v>
      </c>
      <c r="C323" s="31">
        <v>4301032015</v>
      </c>
      <c r="D323" s="406">
        <v>4607091383102</v>
      </c>
      <c r="E323" s="407"/>
      <c r="F323" s="401">
        <v>0.17</v>
      </c>
      <c r="G323" s="32">
        <v>15</v>
      </c>
      <c r="H323" s="401">
        <v>2.5499999999999998</v>
      </c>
      <c r="I323" s="401">
        <v>2.9750000000000001</v>
      </c>
      <c r="J323" s="32">
        <v>156</v>
      </c>
      <c r="K323" s="32" t="s">
        <v>64</v>
      </c>
      <c r="L323" s="33" t="s">
        <v>95</v>
      </c>
      <c r="M323" s="33"/>
      <c r="N323" s="32">
        <v>180</v>
      </c>
      <c r="O323" s="5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9"/>
      <c r="Q323" s="409"/>
      <c r="R323" s="409"/>
      <c r="S323" s="407"/>
      <c r="T323" s="34"/>
      <c r="U323" s="34"/>
      <c r="V323" s="35" t="s">
        <v>66</v>
      </c>
      <c r="W323" s="402">
        <v>0</v>
      </c>
      <c r="X323" s="403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14"/>
      <c r="B324" s="412"/>
      <c r="C324" s="412"/>
      <c r="D324" s="412"/>
      <c r="E324" s="412"/>
      <c r="F324" s="412"/>
      <c r="G324" s="412"/>
      <c r="H324" s="412"/>
      <c r="I324" s="412"/>
      <c r="J324" s="412"/>
      <c r="K324" s="412"/>
      <c r="L324" s="412"/>
      <c r="M324" s="412"/>
      <c r="N324" s="415"/>
      <c r="O324" s="432" t="s">
        <v>70</v>
      </c>
      <c r="P324" s="433"/>
      <c r="Q324" s="433"/>
      <c r="R324" s="433"/>
      <c r="S324" s="433"/>
      <c r="T324" s="433"/>
      <c r="U324" s="434"/>
      <c r="V324" s="37" t="s">
        <v>71</v>
      </c>
      <c r="W324" s="404">
        <f>IFERROR(W323/H323,"0")</f>
        <v>0</v>
      </c>
      <c r="X324" s="404">
        <f>IFERROR(X323/H323,"0")</f>
        <v>0</v>
      </c>
      <c r="Y324" s="404">
        <f>IFERROR(IF(Y323="",0,Y323),"0")</f>
        <v>0</v>
      </c>
      <c r="Z324" s="405"/>
      <c r="AA324" s="405"/>
    </row>
    <row r="325" spans="1:67" x14ac:dyDescent="0.2">
      <c r="A325" s="412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5"/>
      <c r="O325" s="432" t="s">
        <v>70</v>
      </c>
      <c r="P325" s="433"/>
      <c r="Q325" s="433"/>
      <c r="R325" s="433"/>
      <c r="S325" s="433"/>
      <c r="T325" s="433"/>
      <c r="U325" s="434"/>
      <c r="V325" s="37" t="s">
        <v>66</v>
      </c>
      <c r="W325" s="404">
        <f>IFERROR(SUM(W323:W323),"0")</f>
        <v>0</v>
      </c>
      <c r="X325" s="404">
        <f>IFERROR(SUM(X323:X323),"0")</f>
        <v>0</v>
      </c>
      <c r="Y325" s="37"/>
      <c r="Z325" s="405"/>
      <c r="AA325" s="405"/>
    </row>
    <row r="326" spans="1:67" ht="27.75" customHeight="1" x14ac:dyDescent="0.2">
      <c r="A326" s="453" t="s">
        <v>486</v>
      </c>
      <c r="B326" s="454"/>
      <c r="C326" s="454"/>
      <c r="D326" s="454"/>
      <c r="E326" s="454"/>
      <c r="F326" s="454"/>
      <c r="G326" s="454"/>
      <c r="H326" s="454"/>
      <c r="I326" s="454"/>
      <c r="J326" s="454"/>
      <c r="K326" s="454"/>
      <c r="L326" s="454"/>
      <c r="M326" s="454"/>
      <c r="N326" s="454"/>
      <c r="O326" s="454"/>
      <c r="P326" s="454"/>
      <c r="Q326" s="454"/>
      <c r="R326" s="454"/>
      <c r="S326" s="454"/>
      <c r="T326" s="454"/>
      <c r="U326" s="454"/>
      <c r="V326" s="454"/>
      <c r="W326" s="454"/>
      <c r="X326" s="454"/>
      <c r="Y326" s="454"/>
      <c r="Z326" s="48"/>
      <c r="AA326" s="48"/>
    </row>
    <row r="327" spans="1:67" ht="16.5" customHeight="1" x14ac:dyDescent="0.25">
      <c r="A327" s="421" t="s">
        <v>487</v>
      </c>
      <c r="B327" s="412"/>
      <c r="C327" s="412"/>
      <c r="D327" s="412"/>
      <c r="E327" s="412"/>
      <c r="F327" s="412"/>
      <c r="G327" s="412"/>
      <c r="H327" s="412"/>
      <c r="I327" s="412"/>
      <c r="J327" s="412"/>
      <c r="K327" s="412"/>
      <c r="L327" s="412"/>
      <c r="M327" s="412"/>
      <c r="N327" s="412"/>
      <c r="O327" s="412"/>
      <c r="P327" s="412"/>
      <c r="Q327" s="412"/>
      <c r="R327" s="412"/>
      <c r="S327" s="412"/>
      <c r="T327" s="412"/>
      <c r="U327" s="412"/>
      <c r="V327" s="412"/>
      <c r="W327" s="412"/>
      <c r="X327" s="412"/>
      <c r="Y327" s="412"/>
      <c r="Z327" s="396"/>
      <c r="AA327" s="396"/>
    </row>
    <row r="328" spans="1:67" ht="14.25" customHeight="1" x14ac:dyDescent="0.25">
      <c r="A328" s="411" t="s">
        <v>114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12"/>
      <c r="Z328" s="395"/>
      <c r="AA328" s="395"/>
    </row>
    <row r="329" spans="1:67" ht="37.5" customHeight="1" x14ac:dyDescent="0.25">
      <c r="A329" s="54" t="s">
        <v>488</v>
      </c>
      <c r="B329" s="54" t="s">
        <v>489</v>
      </c>
      <c r="C329" s="31">
        <v>4301011875</v>
      </c>
      <c r="D329" s="406">
        <v>4680115884885</v>
      </c>
      <c r="E329" s="407"/>
      <c r="F329" s="401">
        <v>0.8</v>
      </c>
      <c r="G329" s="32">
        <v>15</v>
      </c>
      <c r="H329" s="401">
        <v>12</v>
      </c>
      <c r="I329" s="401">
        <v>12.48</v>
      </c>
      <c r="J329" s="32">
        <v>56</v>
      </c>
      <c r="K329" s="32" t="s">
        <v>109</v>
      </c>
      <c r="L329" s="33" t="s">
        <v>65</v>
      </c>
      <c r="M329" s="33"/>
      <c r="N329" s="32">
        <v>60</v>
      </c>
      <c r="O329" s="618" t="s">
        <v>490</v>
      </c>
      <c r="P329" s="409"/>
      <c r="Q329" s="409"/>
      <c r="R329" s="409"/>
      <c r="S329" s="407"/>
      <c r="T329" s="34" t="s">
        <v>83</v>
      </c>
      <c r="U329" s="34"/>
      <c r="V329" s="35" t="s">
        <v>66</v>
      </c>
      <c r="W329" s="402">
        <v>0</v>
      </c>
      <c r="X329" s="403">
        <f t="shared" ref="X329:X340" si="70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51" t="s">
        <v>1</v>
      </c>
      <c r="BL329" s="64">
        <f t="shared" ref="BL329:BL340" si="71">IFERROR(W329*I329/H329,"0")</f>
        <v>0</v>
      </c>
      <c r="BM329" s="64">
        <f t="shared" ref="BM329:BM340" si="72">IFERROR(X329*I329/H329,"0")</f>
        <v>0</v>
      </c>
      <c r="BN329" s="64">
        <f t="shared" ref="BN329:BN340" si="73">IFERROR(1/J329*(W329/H329),"0")</f>
        <v>0</v>
      </c>
      <c r="BO329" s="64">
        <f t="shared" ref="BO329:BO340" si="74">IFERROR(1/J329*(X329/H329),"0")</f>
        <v>0</v>
      </c>
    </row>
    <row r="330" spans="1:67" ht="37.5" customHeight="1" x14ac:dyDescent="0.25">
      <c r="A330" s="54" t="s">
        <v>491</v>
      </c>
      <c r="B330" s="54" t="s">
        <v>492</v>
      </c>
      <c r="C330" s="31">
        <v>4301011874</v>
      </c>
      <c r="D330" s="406">
        <v>4680115884892</v>
      </c>
      <c r="E330" s="407"/>
      <c r="F330" s="401">
        <v>1.8</v>
      </c>
      <c r="G330" s="32">
        <v>6</v>
      </c>
      <c r="H330" s="401">
        <v>10.8</v>
      </c>
      <c r="I330" s="401">
        <v>11.28</v>
      </c>
      <c r="J330" s="32">
        <v>56</v>
      </c>
      <c r="K330" s="32" t="s">
        <v>109</v>
      </c>
      <c r="L330" s="33" t="s">
        <v>65</v>
      </c>
      <c r="M330" s="33"/>
      <c r="N330" s="32">
        <v>60</v>
      </c>
      <c r="O330" s="625" t="s">
        <v>493</v>
      </c>
      <c r="P330" s="409"/>
      <c r="Q330" s="409"/>
      <c r="R330" s="409"/>
      <c r="S330" s="407"/>
      <c r="T330" s="34"/>
      <c r="U330" s="34"/>
      <c r="V330" s="35" t="s">
        <v>66</v>
      </c>
      <c r="W330" s="402">
        <v>0</v>
      </c>
      <c r="X330" s="403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customHeight="1" x14ac:dyDescent="0.25">
      <c r="A331" s="54" t="s">
        <v>494</v>
      </c>
      <c r="B331" s="54" t="s">
        <v>495</v>
      </c>
      <c r="C331" s="31">
        <v>4301011867</v>
      </c>
      <c r="D331" s="406">
        <v>4680115884830</v>
      </c>
      <c r="E331" s="407"/>
      <c r="F331" s="401">
        <v>2.5</v>
      </c>
      <c r="G331" s="32">
        <v>6</v>
      </c>
      <c r="H331" s="401">
        <v>15</v>
      </c>
      <c r="I331" s="401">
        <v>15.48</v>
      </c>
      <c r="J331" s="32">
        <v>48</v>
      </c>
      <c r="K331" s="32" t="s">
        <v>109</v>
      </c>
      <c r="L331" s="33" t="s">
        <v>65</v>
      </c>
      <c r="M331" s="33"/>
      <c r="N331" s="32">
        <v>60</v>
      </c>
      <c r="O331" s="483" t="s">
        <v>496</v>
      </c>
      <c r="P331" s="409"/>
      <c r="Q331" s="409"/>
      <c r="R331" s="409"/>
      <c r="S331" s="407"/>
      <c r="T331" s="34"/>
      <c r="U331" s="34"/>
      <c r="V331" s="35" t="s">
        <v>66</v>
      </c>
      <c r="W331" s="402">
        <v>0</v>
      </c>
      <c r="X331" s="403">
        <f t="shared" si="70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494</v>
      </c>
      <c r="B332" s="54" t="s">
        <v>497</v>
      </c>
      <c r="C332" s="31">
        <v>4301011943</v>
      </c>
      <c r="D332" s="406">
        <v>4680115884830</v>
      </c>
      <c r="E332" s="407"/>
      <c r="F332" s="401">
        <v>2.5</v>
      </c>
      <c r="G332" s="32">
        <v>6</v>
      </c>
      <c r="H332" s="401">
        <v>15</v>
      </c>
      <c r="I332" s="401">
        <v>15.48</v>
      </c>
      <c r="J332" s="32">
        <v>48</v>
      </c>
      <c r="K332" s="32" t="s">
        <v>109</v>
      </c>
      <c r="L332" s="33" t="s">
        <v>118</v>
      </c>
      <c r="M332" s="33"/>
      <c r="N332" s="32">
        <v>60</v>
      </c>
      <c r="O332" s="655" t="s">
        <v>496</v>
      </c>
      <c r="P332" s="409"/>
      <c r="Q332" s="409"/>
      <c r="R332" s="409"/>
      <c r="S332" s="407"/>
      <c r="T332" s="34"/>
      <c r="U332" s="34"/>
      <c r="V332" s="35" t="s">
        <v>66</v>
      </c>
      <c r="W332" s="402">
        <v>0</v>
      </c>
      <c r="X332" s="403">
        <f t="shared" si="70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customHeight="1" x14ac:dyDescent="0.25">
      <c r="A333" s="54" t="s">
        <v>498</v>
      </c>
      <c r="B333" s="54" t="s">
        <v>499</v>
      </c>
      <c r="C333" s="31">
        <v>4301011869</v>
      </c>
      <c r="D333" s="406">
        <v>4680115884847</v>
      </c>
      <c r="E333" s="407"/>
      <c r="F333" s="401">
        <v>2.5</v>
      </c>
      <c r="G333" s="32">
        <v>6</v>
      </c>
      <c r="H333" s="401">
        <v>15</v>
      </c>
      <c r="I333" s="401">
        <v>15.48</v>
      </c>
      <c r="J333" s="32">
        <v>48</v>
      </c>
      <c r="K333" s="32" t="s">
        <v>109</v>
      </c>
      <c r="L333" s="33" t="s">
        <v>65</v>
      </c>
      <c r="M333" s="33"/>
      <c r="N333" s="32">
        <v>60</v>
      </c>
      <c r="O333" s="568" t="s">
        <v>500</v>
      </c>
      <c r="P333" s="409"/>
      <c r="Q333" s="409"/>
      <c r="R333" s="409"/>
      <c r="S333" s="407"/>
      <c r="T333" s="34"/>
      <c r="U333" s="34"/>
      <c r="V333" s="35" t="s">
        <v>66</v>
      </c>
      <c r="W333" s="402">
        <v>1017</v>
      </c>
      <c r="X333" s="403">
        <f t="shared" si="70"/>
        <v>1020</v>
      </c>
      <c r="Y333" s="36">
        <f>IFERROR(IF(X333=0,"",ROUNDUP(X333/H333,0)*0.02175),"")</f>
        <v>1.4789999999999999</v>
      </c>
      <c r="Z333" s="56"/>
      <c r="AA333" s="57"/>
      <c r="AE333" s="64"/>
      <c r="BB333" s="255" t="s">
        <v>1</v>
      </c>
      <c r="BL333" s="64">
        <f t="shared" si="71"/>
        <v>1049.5440000000001</v>
      </c>
      <c r="BM333" s="64">
        <f t="shared" si="72"/>
        <v>1052.6400000000001</v>
      </c>
      <c r="BN333" s="64">
        <f t="shared" si="73"/>
        <v>1.4124999999999999</v>
      </c>
      <c r="BO333" s="64">
        <f t="shared" si="74"/>
        <v>1.4166666666666665</v>
      </c>
    </row>
    <row r="334" spans="1:67" ht="27" customHeight="1" x14ac:dyDescent="0.25">
      <c r="A334" s="54" t="s">
        <v>498</v>
      </c>
      <c r="B334" s="54" t="s">
        <v>501</v>
      </c>
      <c r="C334" s="31">
        <v>4301011946</v>
      </c>
      <c r="D334" s="406">
        <v>4680115884847</v>
      </c>
      <c r="E334" s="407"/>
      <c r="F334" s="401">
        <v>2.5</v>
      </c>
      <c r="G334" s="32">
        <v>6</v>
      </c>
      <c r="H334" s="401">
        <v>15</v>
      </c>
      <c r="I334" s="401">
        <v>15.48</v>
      </c>
      <c r="J334" s="32">
        <v>48</v>
      </c>
      <c r="K334" s="32" t="s">
        <v>109</v>
      </c>
      <c r="L334" s="33" t="s">
        <v>118</v>
      </c>
      <c r="M334" s="33"/>
      <c r="N334" s="32">
        <v>60</v>
      </c>
      <c r="O334" s="429" t="s">
        <v>500</v>
      </c>
      <c r="P334" s="409"/>
      <c r="Q334" s="409"/>
      <c r="R334" s="409"/>
      <c r="S334" s="407"/>
      <c r="T334" s="34"/>
      <c r="U334" s="34"/>
      <c r="V334" s="35" t="s">
        <v>66</v>
      </c>
      <c r="W334" s="402">
        <v>0</v>
      </c>
      <c r="X334" s="403">
        <f t="shared" si="70"/>
        <v>0</v>
      </c>
      <c r="Y334" s="36" t="str">
        <f>IFERROR(IF(X334=0,"",ROUNDUP(X334/H334,0)*0.02039),"")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502</v>
      </c>
      <c r="B335" s="54" t="s">
        <v>503</v>
      </c>
      <c r="C335" s="31">
        <v>4301011870</v>
      </c>
      <c r="D335" s="406">
        <v>4680115884854</v>
      </c>
      <c r="E335" s="407"/>
      <c r="F335" s="401">
        <v>2.5</v>
      </c>
      <c r="G335" s="32">
        <v>6</v>
      </c>
      <c r="H335" s="401">
        <v>15</v>
      </c>
      <c r="I335" s="401">
        <v>15.48</v>
      </c>
      <c r="J335" s="32">
        <v>48</v>
      </c>
      <c r="K335" s="32" t="s">
        <v>109</v>
      </c>
      <c r="L335" s="33" t="s">
        <v>65</v>
      </c>
      <c r="M335" s="33"/>
      <c r="N335" s="32">
        <v>60</v>
      </c>
      <c r="O335" s="743" t="s">
        <v>504</v>
      </c>
      <c r="P335" s="409"/>
      <c r="Q335" s="409"/>
      <c r="R335" s="409"/>
      <c r="S335" s="407"/>
      <c r="T335" s="34"/>
      <c r="U335" s="34"/>
      <c r="V335" s="35" t="s">
        <v>66</v>
      </c>
      <c r="W335" s="402">
        <v>0</v>
      </c>
      <c r="X335" s="403">
        <f t="shared" si="70"/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502</v>
      </c>
      <c r="B336" s="54" t="s">
        <v>505</v>
      </c>
      <c r="C336" s="31">
        <v>4301011947</v>
      </c>
      <c r="D336" s="406">
        <v>4680115884854</v>
      </c>
      <c r="E336" s="407"/>
      <c r="F336" s="401">
        <v>2.5</v>
      </c>
      <c r="G336" s="32">
        <v>6</v>
      </c>
      <c r="H336" s="401">
        <v>15</v>
      </c>
      <c r="I336" s="401">
        <v>15.48</v>
      </c>
      <c r="J336" s="32">
        <v>48</v>
      </c>
      <c r="K336" s="32" t="s">
        <v>109</v>
      </c>
      <c r="L336" s="33" t="s">
        <v>118</v>
      </c>
      <c r="M336" s="33"/>
      <c r="N336" s="32">
        <v>60</v>
      </c>
      <c r="O336" s="60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409"/>
      <c r="Q336" s="409"/>
      <c r="R336" s="409"/>
      <c r="S336" s="407"/>
      <c r="T336" s="34"/>
      <c r="U336" s="34"/>
      <c r="V336" s="35" t="s">
        <v>66</v>
      </c>
      <c r="W336" s="402">
        <v>0</v>
      </c>
      <c r="X336" s="403">
        <f t="shared" si="70"/>
        <v>0</v>
      </c>
      <c r="Y336" s="36" t="str">
        <f>IFERROR(IF(X336=0,"",ROUNDUP(X336/H336,0)*0.02039),"")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37.5" customHeight="1" x14ac:dyDescent="0.25">
      <c r="A337" s="54" t="s">
        <v>506</v>
      </c>
      <c r="B337" s="54" t="s">
        <v>507</v>
      </c>
      <c r="C337" s="31">
        <v>4301011871</v>
      </c>
      <c r="D337" s="406">
        <v>4680115884908</v>
      </c>
      <c r="E337" s="407"/>
      <c r="F337" s="401">
        <v>0.4</v>
      </c>
      <c r="G337" s="32">
        <v>10</v>
      </c>
      <c r="H337" s="401">
        <v>4</v>
      </c>
      <c r="I337" s="401">
        <v>4.21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81" t="s">
        <v>508</v>
      </c>
      <c r="P337" s="409"/>
      <c r="Q337" s="409"/>
      <c r="R337" s="409"/>
      <c r="S337" s="407"/>
      <c r="T337" s="34" t="s">
        <v>83</v>
      </c>
      <c r="U337" s="34"/>
      <c r="V337" s="35" t="s">
        <v>66</v>
      </c>
      <c r="W337" s="402">
        <v>0</v>
      </c>
      <c r="X337" s="403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509</v>
      </c>
      <c r="B338" s="54" t="s">
        <v>510</v>
      </c>
      <c r="C338" s="31">
        <v>4301011866</v>
      </c>
      <c r="D338" s="406">
        <v>4680115884878</v>
      </c>
      <c r="E338" s="407"/>
      <c r="F338" s="401">
        <v>0.5</v>
      </c>
      <c r="G338" s="32">
        <v>10</v>
      </c>
      <c r="H338" s="401">
        <v>5</v>
      </c>
      <c r="I338" s="401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809" t="s">
        <v>511</v>
      </c>
      <c r="P338" s="409"/>
      <c r="Q338" s="409"/>
      <c r="R338" s="409"/>
      <c r="S338" s="407"/>
      <c r="T338" s="34"/>
      <c r="U338" s="34"/>
      <c r="V338" s="35" t="s">
        <v>66</v>
      </c>
      <c r="W338" s="402">
        <v>0</v>
      </c>
      <c r="X338" s="403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customHeight="1" x14ac:dyDescent="0.25">
      <c r="A339" s="54" t="s">
        <v>512</v>
      </c>
      <c r="B339" s="54" t="s">
        <v>513</v>
      </c>
      <c r="C339" s="31">
        <v>4301011952</v>
      </c>
      <c r="D339" s="406">
        <v>4680115884922</v>
      </c>
      <c r="E339" s="407"/>
      <c r="F339" s="401">
        <v>0.5</v>
      </c>
      <c r="G339" s="32">
        <v>10</v>
      </c>
      <c r="H339" s="401">
        <v>5</v>
      </c>
      <c r="I339" s="401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84" t="s">
        <v>514</v>
      </c>
      <c r="P339" s="409"/>
      <c r="Q339" s="409"/>
      <c r="R339" s="409"/>
      <c r="S339" s="407"/>
      <c r="T339" s="34"/>
      <c r="U339" s="34"/>
      <c r="V339" s="35" t="s">
        <v>66</v>
      </c>
      <c r="W339" s="402">
        <v>0</v>
      </c>
      <c r="X339" s="403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customHeight="1" x14ac:dyDescent="0.25">
      <c r="A340" s="54" t="s">
        <v>515</v>
      </c>
      <c r="B340" s="54" t="s">
        <v>516</v>
      </c>
      <c r="C340" s="31">
        <v>4301011433</v>
      </c>
      <c r="D340" s="406">
        <v>4680115882638</v>
      </c>
      <c r="E340" s="407"/>
      <c r="F340" s="401">
        <v>0.4</v>
      </c>
      <c r="G340" s="32">
        <v>10</v>
      </c>
      <c r="H340" s="401">
        <v>4</v>
      </c>
      <c r="I340" s="401">
        <v>4.24</v>
      </c>
      <c r="J340" s="32">
        <v>120</v>
      </c>
      <c r="K340" s="32" t="s">
        <v>64</v>
      </c>
      <c r="L340" s="33" t="s">
        <v>110</v>
      </c>
      <c r="M340" s="33"/>
      <c r="N340" s="32">
        <v>90</v>
      </c>
      <c r="O340" s="8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409"/>
      <c r="Q340" s="409"/>
      <c r="R340" s="409"/>
      <c r="S340" s="407"/>
      <c r="T340" s="34"/>
      <c r="U340" s="34"/>
      <c r="V340" s="35" t="s">
        <v>66</v>
      </c>
      <c r="W340" s="402">
        <v>0</v>
      </c>
      <c r="X340" s="403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x14ac:dyDescent="0.2">
      <c r="A341" s="414"/>
      <c r="B341" s="412"/>
      <c r="C341" s="412"/>
      <c r="D341" s="412"/>
      <c r="E341" s="412"/>
      <c r="F341" s="412"/>
      <c r="G341" s="412"/>
      <c r="H341" s="412"/>
      <c r="I341" s="412"/>
      <c r="J341" s="412"/>
      <c r="K341" s="412"/>
      <c r="L341" s="412"/>
      <c r="M341" s="412"/>
      <c r="N341" s="415"/>
      <c r="O341" s="432" t="s">
        <v>70</v>
      </c>
      <c r="P341" s="433"/>
      <c r="Q341" s="433"/>
      <c r="R341" s="433"/>
      <c r="S341" s="433"/>
      <c r="T341" s="433"/>
      <c r="U341" s="434"/>
      <c r="V341" s="37" t="s">
        <v>71</v>
      </c>
      <c r="W341" s="404">
        <f>IFERROR(W329/H329,"0")+IFERROR(W330/H330,"0")+IFERROR(W331/H331,"0")+IFERROR(W332/H332,"0")+IFERROR(W333/H333,"0")+IFERROR(W334/H334,"0")+IFERROR(W335/H335,"0")+IFERROR(W336/H336,"0")+IFERROR(W337/H337,"0")+IFERROR(W338/H338,"0")+IFERROR(W339/H339,"0")+IFERROR(W340/H340,"0")</f>
        <v>67.8</v>
      </c>
      <c r="X341" s="404">
        <f>IFERROR(X329/H329,"0")+IFERROR(X330/H330,"0")+IFERROR(X331/H331,"0")+IFERROR(X332/H332,"0")+IFERROR(X333/H333,"0")+IFERROR(X334/H334,"0")+IFERROR(X335/H335,"0")+IFERROR(X336/H336,"0")+IFERROR(X337/H337,"0")+IFERROR(X338/H338,"0")+IFERROR(X339/H339,"0")+IFERROR(X340/H340,"0")</f>
        <v>68</v>
      </c>
      <c r="Y341" s="40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1.4789999999999999</v>
      </c>
      <c r="Z341" s="405"/>
      <c r="AA341" s="405"/>
    </row>
    <row r="342" spans="1:67" x14ac:dyDescent="0.2">
      <c r="A342" s="412"/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5"/>
      <c r="O342" s="432" t="s">
        <v>70</v>
      </c>
      <c r="P342" s="433"/>
      <c r="Q342" s="433"/>
      <c r="R342" s="433"/>
      <c r="S342" s="433"/>
      <c r="T342" s="433"/>
      <c r="U342" s="434"/>
      <c r="V342" s="37" t="s">
        <v>66</v>
      </c>
      <c r="W342" s="404">
        <f>IFERROR(SUM(W329:W340),"0")</f>
        <v>1017</v>
      </c>
      <c r="X342" s="404">
        <f>IFERROR(SUM(X329:X340),"0")</f>
        <v>1020</v>
      </c>
      <c r="Y342" s="37"/>
      <c r="Z342" s="405"/>
      <c r="AA342" s="405"/>
    </row>
    <row r="343" spans="1:67" ht="14.25" customHeight="1" x14ac:dyDescent="0.25">
      <c r="A343" s="411" t="s">
        <v>106</v>
      </c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2"/>
      <c r="O343" s="412"/>
      <c r="P343" s="412"/>
      <c r="Q343" s="412"/>
      <c r="R343" s="412"/>
      <c r="S343" s="412"/>
      <c r="T343" s="412"/>
      <c r="U343" s="412"/>
      <c r="V343" s="412"/>
      <c r="W343" s="412"/>
      <c r="X343" s="412"/>
      <c r="Y343" s="412"/>
      <c r="Z343" s="395"/>
      <c r="AA343" s="395"/>
    </row>
    <row r="344" spans="1:67" ht="27" customHeight="1" x14ac:dyDescent="0.25">
      <c r="A344" s="54" t="s">
        <v>517</v>
      </c>
      <c r="B344" s="54" t="s">
        <v>518</v>
      </c>
      <c r="C344" s="31">
        <v>4301020178</v>
      </c>
      <c r="D344" s="406">
        <v>4607091383980</v>
      </c>
      <c r="E344" s="407"/>
      <c r="F344" s="401">
        <v>2.5</v>
      </c>
      <c r="G344" s="32">
        <v>6</v>
      </c>
      <c r="H344" s="401">
        <v>15</v>
      </c>
      <c r="I344" s="401">
        <v>15.48</v>
      </c>
      <c r="J344" s="32">
        <v>48</v>
      </c>
      <c r="K344" s="32" t="s">
        <v>109</v>
      </c>
      <c r="L344" s="33" t="s">
        <v>110</v>
      </c>
      <c r="M344" s="33"/>
      <c r="N344" s="32">
        <v>50</v>
      </c>
      <c r="O344" s="8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09"/>
      <c r="Q344" s="409"/>
      <c r="R344" s="409"/>
      <c r="S344" s="407"/>
      <c r="T344" s="34"/>
      <c r="U344" s="34"/>
      <c r="V344" s="35" t="s">
        <v>66</v>
      </c>
      <c r="W344" s="402">
        <v>515</v>
      </c>
      <c r="X344" s="403">
        <f>IFERROR(IF(W344="",0,CEILING((W344/$H344),1)*$H344),"")</f>
        <v>525</v>
      </c>
      <c r="Y344" s="36">
        <f>IFERROR(IF(X344=0,"",ROUNDUP(X344/H344,0)*0.02175),"")</f>
        <v>0.76124999999999998</v>
      </c>
      <c r="Z344" s="56"/>
      <c r="AA344" s="57"/>
      <c r="AE344" s="64"/>
      <c r="BB344" s="263" t="s">
        <v>1</v>
      </c>
      <c r="BL344" s="64">
        <f>IFERROR(W344*I344/H344,"0")</f>
        <v>531.48</v>
      </c>
      <c r="BM344" s="64">
        <f>IFERROR(X344*I344/H344,"0")</f>
        <v>541.79999999999995</v>
      </c>
      <c r="BN344" s="64">
        <f>IFERROR(1/J344*(W344/H344),"0")</f>
        <v>0.71527777777777779</v>
      </c>
      <c r="BO344" s="64">
        <f>IFERROR(1/J344*(X344/H344),"0")</f>
        <v>0.72916666666666663</v>
      </c>
    </row>
    <row r="345" spans="1:67" ht="16.5" customHeight="1" x14ac:dyDescent="0.25">
      <c r="A345" s="54" t="s">
        <v>519</v>
      </c>
      <c r="B345" s="54" t="s">
        <v>520</v>
      </c>
      <c r="C345" s="31">
        <v>4301020270</v>
      </c>
      <c r="D345" s="406">
        <v>4680115883314</v>
      </c>
      <c r="E345" s="407"/>
      <c r="F345" s="401">
        <v>1.35</v>
      </c>
      <c r="G345" s="32">
        <v>8</v>
      </c>
      <c r="H345" s="401">
        <v>10.8</v>
      </c>
      <c r="I345" s="401">
        <v>11.28</v>
      </c>
      <c r="J345" s="32">
        <v>56</v>
      </c>
      <c r="K345" s="32" t="s">
        <v>109</v>
      </c>
      <c r="L345" s="33" t="s">
        <v>129</v>
      </c>
      <c r="M345" s="33"/>
      <c r="N345" s="32">
        <v>50</v>
      </c>
      <c r="O345" s="67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09"/>
      <c r="Q345" s="409"/>
      <c r="R345" s="409"/>
      <c r="S345" s="407"/>
      <c r="T345" s="34"/>
      <c r="U345" s="34"/>
      <c r="V345" s="35" t="s">
        <v>66</v>
      </c>
      <c r="W345" s="402">
        <v>0</v>
      </c>
      <c r="X345" s="403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4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521</v>
      </c>
      <c r="B346" s="54" t="s">
        <v>522</v>
      </c>
      <c r="C346" s="31">
        <v>4301020179</v>
      </c>
      <c r="D346" s="406">
        <v>4607091384178</v>
      </c>
      <c r="E346" s="407"/>
      <c r="F346" s="401">
        <v>0.4</v>
      </c>
      <c r="G346" s="32">
        <v>10</v>
      </c>
      <c r="H346" s="401">
        <v>4</v>
      </c>
      <c r="I346" s="401">
        <v>4.24</v>
      </c>
      <c r="J346" s="32">
        <v>120</v>
      </c>
      <c r="K346" s="32" t="s">
        <v>64</v>
      </c>
      <c r="L346" s="33" t="s">
        <v>110</v>
      </c>
      <c r="M346" s="33"/>
      <c r="N346" s="32">
        <v>50</v>
      </c>
      <c r="O346" s="6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09"/>
      <c r="Q346" s="409"/>
      <c r="R346" s="409"/>
      <c r="S346" s="407"/>
      <c r="T346" s="34"/>
      <c r="U346" s="34"/>
      <c r="V346" s="35" t="s">
        <v>66</v>
      </c>
      <c r="W346" s="402">
        <v>0</v>
      </c>
      <c r="X346" s="403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523</v>
      </c>
      <c r="B347" s="54" t="s">
        <v>524</v>
      </c>
      <c r="C347" s="31">
        <v>4301020254</v>
      </c>
      <c r="D347" s="406">
        <v>4680115881914</v>
      </c>
      <c r="E347" s="407"/>
      <c r="F347" s="401">
        <v>0.4</v>
      </c>
      <c r="G347" s="32">
        <v>10</v>
      </c>
      <c r="H347" s="401">
        <v>4</v>
      </c>
      <c r="I347" s="401">
        <v>4.24</v>
      </c>
      <c r="J347" s="32">
        <v>120</v>
      </c>
      <c r="K347" s="32" t="s">
        <v>64</v>
      </c>
      <c r="L347" s="33" t="s">
        <v>110</v>
      </c>
      <c r="M347" s="33"/>
      <c r="N347" s="32">
        <v>90</v>
      </c>
      <c r="O34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409"/>
      <c r="Q347" s="409"/>
      <c r="R347" s="409"/>
      <c r="S347" s="407"/>
      <c r="T347" s="34"/>
      <c r="U347" s="34"/>
      <c r="V347" s="35" t="s">
        <v>66</v>
      </c>
      <c r="W347" s="402">
        <v>0</v>
      </c>
      <c r="X347" s="403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6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414"/>
      <c r="B348" s="412"/>
      <c r="C348" s="412"/>
      <c r="D348" s="412"/>
      <c r="E348" s="412"/>
      <c r="F348" s="412"/>
      <c r="G348" s="412"/>
      <c r="H348" s="412"/>
      <c r="I348" s="412"/>
      <c r="J348" s="412"/>
      <c r="K348" s="412"/>
      <c r="L348" s="412"/>
      <c r="M348" s="412"/>
      <c r="N348" s="415"/>
      <c r="O348" s="432" t="s">
        <v>70</v>
      </c>
      <c r="P348" s="433"/>
      <c r="Q348" s="433"/>
      <c r="R348" s="433"/>
      <c r="S348" s="433"/>
      <c r="T348" s="433"/>
      <c r="U348" s="434"/>
      <c r="V348" s="37" t="s">
        <v>71</v>
      </c>
      <c r="W348" s="404">
        <f>IFERROR(W344/H344,"0")+IFERROR(W345/H345,"0")+IFERROR(W346/H346,"0")+IFERROR(W347/H347,"0")</f>
        <v>34.333333333333336</v>
      </c>
      <c r="X348" s="404">
        <f>IFERROR(X344/H344,"0")+IFERROR(X345/H345,"0")+IFERROR(X346/H346,"0")+IFERROR(X347/H347,"0")</f>
        <v>35</v>
      </c>
      <c r="Y348" s="404">
        <f>IFERROR(IF(Y344="",0,Y344),"0")+IFERROR(IF(Y345="",0,Y345),"0")+IFERROR(IF(Y346="",0,Y346),"0")+IFERROR(IF(Y347="",0,Y347),"0")</f>
        <v>0.76124999999999998</v>
      </c>
      <c r="Z348" s="405"/>
      <c r="AA348" s="405"/>
    </row>
    <row r="349" spans="1:67" x14ac:dyDescent="0.2">
      <c r="A349" s="412"/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5"/>
      <c r="O349" s="432" t="s">
        <v>70</v>
      </c>
      <c r="P349" s="433"/>
      <c r="Q349" s="433"/>
      <c r="R349" s="433"/>
      <c r="S349" s="433"/>
      <c r="T349" s="433"/>
      <c r="U349" s="434"/>
      <c r="V349" s="37" t="s">
        <v>66</v>
      </c>
      <c r="W349" s="404">
        <f>IFERROR(SUM(W344:W347),"0")</f>
        <v>515</v>
      </c>
      <c r="X349" s="404">
        <f>IFERROR(SUM(X344:X347),"0")</f>
        <v>525</v>
      </c>
      <c r="Y349" s="37"/>
      <c r="Z349" s="405"/>
      <c r="AA349" s="405"/>
    </row>
    <row r="350" spans="1:67" ht="14.25" customHeight="1" x14ac:dyDescent="0.25">
      <c r="A350" s="411" t="s">
        <v>72</v>
      </c>
      <c r="B350" s="412"/>
      <c r="C350" s="412"/>
      <c r="D350" s="412"/>
      <c r="E350" s="412"/>
      <c r="F350" s="412"/>
      <c r="G350" s="412"/>
      <c r="H350" s="412"/>
      <c r="I350" s="412"/>
      <c r="J350" s="412"/>
      <c r="K350" s="412"/>
      <c r="L350" s="412"/>
      <c r="M350" s="412"/>
      <c r="N350" s="412"/>
      <c r="O350" s="412"/>
      <c r="P350" s="412"/>
      <c r="Q350" s="412"/>
      <c r="R350" s="412"/>
      <c r="S350" s="412"/>
      <c r="T350" s="412"/>
      <c r="U350" s="412"/>
      <c r="V350" s="412"/>
      <c r="W350" s="412"/>
      <c r="X350" s="412"/>
      <c r="Y350" s="412"/>
      <c r="Z350" s="395"/>
      <c r="AA350" s="395"/>
    </row>
    <row r="351" spans="1:67" ht="27" customHeight="1" x14ac:dyDescent="0.25">
      <c r="A351" s="54" t="s">
        <v>525</v>
      </c>
      <c r="B351" s="54" t="s">
        <v>526</v>
      </c>
      <c r="C351" s="31">
        <v>4301051639</v>
      </c>
      <c r="D351" s="406">
        <v>4607091383928</v>
      </c>
      <c r="E351" s="407"/>
      <c r="F351" s="401">
        <v>1.3</v>
      </c>
      <c r="G351" s="32">
        <v>6</v>
      </c>
      <c r="H351" s="401">
        <v>7.8</v>
      </c>
      <c r="I351" s="401">
        <v>8.3699999999999992</v>
      </c>
      <c r="J351" s="32">
        <v>56</v>
      </c>
      <c r="K351" s="32" t="s">
        <v>109</v>
      </c>
      <c r="L351" s="33" t="s">
        <v>65</v>
      </c>
      <c r="M351" s="33"/>
      <c r="N351" s="32">
        <v>40</v>
      </c>
      <c r="O351" s="675" t="s">
        <v>527</v>
      </c>
      <c r="P351" s="409"/>
      <c r="Q351" s="409"/>
      <c r="R351" s="409"/>
      <c r="S351" s="407"/>
      <c r="T351" s="34"/>
      <c r="U351" s="34"/>
      <c r="V351" s="35" t="s">
        <v>66</v>
      </c>
      <c r="W351" s="402">
        <v>0</v>
      </c>
      <c r="X351" s="403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7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525</v>
      </c>
      <c r="B352" s="54" t="s">
        <v>528</v>
      </c>
      <c r="C352" s="31">
        <v>4301051560</v>
      </c>
      <c r="D352" s="406">
        <v>4607091383928</v>
      </c>
      <c r="E352" s="407"/>
      <c r="F352" s="401">
        <v>1.3</v>
      </c>
      <c r="G352" s="32">
        <v>6</v>
      </c>
      <c r="H352" s="401">
        <v>7.8</v>
      </c>
      <c r="I352" s="401">
        <v>8.3699999999999992</v>
      </c>
      <c r="J352" s="32">
        <v>56</v>
      </c>
      <c r="K352" s="32" t="s">
        <v>109</v>
      </c>
      <c r="L352" s="33" t="s">
        <v>129</v>
      </c>
      <c r="M352" s="33"/>
      <c r="N352" s="32">
        <v>40</v>
      </c>
      <c r="O352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09"/>
      <c r="Q352" s="409"/>
      <c r="R352" s="409"/>
      <c r="S352" s="407"/>
      <c r="T352" s="34"/>
      <c r="U352" s="34"/>
      <c r="V352" s="35" t="s">
        <v>66</v>
      </c>
      <c r="W352" s="402">
        <v>0</v>
      </c>
      <c r="X352" s="40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529</v>
      </c>
      <c r="B353" s="54" t="s">
        <v>530</v>
      </c>
      <c r="C353" s="31">
        <v>4301051636</v>
      </c>
      <c r="D353" s="406">
        <v>4607091384260</v>
      </c>
      <c r="E353" s="407"/>
      <c r="F353" s="401">
        <v>1.3</v>
      </c>
      <c r="G353" s="32">
        <v>6</v>
      </c>
      <c r="H353" s="401">
        <v>7.8</v>
      </c>
      <c r="I353" s="401">
        <v>8.3640000000000008</v>
      </c>
      <c r="J353" s="32">
        <v>56</v>
      </c>
      <c r="K353" s="32" t="s">
        <v>109</v>
      </c>
      <c r="L353" s="33" t="s">
        <v>65</v>
      </c>
      <c r="M353" s="33"/>
      <c r="N353" s="32">
        <v>40</v>
      </c>
      <c r="O353" s="525" t="s">
        <v>531</v>
      </c>
      <c r="P353" s="409"/>
      <c r="Q353" s="409"/>
      <c r="R353" s="409"/>
      <c r="S353" s="407"/>
      <c r="T353" s="34"/>
      <c r="U353" s="34"/>
      <c r="V353" s="35" t="s">
        <v>66</v>
      </c>
      <c r="W353" s="402">
        <v>0</v>
      </c>
      <c r="X353" s="403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9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14"/>
      <c r="B354" s="412"/>
      <c r="C354" s="412"/>
      <c r="D354" s="412"/>
      <c r="E354" s="412"/>
      <c r="F354" s="412"/>
      <c r="G354" s="412"/>
      <c r="H354" s="412"/>
      <c r="I354" s="412"/>
      <c r="J354" s="412"/>
      <c r="K354" s="412"/>
      <c r="L354" s="412"/>
      <c r="M354" s="412"/>
      <c r="N354" s="415"/>
      <c r="O354" s="432" t="s">
        <v>70</v>
      </c>
      <c r="P354" s="433"/>
      <c r="Q354" s="433"/>
      <c r="R354" s="433"/>
      <c r="S354" s="433"/>
      <c r="T354" s="433"/>
      <c r="U354" s="434"/>
      <c r="V354" s="37" t="s">
        <v>71</v>
      </c>
      <c r="W354" s="404">
        <f>IFERROR(W351/H351,"0")+IFERROR(W352/H352,"0")+IFERROR(W353/H353,"0")</f>
        <v>0</v>
      </c>
      <c r="X354" s="404">
        <f>IFERROR(X351/H351,"0")+IFERROR(X352/H352,"0")+IFERROR(X353/H353,"0")</f>
        <v>0</v>
      </c>
      <c r="Y354" s="404">
        <f>IFERROR(IF(Y351="",0,Y351),"0")+IFERROR(IF(Y352="",0,Y352),"0")+IFERROR(IF(Y353="",0,Y353),"0")</f>
        <v>0</v>
      </c>
      <c r="Z354" s="405"/>
      <c r="AA354" s="405"/>
    </row>
    <row r="355" spans="1:67" x14ac:dyDescent="0.2">
      <c r="A355" s="412"/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15"/>
      <c r="O355" s="432" t="s">
        <v>70</v>
      </c>
      <c r="P355" s="433"/>
      <c r="Q355" s="433"/>
      <c r="R355" s="433"/>
      <c r="S355" s="433"/>
      <c r="T355" s="433"/>
      <c r="U355" s="434"/>
      <c r="V355" s="37" t="s">
        <v>66</v>
      </c>
      <c r="W355" s="404">
        <f>IFERROR(SUM(W351:W353),"0")</f>
        <v>0</v>
      </c>
      <c r="X355" s="404">
        <f>IFERROR(SUM(X351:X353),"0")</f>
        <v>0</v>
      </c>
      <c r="Y355" s="37"/>
      <c r="Z355" s="405"/>
      <c r="AA355" s="405"/>
    </row>
    <row r="356" spans="1:67" ht="14.25" customHeight="1" x14ac:dyDescent="0.25">
      <c r="A356" s="411" t="s">
        <v>217</v>
      </c>
      <c r="B356" s="412"/>
      <c r="C356" s="412"/>
      <c r="D356" s="412"/>
      <c r="E356" s="412"/>
      <c r="F356" s="412"/>
      <c r="G356" s="412"/>
      <c r="H356" s="412"/>
      <c r="I356" s="412"/>
      <c r="J356" s="412"/>
      <c r="K356" s="412"/>
      <c r="L356" s="412"/>
      <c r="M356" s="412"/>
      <c r="N356" s="412"/>
      <c r="O356" s="412"/>
      <c r="P356" s="412"/>
      <c r="Q356" s="412"/>
      <c r="R356" s="412"/>
      <c r="S356" s="412"/>
      <c r="T356" s="412"/>
      <c r="U356" s="412"/>
      <c r="V356" s="412"/>
      <c r="W356" s="412"/>
      <c r="X356" s="412"/>
      <c r="Y356" s="412"/>
      <c r="Z356" s="395"/>
      <c r="AA356" s="395"/>
    </row>
    <row r="357" spans="1:67" ht="16.5" customHeight="1" x14ac:dyDescent="0.25">
      <c r="A357" s="54" t="s">
        <v>532</v>
      </c>
      <c r="B357" s="54" t="s">
        <v>533</v>
      </c>
      <c r="C357" s="31">
        <v>4301060314</v>
      </c>
      <c r="D357" s="406">
        <v>4607091384673</v>
      </c>
      <c r="E357" s="407"/>
      <c r="F357" s="401">
        <v>1.3</v>
      </c>
      <c r="G357" s="32">
        <v>6</v>
      </c>
      <c r="H357" s="401">
        <v>7.8</v>
      </c>
      <c r="I357" s="401">
        <v>8.3640000000000008</v>
      </c>
      <c r="J357" s="32">
        <v>56</v>
      </c>
      <c r="K357" s="32" t="s">
        <v>109</v>
      </c>
      <c r="L357" s="33" t="s">
        <v>65</v>
      </c>
      <c r="M357" s="33"/>
      <c r="N357" s="32">
        <v>30</v>
      </c>
      <c r="O357" s="4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409"/>
      <c r="Q357" s="409"/>
      <c r="R357" s="409"/>
      <c r="S357" s="407"/>
      <c r="T357" s="34"/>
      <c r="U357" s="34"/>
      <c r="V357" s="35" t="s">
        <v>66</v>
      </c>
      <c r="W357" s="402">
        <v>0</v>
      </c>
      <c r="X357" s="40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0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16.5" customHeight="1" x14ac:dyDescent="0.25">
      <c r="A358" s="54" t="s">
        <v>532</v>
      </c>
      <c r="B358" s="54" t="s">
        <v>534</v>
      </c>
      <c r="C358" s="31">
        <v>4301060345</v>
      </c>
      <c r="D358" s="406">
        <v>4607091384673</v>
      </c>
      <c r="E358" s="407"/>
      <c r="F358" s="401">
        <v>1.3</v>
      </c>
      <c r="G358" s="32">
        <v>6</v>
      </c>
      <c r="H358" s="401">
        <v>7.8</v>
      </c>
      <c r="I358" s="401">
        <v>8.3640000000000008</v>
      </c>
      <c r="J358" s="32">
        <v>56</v>
      </c>
      <c r="K358" s="32" t="s">
        <v>109</v>
      </c>
      <c r="L358" s="33" t="s">
        <v>65</v>
      </c>
      <c r="M358" s="33"/>
      <c r="N358" s="32">
        <v>30</v>
      </c>
      <c r="O358" s="539" t="s">
        <v>535</v>
      </c>
      <c r="P358" s="409"/>
      <c r="Q358" s="409"/>
      <c r="R358" s="409"/>
      <c r="S358" s="407"/>
      <c r="T358" s="34"/>
      <c r="U358" s="34"/>
      <c r="V358" s="35" t="s">
        <v>66</v>
      </c>
      <c r="W358" s="402">
        <v>0</v>
      </c>
      <c r="X358" s="40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x14ac:dyDescent="0.2">
      <c r="A359" s="414"/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5"/>
      <c r="O359" s="432" t="s">
        <v>70</v>
      </c>
      <c r="P359" s="433"/>
      <c r="Q359" s="433"/>
      <c r="R359" s="433"/>
      <c r="S359" s="433"/>
      <c r="T359" s="433"/>
      <c r="U359" s="434"/>
      <c r="V359" s="37" t="s">
        <v>71</v>
      </c>
      <c r="W359" s="404">
        <f>IFERROR(W357/H357,"0")+IFERROR(W358/H358,"0")</f>
        <v>0</v>
      </c>
      <c r="X359" s="404">
        <f>IFERROR(X357/H357,"0")+IFERROR(X358/H358,"0")</f>
        <v>0</v>
      </c>
      <c r="Y359" s="404">
        <f>IFERROR(IF(Y357="",0,Y357),"0")+IFERROR(IF(Y358="",0,Y358),"0")</f>
        <v>0</v>
      </c>
      <c r="Z359" s="405"/>
      <c r="AA359" s="405"/>
    </row>
    <row r="360" spans="1:67" x14ac:dyDescent="0.2">
      <c r="A360" s="412"/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5"/>
      <c r="O360" s="432" t="s">
        <v>70</v>
      </c>
      <c r="P360" s="433"/>
      <c r="Q360" s="433"/>
      <c r="R360" s="433"/>
      <c r="S360" s="433"/>
      <c r="T360" s="433"/>
      <c r="U360" s="434"/>
      <c r="V360" s="37" t="s">
        <v>66</v>
      </c>
      <c r="W360" s="404">
        <f>IFERROR(SUM(W357:W358),"0")</f>
        <v>0</v>
      </c>
      <c r="X360" s="404">
        <f>IFERROR(SUM(X357:X358),"0")</f>
        <v>0</v>
      </c>
      <c r="Y360" s="37"/>
      <c r="Z360" s="405"/>
      <c r="AA360" s="405"/>
    </row>
    <row r="361" spans="1:67" ht="16.5" customHeight="1" x14ac:dyDescent="0.25">
      <c r="A361" s="421" t="s">
        <v>536</v>
      </c>
      <c r="B361" s="412"/>
      <c r="C361" s="412"/>
      <c r="D361" s="412"/>
      <c r="E361" s="412"/>
      <c r="F361" s="412"/>
      <c r="G361" s="412"/>
      <c r="H361" s="412"/>
      <c r="I361" s="412"/>
      <c r="J361" s="412"/>
      <c r="K361" s="412"/>
      <c r="L361" s="412"/>
      <c r="M361" s="412"/>
      <c r="N361" s="412"/>
      <c r="O361" s="412"/>
      <c r="P361" s="412"/>
      <c r="Q361" s="412"/>
      <c r="R361" s="412"/>
      <c r="S361" s="412"/>
      <c r="T361" s="412"/>
      <c r="U361" s="412"/>
      <c r="V361" s="412"/>
      <c r="W361" s="412"/>
      <c r="X361" s="412"/>
      <c r="Y361" s="412"/>
      <c r="Z361" s="396"/>
      <c r="AA361" s="396"/>
    </row>
    <row r="362" spans="1:67" ht="14.25" customHeight="1" x14ac:dyDescent="0.25">
      <c r="A362" s="411" t="s">
        <v>114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412"/>
      <c r="Z362" s="395"/>
      <c r="AA362" s="395"/>
    </row>
    <row r="363" spans="1:67" ht="37.5" customHeight="1" x14ac:dyDescent="0.25">
      <c r="A363" s="54" t="s">
        <v>537</v>
      </c>
      <c r="B363" s="54" t="s">
        <v>538</v>
      </c>
      <c r="C363" s="31">
        <v>4301011324</v>
      </c>
      <c r="D363" s="406">
        <v>4607091384185</v>
      </c>
      <c r="E363" s="407"/>
      <c r="F363" s="401">
        <v>0.8</v>
      </c>
      <c r="G363" s="32">
        <v>15</v>
      </c>
      <c r="H363" s="401">
        <v>12</v>
      </c>
      <c r="I363" s="401">
        <v>12.48</v>
      </c>
      <c r="J363" s="32">
        <v>56</v>
      </c>
      <c r="K363" s="32" t="s">
        <v>109</v>
      </c>
      <c r="L363" s="33" t="s">
        <v>65</v>
      </c>
      <c r="M363" s="33"/>
      <c r="N363" s="32">
        <v>60</v>
      </c>
      <c r="O363" s="49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09"/>
      <c r="Q363" s="409"/>
      <c r="R363" s="409"/>
      <c r="S363" s="407"/>
      <c r="T363" s="34"/>
      <c r="U363" s="34"/>
      <c r="V363" s="35" t="s">
        <v>66</v>
      </c>
      <c r="W363" s="402">
        <v>0</v>
      </c>
      <c r="X363" s="403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4301011483</v>
      </c>
      <c r="D364" s="406">
        <v>4680115881907</v>
      </c>
      <c r="E364" s="407"/>
      <c r="F364" s="401">
        <v>1.8</v>
      </c>
      <c r="G364" s="32">
        <v>6</v>
      </c>
      <c r="H364" s="401">
        <v>10.8</v>
      </c>
      <c r="I364" s="401">
        <v>11.28</v>
      </c>
      <c r="J364" s="32">
        <v>56</v>
      </c>
      <c r="K364" s="32" t="s">
        <v>109</v>
      </c>
      <c r="L364" s="33" t="s">
        <v>65</v>
      </c>
      <c r="M364" s="33"/>
      <c r="N364" s="32">
        <v>60</v>
      </c>
      <c r="O364" s="4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09"/>
      <c r="Q364" s="409"/>
      <c r="R364" s="409"/>
      <c r="S364" s="407"/>
      <c r="T364" s="34"/>
      <c r="U364" s="34"/>
      <c r="V364" s="35" t="s">
        <v>66</v>
      </c>
      <c r="W364" s="402">
        <v>0</v>
      </c>
      <c r="X364" s="403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3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541</v>
      </c>
      <c r="B365" s="54" t="s">
        <v>542</v>
      </c>
      <c r="C365" s="31">
        <v>4301011655</v>
      </c>
      <c r="D365" s="406">
        <v>4680115883925</v>
      </c>
      <c r="E365" s="407"/>
      <c r="F365" s="401">
        <v>2.5</v>
      </c>
      <c r="G365" s="32">
        <v>6</v>
      </c>
      <c r="H365" s="401">
        <v>15</v>
      </c>
      <c r="I365" s="401">
        <v>15.48</v>
      </c>
      <c r="J365" s="32">
        <v>48</v>
      </c>
      <c r="K365" s="32" t="s">
        <v>109</v>
      </c>
      <c r="L365" s="33" t="s">
        <v>65</v>
      </c>
      <c r="M365" s="33"/>
      <c r="N365" s="32">
        <v>60</v>
      </c>
      <c r="O365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09"/>
      <c r="Q365" s="409"/>
      <c r="R365" s="409"/>
      <c r="S365" s="407"/>
      <c r="T365" s="34"/>
      <c r="U365" s="34"/>
      <c r="V365" s="35" t="s">
        <v>66</v>
      </c>
      <c r="W365" s="402">
        <v>0</v>
      </c>
      <c r="X365" s="403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customHeight="1" x14ac:dyDescent="0.25">
      <c r="A366" s="54" t="s">
        <v>543</v>
      </c>
      <c r="B366" s="54" t="s">
        <v>544</v>
      </c>
      <c r="C366" s="31">
        <v>4301011303</v>
      </c>
      <c r="D366" s="406">
        <v>4607091384680</v>
      </c>
      <c r="E366" s="407"/>
      <c r="F366" s="401">
        <v>0.4</v>
      </c>
      <c r="G366" s="32">
        <v>10</v>
      </c>
      <c r="H366" s="401">
        <v>4</v>
      </c>
      <c r="I366" s="401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9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409"/>
      <c r="Q366" s="409"/>
      <c r="R366" s="409"/>
      <c r="S366" s="407"/>
      <c r="T366" s="34"/>
      <c r="U366" s="34"/>
      <c r="V366" s="35" t="s">
        <v>66</v>
      </c>
      <c r="W366" s="402">
        <v>0</v>
      </c>
      <c r="X366" s="403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414"/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5"/>
      <c r="O367" s="432" t="s">
        <v>70</v>
      </c>
      <c r="P367" s="433"/>
      <c r="Q367" s="433"/>
      <c r="R367" s="433"/>
      <c r="S367" s="433"/>
      <c r="T367" s="433"/>
      <c r="U367" s="434"/>
      <c r="V367" s="37" t="s">
        <v>71</v>
      </c>
      <c r="W367" s="404">
        <f>IFERROR(W363/H363,"0")+IFERROR(W364/H364,"0")+IFERROR(W365/H365,"0")+IFERROR(W366/H366,"0")</f>
        <v>0</v>
      </c>
      <c r="X367" s="404">
        <f>IFERROR(X363/H363,"0")+IFERROR(X364/H364,"0")+IFERROR(X365/H365,"0")+IFERROR(X366/H366,"0")</f>
        <v>0</v>
      </c>
      <c r="Y367" s="404">
        <f>IFERROR(IF(Y363="",0,Y363),"0")+IFERROR(IF(Y364="",0,Y364),"0")+IFERROR(IF(Y365="",0,Y365),"0")+IFERROR(IF(Y366="",0,Y366),"0")</f>
        <v>0</v>
      </c>
      <c r="Z367" s="405"/>
      <c r="AA367" s="405"/>
    </row>
    <row r="368" spans="1:67" x14ac:dyDescent="0.2">
      <c r="A368" s="412"/>
      <c r="B368" s="412"/>
      <c r="C368" s="412"/>
      <c r="D368" s="412"/>
      <c r="E368" s="412"/>
      <c r="F368" s="412"/>
      <c r="G368" s="412"/>
      <c r="H368" s="412"/>
      <c r="I368" s="412"/>
      <c r="J368" s="412"/>
      <c r="K368" s="412"/>
      <c r="L368" s="412"/>
      <c r="M368" s="412"/>
      <c r="N368" s="415"/>
      <c r="O368" s="432" t="s">
        <v>70</v>
      </c>
      <c r="P368" s="433"/>
      <c r="Q368" s="433"/>
      <c r="R368" s="433"/>
      <c r="S368" s="433"/>
      <c r="T368" s="433"/>
      <c r="U368" s="434"/>
      <c r="V368" s="37" t="s">
        <v>66</v>
      </c>
      <c r="W368" s="404">
        <f>IFERROR(SUM(W363:W366),"0")</f>
        <v>0</v>
      </c>
      <c r="X368" s="404">
        <f>IFERROR(SUM(X363:X366),"0")</f>
        <v>0</v>
      </c>
      <c r="Y368" s="37"/>
      <c r="Z368" s="405"/>
      <c r="AA368" s="405"/>
    </row>
    <row r="369" spans="1:67" ht="14.25" customHeight="1" x14ac:dyDescent="0.25">
      <c r="A369" s="411" t="s">
        <v>61</v>
      </c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12"/>
      <c r="O369" s="412"/>
      <c r="P369" s="412"/>
      <c r="Q369" s="412"/>
      <c r="R369" s="412"/>
      <c r="S369" s="412"/>
      <c r="T369" s="412"/>
      <c r="U369" s="412"/>
      <c r="V369" s="412"/>
      <c r="W369" s="412"/>
      <c r="X369" s="412"/>
      <c r="Y369" s="412"/>
      <c r="Z369" s="395"/>
      <c r="AA369" s="395"/>
    </row>
    <row r="370" spans="1:67" ht="27" customHeight="1" x14ac:dyDescent="0.25">
      <c r="A370" s="54" t="s">
        <v>545</v>
      </c>
      <c r="B370" s="54" t="s">
        <v>546</v>
      </c>
      <c r="C370" s="31">
        <v>4301031139</v>
      </c>
      <c r="D370" s="406">
        <v>4607091384802</v>
      </c>
      <c r="E370" s="407"/>
      <c r="F370" s="401">
        <v>0.73</v>
      </c>
      <c r="G370" s="32">
        <v>6</v>
      </c>
      <c r="H370" s="401">
        <v>4.38</v>
      </c>
      <c r="I370" s="401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8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09"/>
      <c r="Q370" s="409"/>
      <c r="R370" s="409"/>
      <c r="S370" s="407"/>
      <c r="T370" s="34"/>
      <c r="U370" s="34"/>
      <c r="V370" s="35" t="s">
        <v>66</v>
      </c>
      <c r="W370" s="402">
        <v>0</v>
      </c>
      <c r="X370" s="403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6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545</v>
      </c>
      <c r="B371" s="54" t="s">
        <v>547</v>
      </c>
      <c r="C371" s="31">
        <v>4301031303</v>
      </c>
      <c r="D371" s="406">
        <v>4607091384802</v>
      </c>
      <c r="E371" s="407"/>
      <c r="F371" s="401">
        <v>0.73</v>
      </c>
      <c r="G371" s="32">
        <v>6</v>
      </c>
      <c r="H371" s="401">
        <v>4.38</v>
      </c>
      <c r="I371" s="401">
        <v>4.6399999999999997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38" t="s">
        <v>548</v>
      </c>
      <c r="P371" s="409"/>
      <c r="Q371" s="409"/>
      <c r="R371" s="409"/>
      <c r="S371" s="407"/>
      <c r="T371" s="34"/>
      <c r="U371" s="34"/>
      <c r="V371" s="35" t="s">
        <v>66</v>
      </c>
      <c r="W371" s="402">
        <v>0</v>
      </c>
      <c r="X371" s="40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7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549</v>
      </c>
      <c r="B372" s="54" t="s">
        <v>550</v>
      </c>
      <c r="C372" s="31">
        <v>4301031304</v>
      </c>
      <c r="D372" s="406">
        <v>4607091384826</v>
      </c>
      <c r="E372" s="407"/>
      <c r="F372" s="401">
        <v>0.35</v>
      </c>
      <c r="G372" s="32">
        <v>8</v>
      </c>
      <c r="H372" s="401">
        <v>2.8</v>
      </c>
      <c r="I372" s="401">
        <v>2.98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72" t="s">
        <v>551</v>
      </c>
      <c r="P372" s="409"/>
      <c r="Q372" s="409"/>
      <c r="R372" s="409"/>
      <c r="S372" s="407"/>
      <c r="T372" s="34"/>
      <c r="U372" s="34"/>
      <c r="V372" s="35" t="s">
        <v>66</v>
      </c>
      <c r="W372" s="402">
        <v>0</v>
      </c>
      <c r="X372" s="403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14"/>
      <c r="B373" s="412"/>
      <c r="C373" s="412"/>
      <c r="D373" s="412"/>
      <c r="E373" s="412"/>
      <c r="F373" s="412"/>
      <c r="G373" s="412"/>
      <c r="H373" s="412"/>
      <c r="I373" s="412"/>
      <c r="J373" s="412"/>
      <c r="K373" s="412"/>
      <c r="L373" s="412"/>
      <c r="M373" s="412"/>
      <c r="N373" s="415"/>
      <c r="O373" s="432" t="s">
        <v>70</v>
      </c>
      <c r="P373" s="433"/>
      <c r="Q373" s="433"/>
      <c r="R373" s="433"/>
      <c r="S373" s="433"/>
      <c r="T373" s="433"/>
      <c r="U373" s="434"/>
      <c r="V373" s="37" t="s">
        <v>71</v>
      </c>
      <c r="W373" s="404">
        <f>IFERROR(W370/H370,"0")+IFERROR(W371/H371,"0")+IFERROR(W372/H372,"0")</f>
        <v>0</v>
      </c>
      <c r="X373" s="404">
        <f>IFERROR(X370/H370,"0")+IFERROR(X371/H371,"0")+IFERROR(X372/H372,"0")</f>
        <v>0</v>
      </c>
      <c r="Y373" s="404">
        <f>IFERROR(IF(Y370="",0,Y370),"0")+IFERROR(IF(Y371="",0,Y371),"0")+IFERROR(IF(Y372="",0,Y372),"0")</f>
        <v>0</v>
      </c>
      <c r="Z373" s="405"/>
      <c r="AA373" s="405"/>
    </row>
    <row r="374" spans="1:67" x14ac:dyDescent="0.2">
      <c r="A374" s="412"/>
      <c r="B374" s="412"/>
      <c r="C374" s="412"/>
      <c r="D374" s="412"/>
      <c r="E374" s="412"/>
      <c r="F374" s="412"/>
      <c r="G374" s="412"/>
      <c r="H374" s="412"/>
      <c r="I374" s="412"/>
      <c r="J374" s="412"/>
      <c r="K374" s="412"/>
      <c r="L374" s="412"/>
      <c r="M374" s="412"/>
      <c r="N374" s="415"/>
      <c r="O374" s="432" t="s">
        <v>70</v>
      </c>
      <c r="P374" s="433"/>
      <c r="Q374" s="433"/>
      <c r="R374" s="433"/>
      <c r="S374" s="433"/>
      <c r="T374" s="433"/>
      <c r="U374" s="434"/>
      <c r="V374" s="37" t="s">
        <v>66</v>
      </c>
      <c r="W374" s="404">
        <f>IFERROR(SUM(W370:W372),"0")</f>
        <v>0</v>
      </c>
      <c r="X374" s="404">
        <f>IFERROR(SUM(X370:X372),"0")</f>
        <v>0</v>
      </c>
      <c r="Y374" s="37"/>
      <c r="Z374" s="405"/>
      <c r="AA374" s="405"/>
    </row>
    <row r="375" spans="1:67" ht="14.25" customHeight="1" x14ac:dyDescent="0.25">
      <c r="A375" s="411" t="s">
        <v>72</v>
      </c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12"/>
      <c r="O375" s="412"/>
      <c r="P375" s="412"/>
      <c r="Q375" s="412"/>
      <c r="R375" s="412"/>
      <c r="S375" s="412"/>
      <c r="T375" s="412"/>
      <c r="U375" s="412"/>
      <c r="V375" s="412"/>
      <c r="W375" s="412"/>
      <c r="X375" s="412"/>
      <c r="Y375" s="412"/>
      <c r="Z375" s="395"/>
      <c r="AA375" s="395"/>
    </row>
    <row r="376" spans="1:67" ht="27" customHeight="1" x14ac:dyDescent="0.25">
      <c r="A376" s="54" t="s">
        <v>552</v>
      </c>
      <c r="B376" s="54" t="s">
        <v>553</v>
      </c>
      <c r="C376" s="31">
        <v>4301051635</v>
      </c>
      <c r="D376" s="406">
        <v>4607091384246</v>
      </c>
      <c r="E376" s="407"/>
      <c r="F376" s="401">
        <v>1.3</v>
      </c>
      <c r="G376" s="32">
        <v>6</v>
      </c>
      <c r="H376" s="401">
        <v>7.8</v>
      </c>
      <c r="I376" s="401">
        <v>8.3640000000000008</v>
      </c>
      <c r="J376" s="32">
        <v>56</v>
      </c>
      <c r="K376" s="32" t="s">
        <v>109</v>
      </c>
      <c r="L376" s="33" t="s">
        <v>65</v>
      </c>
      <c r="M376" s="33"/>
      <c r="N376" s="32">
        <v>40</v>
      </c>
      <c r="O376" s="516" t="s">
        <v>554</v>
      </c>
      <c r="P376" s="409"/>
      <c r="Q376" s="409"/>
      <c r="R376" s="409"/>
      <c r="S376" s="407"/>
      <c r="T376" s="34"/>
      <c r="U376" s="34"/>
      <c r="V376" s="35" t="s">
        <v>66</v>
      </c>
      <c r="W376" s="402">
        <v>204</v>
      </c>
      <c r="X376" s="403">
        <f>IFERROR(IF(W376="",0,CEILING((W376/$H376),1)*$H376),"")</f>
        <v>210.6</v>
      </c>
      <c r="Y376" s="36">
        <f>IFERROR(IF(X376=0,"",ROUNDUP(X376/H376,0)*0.02175),"")</f>
        <v>0.58724999999999994</v>
      </c>
      <c r="Z376" s="56"/>
      <c r="AA376" s="57"/>
      <c r="AE376" s="64"/>
      <c r="BB376" s="279" t="s">
        <v>1</v>
      </c>
      <c r="BL376" s="64">
        <f>IFERROR(W376*I376/H376,"0")</f>
        <v>218.75076923076924</v>
      </c>
      <c r="BM376" s="64">
        <f>IFERROR(X376*I376/H376,"0")</f>
        <v>225.82800000000003</v>
      </c>
      <c r="BN376" s="64">
        <f>IFERROR(1/J376*(W376/H376),"0")</f>
        <v>0.46703296703296698</v>
      </c>
      <c r="BO376" s="64">
        <f>IFERROR(1/J376*(X376/H376),"0")</f>
        <v>0.4821428571428571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406">
        <v>4680115881976</v>
      </c>
      <c r="E377" s="407"/>
      <c r="F377" s="401">
        <v>1.3</v>
      </c>
      <c r="G377" s="32">
        <v>6</v>
      </c>
      <c r="H377" s="401">
        <v>7.8</v>
      </c>
      <c r="I377" s="401">
        <v>8.2799999999999994</v>
      </c>
      <c r="J377" s="32">
        <v>56</v>
      </c>
      <c r="K377" s="32" t="s">
        <v>109</v>
      </c>
      <c r="L377" s="33" t="s">
        <v>65</v>
      </c>
      <c r="M377" s="33"/>
      <c r="N377" s="32">
        <v>40</v>
      </c>
      <c r="O377" s="6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9"/>
      <c r="Q377" s="409"/>
      <c r="R377" s="409"/>
      <c r="S377" s="407"/>
      <c r="T377" s="34"/>
      <c r="U377" s="34"/>
      <c r="V377" s="35" t="s">
        <v>66</v>
      </c>
      <c r="W377" s="402">
        <v>0</v>
      </c>
      <c r="X377" s="40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0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406">
        <v>4607091384253</v>
      </c>
      <c r="E378" s="407"/>
      <c r="F378" s="401">
        <v>0.4</v>
      </c>
      <c r="G378" s="32">
        <v>6</v>
      </c>
      <c r="H378" s="401">
        <v>2.4</v>
      </c>
      <c r="I378" s="401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9"/>
      <c r="Q378" s="409"/>
      <c r="R378" s="409"/>
      <c r="S378" s="407"/>
      <c r="T378" s="34"/>
      <c r="U378" s="34"/>
      <c r="V378" s="35" t="s">
        <v>66</v>
      </c>
      <c r="W378" s="402">
        <v>0</v>
      </c>
      <c r="X378" s="403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557</v>
      </c>
      <c r="B379" s="54" t="s">
        <v>559</v>
      </c>
      <c r="C379" s="31">
        <v>4301051634</v>
      </c>
      <c r="D379" s="406">
        <v>4607091384253</v>
      </c>
      <c r="E379" s="407"/>
      <c r="F379" s="401">
        <v>0.4</v>
      </c>
      <c r="G379" s="32">
        <v>6</v>
      </c>
      <c r="H379" s="401">
        <v>2.4</v>
      </c>
      <c r="I379" s="401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89" t="s">
        <v>560</v>
      </c>
      <c r="P379" s="409"/>
      <c r="Q379" s="409"/>
      <c r="R379" s="409"/>
      <c r="S379" s="407"/>
      <c r="T379" s="34"/>
      <c r="U379" s="34"/>
      <c r="V379" s="35" t="s">
        <v>66</v>
      </c>
      <c r="W379" s="402">
        <v>0</v>
      </c>
      <c r="X379" s="403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561</v>
      </c>
      <c r="B380" s="54" t="s">
        <v>562</v>
      </c>
      <c r="C380" s="31">
        <v>4301051444</v>
      </c>
      <c r="D380" s="406">
        <v>4680115881969</v>
      </c>
      <c r="E380" s="407"/>
      <c r="F380" s="401">
        <v>0.4</v>
      </c>
      <c r="G380" s="32">
        <v>6</v>
      </c>
      <c r="H380" s="401">
        <v>2.4</v>
      </c>
      <c r="I380" s="401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09"/>
      <c r="Q380" s="409"/>
      <c r="R380" s="409"/>
      <c r="S380" s="407"/>
      <c r="T380" s="34"/>
      <c r="U380" s="34"/>
      <c r="V380" s="35" t="s">
        <v>66</v>
      </c>
      <c r="W380" s="402">
        <v>0</v>
      </c>
      <c r="X380" s="403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4"/>
      <c r="B381" s="412"/>
      <c r="C381" s="412"/>
      <c r="D381" s="412"/>
      <c r="E381" s="412"/>
      <c r="F381" s="412"/>
      <c r="G381" s="412"/>
      <c r="H381" s="412"/>
      <c r="I381" s="412"/>
      <c r="J381" s="412"/>
      <c r="K381" s="412"/>
      <c r="L381" s="412"/>
      <c r="M381" s="412"/>
      <c r="N381" s="415"/>
      <c r="O381" s="432" t="s">
        <v>70</v>
      </c>
      <c r="P381" s="433"/>
      <c r="Q381" s="433"/>
      <c r="R381" s="433"/>
      <c r="S381" s="433"/>
      <c r="T381" s="433"/>
      <c r="U381" s="434"/>
      <c r="V381" s="37" t="s">
        <v>71</v>
      </c>
      <c r="W381" s="404">
        <f>IFERROR(W376/H376,"0")+IFERROR(W377/H377,"0")+IFERROR(W378/H378,"0")+IFERROR(W379/H379,"0")+IFERROR(W380/H380,"0")</f>
        <v>26.153846153846153</v>
      </c>
      <c r="X381" s="404">
        <f>IFERROR(X376/H376,"0")+IFERROR(X377/H377,"0")+IFERROR(X378/H378,"0")+IFERROR(X379/H379,"0")+IFERROR(X380/H380,"0")</f>
        <v>27</v>
      </c>
      <c r="Y381" s="404">
        <f>IFERROR(IF(Y376="",0,Y376),"0")+IFERROR(IF(Y377="",0,Y377),"0")+IFERROR(IF(Y378="",0,Y378),"0")+IFERROR(IF(Y379="",0,Y379),"0")+IFERROR(IF(Y380="",0,Y380),"0")</f>
        <v>0.58724999999999994</v>
      </c>
      <c r="Z381" s="405"/>
      <c r="AA381" s="405"/>
    </row>
    <row r="382" spans="1:67" x14ac:dyDescent="0.2">
      <c r="A382" s="412"/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5"/>
      <c r="O382" s="432" t="s">
        <v>70</v>
      </c>
      <c r="P382" s="433"/>
      <c r="Q382" s="433"/>
      <c r="R382" s="433"/>
      <c r="S382" s="433"/>
      <c r="T382" s="433"/>
      <c r="U382" s="434"/>
      <c r="V382" s="37" t="s">
        <v>66</v>
      </c>
      <c r="W382" s="404">
        <f>IFERROR(SUM(W376:W380),"0")</f>
        <v>204</v>
      </c>
      <c r="X382" s="404">
        <f>IFERROR(SUM(X376:X380),"0")</f>
        <v>210.6</v>
      </c>
      <c r="Y382" s="37"/>
      <c r="Z382" s="405"/>
      <c r="AA382" s="405"/>
    </row>
    <row r="383" spans="1:67" ht="14.25" customHeight="1" x14ac:dyDescent="0.25">
      <c r="A383" s="411" t="s">
        <v>217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395"/>
      <c r="AA383" s="395"/>
    </row>
    <row r="384" spans="1:67" ht="27" customHeight="1" x14ac:dyDescent="0.25">
      <c r="A384" s="54" t="s">
        <v>563</v>
      </c>
      <c r="B384" s="54" t="s">
        <v>564</v>
      </c>
      <c r="C384" s="31">
        <v>4301060377</v>
      </c>
      <c r="D384" s="406">
        <v>4607091389357</v>
      </c>
      <c r="E384" s="407"/>
      <c r="F384" s="401">
        <v>1.3</v>
      </c>
      <c r="G384" s="32">
        <v>6</v>
      </c>
      <c r="H384" s="401">
        <v>7.8</v>
      </c>
      <c r="I384" s="401">
        <v>8.2799999999999994</v>
      </c>
      <c r="J384" s="32">
        <v>56</v>
      </c>
      <c r="K384" s="32" t="s">
        <v>109</v>
      </c>
      <c r="L384" s="33" t="s">
        <v>65</v>
      </c>
      <c r="M384" s="33"/>
      <c r="N384" s="32">
        <v>40</v>
      </c>
      <c r="O384" s="478" t="s">
        <v>565</v>
      </c>
      <c r="P384" s="409"/>
      <c r="Q384" s="409"/>
      <c r="R384" s="409"/>
      <c r="S384" s="407"/>
      <c r="T384" s="34"/>
      <c r="U384" s="34"/>
      <c r="V384" s="35" t="s">
        <v>66</v>
      </c>
      <c r="W384" s="402">
        <v>0</v>
      </c>
      <c r="X384" s="403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4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563</v>
      </c>
      <c r="B385" s="54" t="s">
        <v>566</v>
      </c>
      <c r="C385" s="31">
        <v>4301060322</v>
      </c>
      <c r="D385" s="406">
        <v>4607091389357</v>
      </c>
      <c r="E385" s="407"/>
      <c r="F385" s="401">
        <v>1.3</v>
      </c>
      <c r="G385" s="32">
        <v>6</v>
      </c>
      <c r="H385" s="401">
        <v>7.8</v>
      </c>
      <c r="I385" s="401">
        <v>8.2799999999999994</v>
      </c>
      <c r="J385" s="32">
        <v>56</v>
      </c>
      <c r="K385" s="32" t="s">
        <v>109</v>
      </c>
      <c r="L385" s="33" t="s">
        <v>65</v>
      </c>
      <c r="M385" s="33"/>
      <c r="N385" s="32">
        <v>40</v>
      </c>
      <c r="O385" s="4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09"/>
      <c r="Q385" s="409"/>
      <c r="R385" s="409"/>
      <c r="S385" s="407"/>
      <c r="T385" s="34"/>
      <c r="U385" s="34"/>
      <c r="V385" s="35" t="s">
        <v>66</v>
      </c>
      <c r="W385" s="402">
        <v>0</v>
      </c>
      <c r="X385" s="403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14"/>
      <c r="B386" s="412"/>
      <c r="C386" s="412"/>
      <c r="D386" s="412"/>
      <c r="E386" s="412"/>
      <c r="F386" s="412"/>
      <c r="G386" s="412"/>
      <c r="H386" s="412"/>
      <c r="I386" s="412"/>
      <c r="J386" s="412"/>
      <c r="K386" s="412"/>
      <c r="L386" s="412"/>
      <c r="M386" s="412"/>
      <c r="N386" s="415"/>
      <c r="O386" s="432" t="s">
        <v>70</v>
      </c>
      <c r="P386" s="433"/>
      <c r="Q386" s="433"/>
      <c r="R386" s="433"/>
      <c r="S386" s="433"/>
      <c r="T386" s="433"/>
      <c r="U386" s="434"/>
      <c r="V386" s="37" t="s">
        <v>71</v>
      </c>
      <c r="W386" s="404">
        <f>IFERROR(W384/H384,"0")+IFERROR(W385/H385,"0")</f>
        <v>0</v>
      </c>
      <c r="X386" s="404">
        <f>IFERROR(X384/H384,"0")+IFERROR(X385/H385,"0")</f>
        <v>0</v>
      </c>
      <c r="Y386" s="404">
        <f>IFERROR(IF(Y384="",0,Y384),"0")+IFERROR(IF(Y385="",0,Y385),"0")</f>
        <v>0</v>
      </c>
      <c r="Z386" s="405"/>
      <c r="AA386" s="405"/>
    </row>
    <row r="387" spans="1:67" x14ac:dyDescent="0.2">
      <c r="A387" s="412"/>
      <c r="B387" s="412"/>
      <c r="C387" s="412"/>
      <c r="D387" s="412"/>
      <c r="E387" s="412"/>
      <c r="F387" s="412"/>
      <c r="G387" s="412"/>
      <c r="H387" s="412"/>
      <c r="I387" s="412"/>
      <c r="J387" s="412"/>
      <c r="K387" s="412"/>
      <c r="L387" s="412"/>
      <c r="M387" s="412"/>
      <c r="N387" s="415"/>
      <c r="O387" s="432" t="s">
        <v>70</v>
      </c>
      <c r="P387" s="433"/>
      <c r="Q387" s="433"/>
      <c r="R387" s="433"/>
      <c r="S387" s="433"/>
      <c r="T387" s="433"/>
      <c r="U387" s="434"/>
      <c r="V387" s="37" t="s">
        <v>66</v>
      </c>
      <c r="W387" s="404">
        <f>IFERROR(SUM(W384:W385),"0")</f>
        <v>0</v>
      </c>
      <c r="X387" s="404">
        <f>IFERROR(SUM(X384:X385),"0")</f>
        <v>0</v>
      </c>
      <c r="Y387" s="37"/>
      <c r="Z387" s="405"/>
      <c r="AA387" s="405"/>
    </row>
    <row r="388" spans="1:67" ht="27.75" customHeight="1" x14ac:dyDescent="0.2">
      <c r="A388" s="453" t="s">
        <v>567</v>
      </c>
      <c r="B388" s="454"/>
      <c r="C388" s="454"/>
      <c r="D388" s="454"/>
      <c r="E388" s="454"/>
      <c r="F388" s="454"/>
      <c r="G388" s="454"/>
      <c r="H388" s="454"/>
      <c r="I388" s="454"/>
      <c r="J388" s="454"/>
      <c r="K388" s="454"/>
      <c r="L388" s="454"/>
      <c r="M388" s="454"/>
      <c r="N388" s="454"/>
      <c r="O388" s="454"/>
      <c r="P388" s="454"/>
      <c r="Q388" s="454"/>
      <c r="R388" s="454"/>
      <c r="S388" s="454"/>
      <c r="T388" s="454"/>
      <c r="U388" s="454"/>
      <c r="V388" s="454"/>
      <c r="W388" s="454"/>
      <c r="X388" s="454"/>
      <c r="Y388" s="454"/>
      <c r="Z388" s="48"/>
      <c r="AA388" s="48"/>
    </row>
    <row r="389" spans="1:67" ht="16.5" customHeight="1" x14ac:dyDescent="0.25">
      <c r="A389" s="421" t="s">
        <v>568</v>
      </c>
      <c r="B389" s="412"/>
      <c r="C389" s="412"/>
      <c r="D389" s="412"/>
      <c r="E389" s="412"/>
      <c r="F389" s="412"/>
      <c r="G389" s="412"/>
      <c r="H389" s="412"/>
      <c r="I389" s="412"/>
      <c r="J389" s="412"/>
      <c r="K389" s="412"/>
      <c r="L389" s="412"/>
      <c r="M389" s="412"/>
      <c r="N389" s="412"/>
      <c r="O389" s="412"/>
      <c r="P389" s="412"/>
      <c r="Q389" s="412"/>
      <c r="R389" s="412"/>
      <c r="S389" s="412"/>
      <c r="T389" s="412"/>
      <c r="U389" s="412"/>
      <c r="V389" s="412"/>
      <c r="W389" s="412"/>
      <c r="X389" s="412"/>
      <c r="Y389" s="412"/>
      <c r="Z389" s="396"/>
      <c r="AA389" s="396"/>
    </row>
    <row r="390" spans="1:67" ht="14.25" customHeight="1" x14ac:dyDescent="0.25">
      <c r="A390" s="411" t="s">
        <v>114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412"/>
      <c r="Z390" s="395"/>
      <c r="AA390" s="395"/>
    </row>
    <row r="391" spans="1:67" ht="27" customHeight="1" x14ac:dyDescent="0.25">
      <c r="A391" s="54" t="s">
        <v>569</v>
      </c>
      <c r="B391" s="54" t="s">
        <v>570</v>
      </c>
      <c r="C391" s="31">
        <v>4301011428</v>
      </c>
      <c r="D391" s="406">
        <v>4607091389708</v>
      </c>
      <c r="E391" s="407"/>
      <c r="F391" s="401">
        <v>0.45</v>
      </c>
      <c r="G391" s="32">
        <v>6</v>
      </c>
      <c r="H391" s="401">
        <v>2.7</v>
      </c>
      <c r="I391" s="401">
        <v>2.9</v>
      </c>
      <c r="J391" s="32">
        <v>156</v>
      </c>
      <c r="K391" s="32" t="s">
        <v>64</v>
      </c>
      <c r="L391" s="33" t="s">
        <v>110</v>
      </c>
      <c r="M391" s="33"/>
      <c r="N391" s="32">
        <v>50</v>
      </c>
      <c r="O391" s="4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09"/>
      <c r="Q391" s="409"/>
      <c r="R391" s="409"/>
      <c r="S391" s="407"/>
      <c r="T391" s="34"/>
      <c r="U391" s="34"/>
      <c r="V391" s="35" t="s">
        <v>66</v>
      </c>
      <c r="W391" s="402">
        <v>0</v>
      </c>
      <c r="X391" s="403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571</v>
      </c>
      <c r="B392" s="54" t="s">
        <v>572</v>
      </c>
      <c r="C392" s="31">
        <v>4301011427</v>
      </c>
      <c r="D392" s="406">
        <v>4607091389692</v>
      </c>
      <c r="E392" s="407"/>
      <c r="F392" s="401">
        <v>0.45</v>
      </c>
      <c r="G392" s="32">
        <v>6</v>
      </c>
      <c r="H392" s="401">
        <v>2.7</v>
      </c>
      <c r="I392" s="401">
        <v>2.9</v>
      </c>
      <c r="J392" s="32">
        <v>156</v>
      </c>
      <c r="K392" s="32" t="s">
        <v>64</v>
      </c>
      <c r="L392" s="33" t="s">
        <v>110</v>
      </c>
      <c r="M392" s="33"/>
      <c r="N392" s="32">
        <v>50</v>
      </c>
      <c r="O392" s="7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09"/>
      <c r="Q392" s="409"/>
      <c r="R392" s="409"/>
      <c r="S392" s="407"/>
      <c r="T392" s="34"/>
      <c r="U392" s="34"/>
      <c r="V392" s="35" t="s">
        <v>66</v>
      </c>
      <c r="W392" s="402">
        <v>0</v>
      </c>
      <c r="X392" s="403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x14ac:dyDescent="0.2">
      <c r="A393" s="414"/>
      <c r="B393" s="412"/>
      <c r="C393" s="412"/>
      <c r="D393" s="412"/>
      <c r="E393" s="412"/>
      <c r="F393" s="412"/>
      <c r="G393" s="412"/>
      <c r="H393" s="412"/>
      <c r="I393" s="412"/>
      <c r="J393" s="412"/>
      <c r="K393" s="412"/>
      <c r="L393" s="412"/>
      <c r="M393" s="412"/>
      <c r="N393" s="415"/>
      <c r="O393" s="432" t="s">
        <v>70</v>
      </c>
      <c r="P393" s="433"/>
      <c r="Q393" s="433"/>
      <c r="R393" s="433"/>
      <c r="S393" s="433"/>
      <c r="T393" s="433"/>
      <c r="U393" s="434"/>
      <c r="V393" s="37" t="s">
        <v>71</v>
      </c>
      <c r="W393" s="404">
        <f>IFERROR(W391/H391,"0")+IFERROR(W392/H392,"0")</f>
        <v>0</v>
      </c>
      <c r="X393" s="404">
        <f>IFERROR(X391/H391,"0")+IFERROR(X392/H392,"0")</f>
        <v>0</v>
      </c>
      <c r="Y393" s="404">
        <f>IFERROR(IF(Y391="",0,Y391),"0")+IFERROR(IF(Y392="",0,Y392),"0")</f>
        <v>0</v>
      </c>
      <c r="Z393" s="405"/>
      <c r="AA393" s="405"/>
    </row>
    <row r="394" spans="1:67" x14ac:dyDescent="0.2">
      <c r="A394" s="412"/>
      <c r="B394" s="412"/>
      <c r="C394" s="412"/>
      <c r="D394" s="412"/>
      <c r="E394" s="412"/>
      <c r="F394" s="412"/>
      <c r="G394" s="412"/>
      <c r="H394" s="412"/>
      <c r="I394" s="412"/>
      <c r="J394" s="412"/>
      <c r="K394" s="412"/>
      <c r="L394" s="412"/>
      <c r="M394" s="412"/>
      <c r="N394" s="415"/>
      <c r="O394" s="432" t="s">
        <v>70</v>
      </c>
      <c r="P394" s="433"/>
      <c r="Q394" s="433"/>
      <c r="R394" s="433"/>
      <c r="S394" s="433"/>
      <c r="T394" s="433"/>
      <c r="U394" s="434"/>
      <c r="V394" s="37" t="s">
        <v>66</v>
      </c>
      <c r="W394" s="404">
        <f>IFERROR(SUM(W391:W392),"0")</f>
        <v>0</v>
      </c>
      <c r="X394" s="404">
        <f>IFERROR(SUM(X391:X392),"0")</f>
        <v>0</v>
      </c>
      <c r="Y394" s="37"/>
      <c r="Z394" s="405"/>
      <c r="AA394" s="405"/>
    </row>
    <row r="395" spans="1:67" ht="14.25" customHeight="1" x14ac:dyDescent="0.25">
      <c r="A395" s="411" t="s">
        <v>61</v>
      </c>
      <c r="B395" s="412"/>
      <c r="C395" s="412"/>
      <c r="D395" s="412"/>
      <c r="E395" s="412"/>
      <c r="F395" s="412"/>
      <c r="G395" s="412"/>
      <c r="H395" s="412"/>
      <c r="I395" s="412"/>
      <c r="J395" s="412"/>
      <c r="K395" s="412"/>
      <c r="L395" s="412"/>
      <c r="M395" s="412"/>
      <c r="N395" s="412"/>
      <c r="O395" s="412"/>
      <c r="P395" s="412"/>
      <c r="Q395" s="412"/>
      <c r="R395" s="412"/>
      <c r="S395" s="412"/>
      <c r="T395" s="412"/>
      <c r="U395" s="412"/>
      <c r="V395" s="412"/>
      <c r="W395" s="412"/>
      <c r="X395" s="412"/>
      <c r="Y395" s="412"/>
      <c r="Z395" s="395"/>
      <c r="AA395" s="395"/>
    </row>
    <row r="396" spans="1:67" ht="27" customHeight="1" x14ac:dyDescent="0.25">
      <c r="A396" s="54" t="s">
        <v>573</v>
      </c>
      <c r="B396" s="54" t="s">
        <v>574</v>
      </c>
      <c r="C396" s="31">
        <v>4301031177</v>
      </c>
      <c r="D396" s="406">
        <v>4607091389753</v>
      </c>
      <c r="E396" s="407"/>
      <c r="F396" s="401">
        <v>0.7</v>
      </c>
      <c r="G396" s="32">
        <v>6</v>
      </c>
      <c r="H396" s="401">
        <v>4.2</v>
      </c>
      <c r="I396" s="401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7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09"/>
      <c r="Q396" s="409"/>
      <c r="R396" s="409"/>
      <c r="S396" s="407"/>
      <c r="T396" s="34"/>
      <c r="U396" s="34"/>
      <c r="V396" s="35" t="s">
        <v>66</v>
      </c>
      <c r="W396" s="402">
        <v>0</v>
      </c>
      <c r="X396" s="403">
        <f t="shared" ref="X396:X420" si="75">IFERROR(IF(W396="",0,CEILING((W396/$H396),1)*$H396),"")</f>
        <v>0</v>
      </c>
      <c r="Y396" s="36" t="str">
        <f t="shared" ref="Y396:Y402" si="76">IFERROR(IF(X396=0,"",ROUNDUP(X396/H396,0)*0.00753),"")</f>
        <v/>
      </c>
      <c r="Z396" s="56"/>
      <c r="AA396" s="57"/>
      <c r="AE396" s="64"/>
      <c r="BB396" s="288" t="s">
        <v>1</v>
      </c>
      <c r="BL396" s="64">
        <f t="shared" ref="BL396:BL420" si="77">IFERROR(W396*I396/H396,"0")</f>
        <v>0</v>
      </c>
      <c r="BM396" s="64">
        <f t="shared" ref="BM396:BM420" si="78">IFERROR(X396*I396/H396,"0")</f>
        <v>0</v>
      </c>
      <c r="BN396" s="64">
        <f t="shared" ref="BN396:BN420" si="79">IFERROR(1/J396*(W396/H396),"0")</f>
        <v>0</v>
      </c>
      <c r="BO396" s="64">
        <f t="shared" ref="BO396:BO420" si="80">IFERROR(1/J396*(X396/H396),"0")</f>
        <v>0</v>
      </c>
    </row>
    <row r="397" spans="1:67" ht="27" customHeight="1" x14ac:dyDescent="0.25">
      <c r="A397" s="54" t="s">
        <v>573</v>
      </c>
      <c r="B397" s="54" t="s">
        <v>575</v>
      </c>
      <c r="C397" s="31">
        <v>4301031322</v>
      </c>
      <c r="D397" s="406">
        <v>4607091389753</v>
      </c>
      <c r="E397" s="407"/>
      <c r="F397" s="401">
        <v>0.7</v>
      </c>
      <c r="G397" s="32">
        <v>6</v>
      </c>
      <c r="H397" s="401">
        <v>4.2</v>
      </c>
      <c r="I397" s="401">
        <v>4.43</v>
      </c>
      <c r="J397" s="32">
        <v>156</v>
      </c>
      <c r="K397" s="32" t="s">
        <v>64</v>
      </c>
      <c r="L397" s="33" t="s">
        <v>65</v>
      </c>
      <c r="M397" s="33"/>
      <c r="N397" s="32">
        <v>50</v>
      </c>
      <c r="O397" s="570" t="s">
        <v>576</v>
      </c>
      <c r="P397" s="409"/>
      <c r="Q397" s="409"/>
      <c r="R397" s="409"/>
      <c r="S397" s="407"/>
      <c r="T397" s="34"/>
      <c r="U397" s="34"/>
      <c r="V397" s="35" t="s">
        <v>66</v>
      </c>
      <c r="W397" s="402">
        <v>0</v>
      </c>
      <c r="X397" s="403">
        <f t="shared" si="75"/>
        <v>0</v>
      </c>
      <c r="Y397" s="36" t="str">
        <f t="shared" si="76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577</v>
      </c>
      <c r="B398" s="54" t="s">
        <v>578</v>
      </c>
      <c r="C398" s="31">
        <v>4301031174</v>
      </c>
      <c r="D398" s="406">
        <v>4607091389760</v>
      </c>
      <c r="E398" s="407"/>
      <c r="F398" s="401">
        <v>0.7</v>
      </c>
      <c r="G398" s="32">
        <v>6</v>
      </c>
      <c r="H398" s="401">
        <v>4.2</v>
      </c>
      <c r="I398" s="401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7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8" s="409"/>
      <c r="Q398" s="409"/>
      <c r="R398" s="409"/>
      <c r="S398" s="407"/>
      <c r="T398" s="34"/>
      <c r="U398" s="34"/>
      <c r="V398" s="35" t="s">
        <v>66</v>
      </c>
      <c r="W398" s="402">
        <v>0</v>
      </c>
      <c r="X398" s="403">
        <f t="shared" si="75"/>
        <v>0</v>
      </c>
      <c r="Y398" s="36" t="str">
        <f t="shared" si="76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577</v>
      </c>
      <c r="B399" s="54" t="s">
        <v>579</v>
      </c>
      <c r="C399" s="31">
        <v>4301031323</v>
      </c>
      <c r="D399" s="406">
        <v>4607091389760</v>
      </c>
      <c r="E399" s="407"/>
      <c r="F399" s="401">
        <v>0.7</v>
      </c>
      <c r="G399" s="32">
        <v>6</v>
      </c>
      <c r="H399" s="401">
        <v>4.2</v>
      </c>
      <c r="I399" s="401">
        <v>4.43</v>
      </c>
      <c r="J399" s="32">
        <v>156</v>
      </c>
      <c r="K399" s="32" t="s">
        <v>64</v>
      </c>
      <c r="L399" s="33" t="s">
        <v>65</v>
      </c>
      <c r="M399" s="33"/>
      <c r="N399" s="32">
        <v>50</v>
      </c>
      <c r="O399" s="747" t="s">
        <v>580</v>
      </c>
      <c r="P399" s="409"/>
      <c r="Q399" s="409"/>
      <c r="R399" s="409"/>
      <c r="S399" s="407"/>
      <c r="T399" s="34"/>
      <c r="U399" s="34"/>
      <c r="V399" s="35" t="s">
        <v>66</v>
      </c>
      <c r="W399" s="402">
        <v>0</v>
      </c>
      <c r="X399" s="403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4301031175</v>
      </c>
      <c r="D400" s="406">
        <v>4607091389746</v>
      </c>
      <c r="E400" s="407"/>
      <c r="F400" s="401">
        <v>0.7</v>
      </c>
      <c r="G400" s="32">
        <v>6</v>
      </c>
      <c r="H400" s="401">
        <v>4.2</v>
      </c>
      <c r="I400" s="401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4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0" s="409"/>
      <c r="Q400" s="409"/>
      <c r="R400" s="409"/>
      <c r="S400" s="407"/>
      <c r="T400" s="34"/>
      <c r="U400" s="34"/>
      <c r="V400" s="35" t="s">
        <v>66</v>
      </c>
      <c r="W400" s="402">
        <v>92</v>
      </c>
      <c r="X400" s="403">
        <f t="shared" si="75"/>
        <v>92.4</v>
      </c>
      <c r="Y400" s="36">
        <f t="shared" si="76"/>
        <v>0.16566</v>
      </c>
      <c r="Z400" s="56"/>
      <c r="AA400" s="57"/>
      <c r="AE400" s="64"/>
      <c r="BB400" s="292" t="s">
        <v>1</v>
      </c>
      <c r="BL400" s="64">
        <f t="shared" si="77"/>
        <v>97.038095238095224</v>
      </c>
      <c r="BM400" s="64">
        <f t="shared" si="78"/>
        <v>97.46</v>
      </c>
      <c r="BN400" s="64">
        <f t="shared" si="79"/>
        <v>0.14041514041514042</v>
      </c>
      <c r="BO400" s="64">
        <f t="shared" si="80"/>
        <v>0.14102564102564102</v>
      </c>
    </row>
    <row r="401" spans="1:67" ht="27" customHeight="1" x14ac:dyDescent="0.25">
      <c r="A401" s="54" t="s">
        <v>581</v>
      </c>
      <c r="B401" s="54" t="s">
        <v>583</v>
      </c>
      <c r="C401" s="31">
        <v>4301031325</v>
      </c>
      <c r="D401" s="406">
        <v>4607091389746</v>
      </c>
      <c r="E401" s="407"/>
      <c r="F401" s="401">
        <v>0.7</v>
      </c>
      <c r="G401" s="32">
        <v>6</v>
      </c>
      <c r="H401" s="401">
        <v>4.2</v>
      </c>
      <c r="I401" s="401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2" t="s">
        <v>584</v>
      </c>
      <c r="P401" s="409"/>
      <c r="Q401" s="409"/>
      <c r="R401" s="409"/>
      <c r="S401" s="407"/>
      <c r="T401" s="34"/>
      <c r="U401" s="34"/>
      <c r="V401" s="35" t="s">
        <v>66</v>
      </c>
      <c r="W401" s="402">
        <v>0</v>
      </c>
      <c r="X401" s="403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4301031236</v>
      </c>
      <c r="D402" s="406">
        <v>4680115882928</v>
      </c>
      <c r="E402" s="407"/>
      <c r="F402" s="401">
        <v>0.28000000000000003</v>
      </c>
      <c r="G402" s="32">
        <v>6</v>
      </c>
      <c r="H402" s="401">
        <v>1.68</v>
      </c>
      <c r="I402" s="401">
        <v>2.6</v>
      </c>
      <c r="J402" s="32">
        <v>156</v>
      </c>
      <c r="K402" s="32" t="s">
        <v>64</v>
      </c>
      <c r="L402" s="33" t="s">
        <v>65</v>
      </c>
      <c r="M402" s="33"/>
      <c r="N402" s="32">
        <v>35</v>
      </c>
      <c r="O402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2" s="409"/>
      <c r="Q402" s="409"/>
      <c r="R402" s="409"/>
      <c r="S402" s="407"/>
      <c r="T402" s="34"/>
      <c r="U402" s="34"/>
      <c r="V402" s="35" t="s">
        <v>66</v>
      </c>
      <c r="W402" s="402">
        <v>0</v>
      </c>
      <c r="X402" s="403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4301031257</v>
      </c>
      <c r="D403" s="406">
        <v>4680115883147</v>
      </c>
      <c r="E403" s="407"/>
      <c r="F403" s="401">
        <v>0.28000000000000003</v>
      </c>
      <c r="G403" s="32">
        <v>6</v>
      </c>
      <c r="H403" s="401">
        <v>1.68</v>
      </c>
      <c r="I403" s="401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3" s="409"/>
      <c r="Q403" s="409"/>
      <c r="R403" s="409"/>
      <c r="S403" s="407"/>
      <c r="T403" s="34"/>
      <c r="U403" s="34"/>
      <c r="V403" s="35" t="s">
        <v>66</v>
      </c>
      <c r="W403" s="402">
        <v>0</v>
      </c>
      <c r="X403" s="403">
        <f t="shared" si="75"/>
        <v>0</v>
      </c>
      <c r="Y403" s="36" t="str">
        <f t="shared" ref="Y403:Y420" si="81">IFERROR(IF(X403=0,"",ROUNDUP(X403/H403,0)*0.00502),"")</f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587</v>
      </c>
      <c r="B404" s="54" t="s">
        <v>589</v>
      </c>
      <c r="C404" s="31">
        <v>4301031335</v>
      </c>
      <c r="D404" s="406">
        <v>4680115883147</v>
      </c>
      <c r="E404" s="407"/>
      <c r="F404" s="401">
        <v>0.28000000000000003</v>
      </c>
      <c r="G404" s="32">
        <v>6</v>
      </c>
      <c r="H404" s="401">
        <v>1.68</v>
      </c>
      <c r="I404" s="401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513" t="s">
        <v>590</v>
      </c>
      <c r="P404" s="409"/>
      <c r="Q404" s="409"/>
      <c r="R404" s="409"/>
      <c r="S404" s="407"/>
      <c r="T404" s="34"/>
      <c r="U404" s="34"/>
      <c r="V404" s="35" t="s">
        <v>66</v>
      </c>
      <c r="W404" s="402">
        <v>0</v>
      </c>
      <c r="X404" s="403">
        <f t="shared" si="75"/>
        <v>0</v>
      </c>
      <c r="Y404" s="36" t="str">
        <f t="shared" si="81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4301031178</v>
      </c>
      <c r="D405" s="406">
        <v>4607091384338</v>
      </c>
      <c r="E405" s="407"/>
      <c r="F405" s="401">
        <v>0.35</v>
      </c>
      <c r="G405" s="32">
        <v>6</v>
      </c>
      <c r="H405" s="401">
        <v>2.1</v>
      </c>
      <c r="I405" s="401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5" s="409"/>
      <c r="Q405" s="409"/>
      <c r="R405" s="409"/>
      <c r="S405" s="407"/>
      <c r="T405" s="34"/>
      <c r="U405" s="34"/>
      <c r="V405" s="35" t="s">
        <v>66</v>
      </c>
      <c r="W405" s="402">
        <v>0</v>
      </c>
      <c r="X405" s="403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591</v>
      </c>
      <c r="B406" s="54" t="s">
        <v>593</v>
      </c>
      <c r="C406" s="31">
        <v>4301031330</v>
      </c>
      <c r="D406" s="406">
        <v>4607091384338</v>
      </c>
      <c r="E406" s="407"/>
      <c r="F406" s="401">
        <v>0.35</v>
      </c>
      <c r="G406" s="32">
        <v>6</v>
      </c>
      <c r="H406" s="401">
        <v>2.1</v>
      </c>
      <c r="I406" s="40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17" t="s">
        <v>594</v>
      </c>
      <c r="P406" s="409"/>
      <c r="Q406" s="409"/>
      <c r="R406" s="409"/>
      <c r="S406" s="407"/>
      <c r="T406" s="34"/>
      <c r="U406" s="34"/>
      <c r="V406" s="35" t="s">
        <v>66</v>
      </c>
      <c r="W406" s="402">
        <v>0</v>
      </c>
      <c r="X406" s="403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37.5" customHeight="1" x14ac:dyDescent="0.25">
      <c r="A407" s="54" t="s">
        <v>595</v>
      </c>
      <c r="B407" s="54" t="s">
        <v>596</v>
      </c>
      <c r="C407" s="31">
        <v>4301031254</v>
      </c>
      <c r="D407" s="406">
        <v>4680115883154</v>
      </c>
      <c r="E407" s="407"/>
      <c r="F407" s="401">
        <v>0.28000000000000003</v>
      </c>
      <c r="G407" s="32">
        <v>6</v>
      </c>
      <c r="H407" s="401">
        <v>1.68</v>
      </c>
      <c r="I407" s="40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7" s="409"/>
      <c r="Q407" s="409"/>
      <c r="R407" s="409"/>
      <c r="S407" s="407"/>
      <c r="T407" s="34"/>
      <c r="U407" s="34"/>
      <c r="V407" s="35" t="s">
        <v>66</v>
      </c>
      <c r="W407" s="402">
        <v>0</v>
      </c>
      <c r="X407" s="403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37.5" customHeight="1" x14ac:dyDescent="0.25">
      <c r="A408" s="54" t="s">
        <v>595</v>
      </c>
      <c r="B408" s="54" t="s">
        <v>597</v>
      </c>
      <c r="C408" s="31">
        <v>4301031336</v>
      </c>
      <c r="D408" s="406">
        <v>4680115883154</v>
      </c>
      <c r="E408" s="407"/>
      <c r="F408" s="401">
        <v>0.28000000000000003</v>
      </c>
      <c r="G408" s="32">
        <v>6</v>
      </c>
      <c r="H408" s="401">
        <v>1.68</v>
      </c>
      <c r="I408" s="401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6" t="s">
        <v>598</v>
      </c>
      <c r="P408" s="409"/>
      <c r="Q408" s="409"/>
      <c r="R408" s="409"/>
      <c r="S408" s="407"/>
      <c r="T408" s="34"/>
      <c r="U408" s="34"/>
      <c r="V408" s="35" t="s">
        <v>66</v>
      </c>
      <c r="W408" s="402">
        <v>0</v>
      </c>
      <c r="X408" s="403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customHeight="1" x14ac:dyDescent="0.25">
      <c r="A409" s="54" t="s">
        <v>599</v>
      </c>
      <c r="B409" s="54" t="s">
        <v>600</v>
      </c>
      <c r="C409" s="31">
        <v>4301031171</v>
      </c>
      <c r="D409" s="406">
        <v>4607091389524</v>
      </c>
      <c r="E409" s="407"/>
      <c r="F409" s="401">
        <v>0.35</v>
      </c>
      <c r="G409" s="32">
        <v>6</v>
      </c>
      <c r="H409" s="401">
        <v>2.1</v>
      </c>
      <c r="I409" s="401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3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9" s="409"/>
      <c r="Q409" s="409"/>
      <c r="R409" s="409"/>
      <c r="S409" s="407"/>
      <c r="T409" s="34"/>
      <c r="U409" s="34"/>
      <c r="V409" s="35" t="s">
        <v>66</v>
      </c>
      <c r="W409" s="402">
        <v>0</v>
      </c>
      <c r="X409" s="403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customHeight="1" x14ac:dyDescent="0.25">
      <c r="A410" s="54" t="s">
        <v>599</v>
      </c>
      <c r="B410" s="54" t="s">
        <v>601</v>
      </c>
      <c r="C410" s="31">
        <v>4301031331</v>
      </c>
      <c r="D410" s="406">
        <v>4607091389524</v>
      </c>
      <c r="E410" s="407"/>
      <c r="F410" s="401">
        <v>0.35</v>
      </c>
      <c r="G410" s="32">
        <v>6</v>
      </c>
      <c r="H410" s="401">
        <v>2.1</v>
      </c>
      <c r="I410" s="401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25" t="s">
        <v>602</v>
      </c>
      <c r="P410" s="409"/>
      <c r="Q410" s="409"/>
      <c r="R410" s="409"/>
      <c r="S410" s="407"/>
      <c r="T410" s="34"/>
      <c r="U410" s="34"/>
      <c r="V410" s="35" t="s">
        <v>66</v>
      </c>
      <c r="W410" s="402">
        <v>0</v>
      </c>
      <c r="X410" s="403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27" customHeight="1" x14ac:dyDescent="0.25">
      <c r="A411" s="54" t="s">
        <v>603</v>
      </c>
      <c r="B411" s="54" t="s">
        <v>604</v>
      </c>
      <c r="C411" s="31">
        <v>4301031258</v>
      </c>
      <c r="D411" s="406">
        <v>4680115883161</v>
      </c>
      <c r="E411" s="407"/>
      <c r="F411" s="401">
        <v>0.28000000000000003</v>
      </c>
      <c r="G411" s="32">
        <v>6</v>
      </c>
      <c r="H411" s="401">
        <v>1.68</v>
      </c>
      <c r="I411" s="401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1" s="409"/>
      <c r="Q411" s="409"/>
      <c r="R411" s="409"/>
      <c r="S411" s="407"/>
      <c r="T411" s="34"/>
      <c r="U411" s="34"/>
      <c r="V411" s="35" t="s">
        <v>66</v>
      </c>
      <c r="W411" s="402">
        <v>0</v>
      </c>
      <c r="X411" s="403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27" customHeight="1" x14ac:dyDescent="0.25">
      <c r="A412" s="54" t="s">
        <v>603</v>
      </c>
      <c r="B412" s="54" t="s">
        <v>605</v>
      </c>
      <c r="C412" s="31">
        <v>4301031337</v>
      </c>
      <c r="D412" s="406">
        <v>4680115883161</v>
      </c>
      <c r="E412" s="407"/>
      <c r="F412" s="401">
        <v>0.28000000000000003</v>
      </c>
      <c r="G412" s="32">
        <v>6</v>
      </c>
      <c r="H412" s="401">
        <v>1.68</v>
      </c>
      <c r="I412" s="401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2" t="s">
        <v>606</v>
      </c>
      <c r="P412" s="409"/>
      <c r="Q412" s="409"/>
      <c r="R412" s="409"/>
      <c r="S412" s="407"/>
      <c r="T412" s="34"/>
      <c r="U412" s="34"/>
      <c r="V412" s="35" t="s">
        <v>66</v>
      </c>
      <c r="W412" s="402">
        <v>0</v>
      </c>
      <c r="X412" s="403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customHeight="1" x14ac:dyDescent="0.25">
      <c r="A413" s="54" t="s">
        <v>607</v>
      </c>
      <c r="B413" s="54" t="s">
        <v>608</v>
      </c>
      <c r="C413" s="31">
        <v>4301031170</v>
      </c>
      <c r="D413" s="406">
        <v>4607091384345</v>
      </c>
      <c r="E413" s="407"/>
      <c r="F413" s="401">
        <v>0.35</v>
      </c>
      <c r="G413" s="32">
        <v>6</v>
      </c>
      <c r="H413" s="401">
        <v>2.1</v>
      </c>
      <c r="I413" s="401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5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3" s="409"/>
      <c r="Q413" s="409"/>
      <c r="R413" s="409"/>
      <c r="S413" s="407"/>
      <c r="T413" s="34"/>
      <c r="U413" s="34"/>
      <c r="V413" s="35" t="s">
        <v>66</v>
      </c>
      <c r="W413" s="402">
        <v>0</v>
      </c>
      <c r="X413" s="403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customHeight="1" x14ac:dyDescent="0.25">
      <c r="A414" s="54" t="s">
        <v>607</v>
      </c>
      <c r="B414" s="54" t="s">
        <v>609</v>
      </c>
      <c r="C414" s="31">
        <v>4301031332</v>
      </c>
      <c r="D414" s="406">
        <v>4607091384345</v>
      </c>
      <c r="E414" s="407"/>
      <c r="F414" s="401">
        <v>0.35</v>
      </c>
      <c r="G414" s="32">
        <v>6</v>
      </c>
      <c r="H414" s="401">
        <v>2.1</v>
      </c>
      <c r="I414" s="401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18" t="s">
        <v>610</v>
      </c>
      <c r="P414" s="409"/>
      <c r="Q414" s="409"/>
      <c r="R414" s="409"/>
      <c r="S414" s="407"/>
      <c r="T414" s="34"/>
      <c r="U414" s="34"/>
      <c r="V414" s="35" t="s">
        <v>66</v>
      </c>
      <c r="W414" s="402">
        <v>0</v>
      </c>
      <c r="X414" s="403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611</v>
      </c>
      <c r="B415" s="54" t="s">
        <v>612</v>
      </c>
      <c r="C415" s="31">
        <v>4301031256</v>
      </c>
      <c r="D415" s="406">
        <v>4680115883178</v>
      </c>
      <c r="E415" s="407"/>
      <c r="F415" s="401">
        <v>0.28000000000000003</v>
      </c>
      <c r="G415" s="32">
        <v>6</v>
      </c>
      <c r="H415" s="401">
        <v>1.68</v>
      </c>
      <c r="I415" s="401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1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5" s="409"/>
      <c r="Q415" s="409"/>
      <c r="R415" s="409"/>
      <c r="S415" s="407"/>
      <c r="T415" s="34"/>
      <c r="U415" s="34"/>
      <c r="V415" s="35" t="s">
        <v>66</v>
      </c>
      <c r="W415" s="402">
        <v>0</v>
      </c>
      <c r="X415" s="403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611</v>
      </c>
      <c r="B416" s="54" t="s">
        <v>613</v>
      </c>
      <c r="C416" s="31">
        <v>4301031328</v>
      </c>
      <c r="D416" s="406">
        <v>4680115883178</v>
      </c>
      <c r="E416" s="407"/>
      <c r="F416" s="401">
        <v>0.28000000000000003</v>
      </c>
      <c r="G416" s="32">
        <v>6</v>
      </c>
      <c r="H416" s="401">
        <v>1.68</v>
      </c>
      <c r="I416" s="401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88" t="s">
        <v>614</v>
      </c>
      <c r="P416" s="409"/>
      <c r="Q416" s="409"/>
      <c r="R416" s="409"/>
      <c r="S416" s="407"/>
      <c r="T416" s="34"/>
      <c r="U416" s="34"/>
      <c r="V416" s="35" t="s">
        <v>66</v>
      </c>
      <c r="W416" s="402">
        <v>0</v>
      </c>
      <c r="X416" s="403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615</v>
      </c>
      <c r="B417" s="54" t="s">
        <v>616</v>
      </c>
      <c r="C417" s="31">
        <v>4301031172</v>
      </c>
      <c r="D417" s="406">
        <v>4607091389531</v>
      </c>
      <c r="E417" s="407"/>
      <c r="F417" s="401">
        <v>0.35</v>
      </c>
      <c r="G417" s="32">
        <v>6</v>
      </c>
      <c r="H417" s="401">
        <v>2.1</v>
      </c>
      <c r="I417" s="401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7" s="409"/>
      <c r="Q417" s="409"/>
      <c r="R417" s="409"/>
      <c r="S417" s="407"/>
      <c r="T417" s="34"/>
      <c r="U417" s="34"/>
      <c r="V417" s="35" t="s">
        <v>66</v>
      </c>
      <c r="W417" s="402">
        <v>0</v>
      </c>
      <c r="X417" s="403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615</v>
      </c>
      <c r="B418" s="54" t="s">
        <v>617</v>
      </c>
      <c r="C418" s="31">
        <v>4301031333</v>
      </c>
      <c r="D418" s="406">
        <v>4607091389531</v>
      </c>
      <c r="E418" s="407"/>
      <c r="F418" s="401">
        <v>0.35</v>
      </c>
      <c r="G418" s="32">
        <v>6</v>
      </c>
      <c r="H418" s="401">
        <v>2.1</v>
      </c>
      <c r="I418" s="401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796" t="s">
        <v>618</v>
      </c>
      <c r="P418" s="409"/>
      <c r="Q418" s="409"/>
      <c r="R418" s="409"/>
      <c r="S418" s="407"/>
      <c r="T418" s="34"/>
      <c r="U418" s="34"/>
      <c r="V418" s="35" t="s">
        <v>66</v>
      </c>
      <c r="W418" s="402">
        <v>0</v>
      </c>
      <c r="X418" s="403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619</v>
      </c>
      <c r="B419" s="54" t="s">
        <v>620</v>
      </c>
      <c r="C419" s="31">
        <v>4301031255</v>
      </c>
      <c r="D419" s="406">
        <v>4680115883185</v>
      </c>
      <c r="E419" s="407"/>
      <c r="F419" s="401">
        <v>0.28000000000000003</v>
      </c>
      <c r="G419" s="32">
        <v>6</v>
      </c>
      <c r="H419" s="401">
        <v>1.68</v>
      </c>
      <c r="I419" s="401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6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9" s="409"/>
      <c r="Q419" s="409"/>
      <c r="R419" s="409"/>
      <c r="S419" s="407"/>
      <c r="T419" s="34"/>
      <c r="U419" s="34"/>
      <c r="V419" s="35" t="s">
        <v>66</v>
      </c>
      <c r="W419" s="402">
        <v>0</v>
      </c>
      <c r="X419" s="403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619</v>
      </c>
      <c r="B420" s="54" t="s">
        <v>621</v>
      </c>
      <c r="C420" s="31">
        <v>4301031338</v>
      </c>
      <c r="D420" s="406">
        <v>4680115883185</v>
      </c>
      <c r="E420" s="407"/>
      <c r="F420" s="401">
        <v>0.28000000000000003</v>
      </c>
      <c r="G420" s="32">
        <v>6</v>
      </c>
      <c r="H420" s="401">
        <v>1.68</v>
      </c>
      <c r="I420" s="401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01" t="s">
        <v>622</v>
      </c>
      <c r="P420" s="409"/>
      <c r="Q420" s="409"/>
      <c r="R420" s="409"/>
      <c r="S420" s="407"/>
      <c r="T420" s="34"/>
      <c r="U420" s="34"/>
      <c r="V420" s="35" t="s">
        <v>66</v>
      </c>
      <c r="W420" s="402">
        <v>0</v>
      </c>
      <c r="X420" s="403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x14ac:dyDescent="0.2">
      <c r="A421" s="414"/>
      <c r="B421" s="412"/>
      <c r="C421" s="412"/>
      <c r="D421" s="412"/>
      <c r="E421" s="412"/>
      <c r="F421" s="412"/>
      <c r="G421" s="412"/>
      <c r="H421" s="412"/>
      <c r="I421" s="412"/>
      <c r="J421" s="412"/>
      <c r="K421" s="412"/>
      <c r="L421" s="412"/>
      <c r="M421" s="412"/>
      <c r="N421" s="415"/>
      <c r="O421" s="432" t="s">
        <v>70</v>
      </c>
      <c r="P421" s="433"/>
      <c r="Q421" s="433"/>
      <c r="R421" s="433"/>
      <c r="S421" s="433"/>
      <c r="T421" s="433"/>
      <c r="U421" s="434"/>
      <c r="V421" s="37" t="s">
        <v>71</v>
      </c>
      <c r="W421" s="404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</f>
        <v>21.904761904761905</v>
      </c>
      <c r="X421" s="404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</f>
        <v>22</v>
      </c>
      <c r="Y421" s="404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</f>
        <v>0.16566</v>
      </c>
      <c r="Z421" s="405"/>
      <c r="AA421" s="405"/>
    </row>
    <row r="422" spans="1:67" x14ac:dyDescent="0.2">
      <c r="A422" s="412"/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5"/>
      <c r="O422" s="432" t="s">
        <v>70</v>
      </c>
      <c r="P422" s="433"/>
      <c r="Q422" s="433"/>
      <c r="R422" s="433"/>
      <c r="S422" s="433"/>
      <c r="T422" s="433"/>
      <c r="U422" s="434"/>
      <c r="V422" s="37" t="s">
        <v>66</v>
      </c>
      <c r="W422" s="404">
        <f>IFERROR(SUM(W396:W420),"0")</f>
        <v>92</v>
      </c>
      <c r="X422" s="404">
        <f>IFERROR(SUM(X396:X420),"0")</f>
        <v>92.4</v>
      </c>
      <c r="Y422" s="37"/>
      <c r="Z422" s="405"/>
      <c r="AA422" s="405"/>
    </row>
    <row r="423" spans="1:67" ht="14.25" customHeight="1" x14ac:dyDescent="0.25">
      <c r="A423" s="411" t="s">
        <v>72</v>
      </c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12"/>
      <c r="O423" s="412"/>
      <c r="P423" s="412"/>
      <c r="Q423" s="412"/>
      <c r="R423" s="412"/>
      <c r="S423" s="412"/>
      <c r="T423" s="412"/>
      <c r="U423" s="412"/>
      <c r="V423" s="412"/>
      <c r="W423" s="412"/>
      <c r="X423" s="412"/>
      <c r="Y423" s="412"/>
      <c r="Z423" s="395"/>
      <c r="AA423" s="395"/>
    </row>
    <row r="424" spans="1:67" ht="27" customHeight="1" x14ac:dyDescent="0.25">
      <c r="A424" s="54" t="s">
        <v>623</v>
      </c>
      <c r="B424" s="54" t="s">
        <v>624</v>
      </c>
      <c r="C424" s="31">
        <v>4301051258</v>
      </c>
      <c r="D424" s="406">
        <v>4607091389685</v>
      </c>
      <c r="E424" s="407"/>
      <c r="F424" s="401">
        <v>1.3</v>
      </c>
      <c r="G424" s="32">
        <v>6</v>
      </c>
      <c r="H424" s="401">
        <v>7.8</v>
      </c>
      <c r="I424" s="401">
        <v>8.3460000000000001</v>
      </c>
      <c r="J424" s="32">
        <v>56</v>
      </c>
      <c r="K424" s="32" t="s">
        <v>109</v>
      </c>
      <c r="L424" s="33" t="s">
        <v>129</v>
      </c>
      <c r="M424" s="33"/>
      <c r="N424" s="32">
        <v>45</v>
      </c>
      <c r="O424" s="6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4" s="409"/>
      <c r="Q424" s="409"/>
      <c r="R424" s="409"/>
      <c r="S424" s="407"/>
      <c r="T424" s="34"/>
      <c r="U424" s="34"/>
      <c r="V424" s="35" t="s">
        <v>66</v>
      </c>
      <c r="W424" s="402">
        <v>0</v>
      </c>
      <c r="X424" s="403">
        <f>IFERROR(IF(W424="",0,CEILING((W424/$H424),1)*$H424),"")</f>
        <v>0</v>
      </c>
      <c r="Y424" s="36" t="str">
        <f>IFERROR(IF(X424=0,"",ROUNDUP(X424/H424,0)*0.02175),"")</f>
        <v/>
      </c>
      <c r="Z424" s="56"/>
      <c r="AA424" s="57"/>
      <c r="AE424" s="64"/>
      <c r="BB424" s="31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customHeight="1" x14ac:dyDescent="0.25">
      <c r="A425" s="54" t="s">
        <v>625</v>
      </c>
      <c r="B425" s="54" t="s">
        <v>626</v>
      </c>
      <c r="C425" s="31">
        <v>4301051431</v>
      </c>
      <c r="D425" s="406">
        <v>4607091389654</v>
      </c>
      <c r="E425" s="407"/>
      <c r="F425" s="401">
        <v>0.33</v>
      </c>
      <c r="G425" s="32">
        <v>6</v>
      </c>
      <c r="H425" s="401">
        <v>1.98</v>
      </c>
      <c r="I425" s="401">
        <v>2.258</v>
      </c>
      <c r="J425" s="32">
        <v>156</v>
      </c>
      <c r="K425" s="32" t="s">
        <v>64</v>
      </c>
      <c r="L425" s="33" t="s">
        <v>129</v>
      </c>
      <c r="M425" s="33"/>
      <c r="N425" s="32">
        <v>45</v>
      </c>
      <c r="O425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5" s="409"/>
      <c r="Q425" s="409"/>
      <c r="R425" s="409"/>
      <c r="S425" s="407"/>
      <c r="T425" s="34"/>
      <c r="U425" s="34"/>
      <c r="V425" s="35" t="s">
        <v>66</v>
      </c>
      <c r="W425" s="402">
        <v>0</v>
      </c>
      <c r="X425" s="403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customHeight="1" x14ac:dyDescent="0.25">
      <c r="A426" s="54" t="s">
        <v>627</v>
      </c>
      <c r="B426" s="54" t="s">
        <v>628</v>
      </c>
      <c r="C426" s="31">
        <v>4301051284</v>
      </c>
      <c r="D426" s="406">
        <v>4607091384352</v>
      </c>
      <c r="E426" s="407"/>
      <c r="F426" s="401">
        <v>0.6</v>
      </c>
      <c r="G426" s="32">
        <v>4</v>
      </c>
      <c r="H426" s="401">
        <v>2.4</v>
      </c>
      <c r="I426" s="401">
        <v>2.6459999999999999</v>
      </c>
      <c r="J426" s="32">
        <v>120</v>
      </c>
      <c r="K426" s="32" t="s">
        <v>64</v>
      </c>
      <c r="L426" s="33" t="s">
        <v>129</v>
      </c>
      <c r="M426" s="33"/>
      <c r="N426" s="32">
        <v>45</v>
      </c>
      <c r="O426" s="4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6" s="409"/>
      <c r="Q426" s="409"/>
      <c r="R426" s="409"/>
      <c r="S426" s="407"/>
      <c r="T426" s="34"/>
      <c r="U426" s="34"/>
      <c r="V426" s="35" t="s">
        <v>66</v>
      </c>
      <c r="W426" s="402">
        <v>0</v>
      </c>
      <c r="X426" s="403">
        <f>IFERROR(IF(W426="",0,CEILING((W426/$H426),1)*$H426),"")</f>
        <v>0</v>
      </c>
      <c r="Y426" s="36" t="str">
        <f>IFERROR(IF(X426=0,"",ROUNDUP(X426/H426,0)*0.00937),"")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x14ac:dyDescent="0.2">
      <c r="A427" s="414"/>
      <c r="B427" s="412"/>
      <c r="C427" s="412"/>
      <c r="D427" s="412"/>
      <c r="E427" s="412"/>
      <c r="F427" s="412"/>
      <c r="G427" s="412"/>
      <c r="H427" s="412"/>
      <c r="I427" s="412"/>
      <c r="J427" s="412"/>
      <c r="K427" s="412"/>
      <c r="L427" s="412"/>
      <c r="M427" s="412"/>
      <c r="N427" s="415"/>
      <c r="O427" s="432" t="s">
        <v>70</v>
      </c>
      <c r="P427" s="433"/>
      <c r="Q427" s="433"/>
      <c r="R427" s="433"/>
      <c r="S427" s="433"/>
      <c r="T427" s="433"/>
      <c r="U427" s="434"/>
      <c r="V427" s="37" t="s">
        <v>71</v>
      </c>
      <c r="W427" s="404">
        <f>IFERROR(W424/H424,"0")+IFERROR(W425/H425,"0")+IFERROR(W426/H426,"0")</f>
        <v>0</v>
      </c>
      <c r="X427" s="404">
        <f>IFERROR(X424/H424,"0")+IFERROR(X425/H425,"0")+IFERROR(X426/H426,"0")</f>
        <v>0</v>
      </c>
      <c r="Y427" s="404">
        <f>IFERROR(IF(Y424="",0,Y424),"0")+IFERROR(IF(Y425="",0,Y425),"0")+IFERROR(IF(Y426="",0,Y426),"0")</f>
        <v>0</v>
      </c>
      <c r="Z427" s="405"/>
      <c r="AA427" s="405"/>
    </row>
    <row r="428" spans="1:67" x14ac:dyDescent="0.2">
      <c r="A428" s="412"/>
      <c r="B428" s="412"/>
      <c r="C428" s="412"/>
      <c r="D428" s="412"/>
      <c r="E428" s="412"/>
      <c r="F428" s="412"/>
      <c r="G428" s="412"/>
      <c r="H428" s="412"/>
      <c r="I428" s="412"/>
      <c r="J428" s="412"/>
      <c r="K428" s="412"/>
      <c r="L428" s="412"/>
      <c r="M428" s="412"/>
      <c r="N428" s="415"/>
      <c r="O428" s="432" t="s">
        <v>70</v>
      </c>
      <c r="P428" s="433"/>
      <c r="Q428" s="433"/>
      <c r="R428" s="433"/>
      <c r="S428" s="433"/>
      <c r="T428" s="433"/>
      <c r="U428" s="434"/>
      <c r="V428" s="37" t="s">
        <v>66</v>
      </c>
      <c r="W428" s="404">
        <f>IFERROR(SUM(W424:W426),"0")</f>
        <v>0</v>
      </c>
      <c r="X428" s="404">
        <f>IFERROR(SUM(X424:X426),"0")</f>
        <v>0</v>
      </c>
      <c r="Y428" s="37"/>
      <c r="Z428" s="405"/>
      <c r="AA428" s="405"/>
    </row>
    <row r="429" spans="1:67" ht="14.25" customHeight="1" x14ac:dyDescent="0.25">
      <c r="A429" s="411" t="s">
        <v>217</v>
      </c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  <c r="U429" s="412"/>
      <c r="V429" s="412"/>
      <c r="W429" s="412"/>
      <c r="X429" s="412"/>
      <c r="Y429" s="412"/>
      <c r="Z429" s="395"/>
      <c r="AA429" s="395"/>
    </row>
    <row r="430" spans="1:67" ht="27" customHeight="1" x14ac:dyDescent="0.25">
      <c r="A430" s="54" t="s">
        <v>629</v>
      </c>
      <c r="B430" s="54" t="s">
        <v>630</v>
      </c>
      <c r="C430" s="31">
        <v>4301060352</v>
      </c>
      <c r="D430" s="406">
        <v>4680115881648</v>
      </c>
      <c r="E430" s="407"/>
      <c r="F430" s="401">
        <v>1</v>
      </c>
      <c r="G430" s="32">
        <v>4</v>
      </c>
      <c r="H430" s="401">
        <v>4</v>
      </c>
      <c r="I430" s="401">
        <v>4.4039999999999999</v>
      </c>
      <c r="J430" s="32">
        <v>104</v>
      </c>
      <c r="K430" s="32" t="s">
        <v>109</v>
      </c>
      <c r="L430" s="33" t="s">
        <v>65</v>
      </c>
      <c r="M430" s="33"/>
      <c r="N430" s="32">
        <v>35</v>
      </c>
      <c r="O430" s="7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0" s="409"/>
      <c r="Q430" s="409"/>
      <c r="R430" s="409"/>
      <c r="S430" s="407"/>
      <c r="T430" s="34"/>
      <c r="U430" s="34"/>
      <c r="V430" s="35" t="s">
        <v>66</v>
      </c>
      <c r="W430" s="402">
        <v>0</v>
      </c>
      <c r="X430" s="403">
        <f>IFERROR(IF(W430="",0,CEILING((W430/$H430),1)*$H430),"")</f>
        <v>0</v>
      </c>
      <c r="Y430" s="36" t="str">
        <f>IFERROR(IF(X430=0,"",ROUNDUP(X430/H430,0)*0.01196),"")</f>
        <v/>
      </c>
      <c r="Z430" s="56"/>
      <c r="AA430" s="57"/>
      <c r="AE430" s="64"/>
      <c r="BB430" s="316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x14ac:dyDescent="0.2">
      <c r="A431" s="414"/>
      <c r="B431" s="412"/>
      <c r="C431" s="412"/>
      <c r="D431" s="412"/>
      <c r="E431" s="412"/>
      <c r="F431" s="412"/>
      <c r="G431" s="412"/>
      <c r="H431" s="412"/>
      <c r="I431" s="412"/>
      <c r="J431" s="412"/>
      <c r="K431" s="412"/>
      <c r="L431" s="412"/>
      <c r="M431" s="412"/>
      <c r="N431" s="415"/>
      <c r="O431" s="432" t="s">
        <v>70</v>
      </c>
      <c r="P431" s="433"/>
      <c r="Q431" s="433"/>
      <c r="R431" s="433"/>
      <c r="S431" s="433"/>
      <c r="T431" s="433"/>
      <c r="U431" s="434"/>
      <c r="V431" s="37" t="s">
        <v>71</v>
      </c>
      <c r="W431" s="404">
        <f>IFERROR(W430/H430,"0")</f>
        <v>0</v>
      </c>
      <c r="X431" s="404">
        <f>IFERROR(X430/H430,"0")</f>
        <v>0</v>
      </c>
      <c r="Y431" s="404">
        <f>IFERROR(IF(Y430="",0,Y430),"0")</f>
        <v>0</v>
      </c>
      <c r="Z431" s="405"/>
      <c r="AA431" s="405"/>
    </row>
    <row r="432" spans="1:67" x14ac:dyDescent="0.2">
      <c r="A432" s="412"/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5"/>
      <c r="O432" s="432" t="s">
        <v>70</v>
      </c>
      <c r="P432" s="433"/>
      <c r="Q432" s="433"/>
      <c r="R432" s="433"/>
      <c r="S432" s="433"/>
      <c r="T432" s="433"/>
      <c r="U432" s="434"/>
      <c r="V432" s="37" t="s">
        <v>66</v>
      </c>
      <c r="W432" s="404">
        <f>IFERROR(SUM(W430:W430),"0")</f>
        <v>0</v>
      </c>
      <c r="X432" s="404">
        <f>IFERROR(SUM(X430:X430),"0")</f>
        <v>0</v>
      </c>
      <c r="Y432" s="37"/>
      <c r="Z432" s="405"/>
      <c r="AA432" s="405"/>
    </row>
    <row r="433" spans="1:67" ht="14.25" customHeight="1" x14ac:dyDescent="0.25">
      <c r="A433" s="411" t="s">
        <v>92</v>
      </c>
      <c r="B433" s="412"/>
      <c r="C433" s="412"/>
      <c r="D433" s="412"/>
      <c r="E433" s="412"/>
      <c r="F433" s="412"/>
      <c r="G433" s="412"/>
      <c r="H433" s="412"/>
      <c r="I433" s="412"/>
      <c r="J433" s="412"/>
      <c r="K433" s="412"/>
      <c r="L433" s="412"/>
      <c r="M433" s="412"/>
      <c r="N433" s="412"/>
      <c r="O433" s="412"/>
      <c r="P433" s="412"/>
      <c r="Q433" s="412"/>
      <c r="R433" s="412"/>
      <c r="S433" s="412"/>
      <c r="T433" s="412"/>
      <c r="U433" s="412"/>
      <c r="V433" s="412"/>
      <c r="W433" s="412"/>
      <c r="X433" s="412"/>
      <c r="Y433" s="412"/>
      <c r="Z433" s="395"/>
      <c r="AA433" s="395"/>
    </row>
    <row r="434" spans="1:67" ht="27" customHeight="1" x14ac:dyDescent="0.25">
      <c r="A434" s="54" t="s">
        <v>631</v>
      </c>
      <c r="B434" s="54" t="s">
        <v>632</v>
      </c>
      <c r="C434" s="31">
        <v>4301032045</v>
      </c>
      <c r="D434" s="406">
        <v>4680115884335</v>
      </c>
      <c r="E434" s="407"/>
      <c r="F434" s="401">
        <v>0.06</v>
      </c>
      <c r="G434" s="32">
        <v>20</v>
      </c>
      <c r="H434" s="401">
        <v>1.2</v>
      </c>
      <c r="I434" s="401">
        <v>1.8</v>
      </c>
      <c r="J434" s="32">
        <v>200</v>
      </c>
      <c r="K434" s="32" t="s">
        <v>633</v>
      </c>
      <c r="L434" s="33" t="s">
        <v>634</v>
      </c>
      <c r="M434" s="33"/>
      <c r="N434" s="32">
        <v>60</v>
      </c>
      <c r="O434" s="4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4" s="409"/>
      <c r="Q434" s="409"/>
      <c r="R434" s="409"/>
      <c r="S434" s="407"/>
      <c r="T434" s="34"/>
      <c r="U434" s="34"/>
      <c r="V434" s="35" t="s">
        <v>66</v>
      </c>
      <c r="W434" s="402">
        <v>0</v>
      </c>
      <c r="X434" s="403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17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635</v>
      </c>
      <c r="B435" s="54" t="s">
        <v>636</v>
      </c>
      <c r="C435" s="31">
        <v>4301032047</v>
      </c>
      <c r="D435" s="406">
        <v>4680115884342</v>
      </c>
      <c r="E435" s="407"/>
      <c r="F435" s="401">
        <v>0.06</v>
      </c>
      <c r="G435" s="32">
        <v>20</v>
      </c>
      <c r="H435" s="401">
        <v>1.2</v>
      </c>
      <c r="I435" s="401">
        <v>1.8</v>
      </c>
      <c r="J435" s="32">
        <v>200</v>
      </c>
      <c r="K435" s="32" t="s">
        <v>633</v>
      </c>
      <c r="L435" s="33" t="s">
        <v>634</v>
      </c>
      <c r="M435" s="33"/>
      <c r="N435" s="32">
        <v>60</v>
      </c>
      <c r="O435" s="8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5" s="409"/>
      <c r="Q435" s="409"/>
      <c r="R435" s="409"/>
      <c r="S435" s="407"/>
      <c r="T435" s="34"/>
      <c r="U435" s="34"/>
      <c r="V435" s="35" t="s">
        <v>66</v>
      </c>
      <c r="W435" s="402">
        <v>0</v>
      </c>
      <c r="X435" s="403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18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t="27" customHeight="1" x14ac:dyDescent="0.25">
      <c r="A436" s="54" t="s">
        <v>637</v>
      </c>
      <c r="B436" s="54" t="s">
        <v>638</v>
      </c>
      <c r="C436" s="31">
        <v>4301170011</v>
      </c>
      <c r="D436" s="406">
        <v>4680115884113</v>
      </c>
      <c r="E436" s="407"/>
      <c r="F436" s="401">
        <v>0.11</v>
      </c>
      <c r="G436" s="32">
        <v>12</v>
      </c>
      <c r="H436" s="401">
        <v>1.32</v>
      </c>
      <c r="I436" s="401">
        <v>1.88</v>
      </c>
      <c r="J436" s="32">
        <v>200</v>
      </c>
      <c r="K436" s="32" t="s">
        <v>633</v>
      </c>
      <c r="L436" s="33" t="s">
        <v>634</v>
      </c>
      <c r="M436" s="33"/>
      <c r="N436" s="32">
        <v>150</v>
      </c>
      <c r="O436" s="4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6" s="409"/>
      <c r="Q436" s="409"/>
      <c r="R436" s="409"/>
      <c r="S436" s="407"/>
      <c r="T436" s="34"/>
      <c r="U436" s="34"/>
      <c r="V436" s="35" t="s">
        <v>66</v>
      </c>
      <c r="W436" s="402">
        <v>0</v>
      </c>
      <c r="X436" s="40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x14ac:dyDescent="0.2">
      <c r="A437" s="414"/>
      <c r="B437" s="412"/>
      <c r="C437" s="412"/>
      <c r="D437" s="412"/>
      <c r="E437" s="412"/>
      <c r="F437" s="412"/>
      <c r="G437" s="412"/>
      <c r="H437" s="412"/>
      <c r="I437" s="412"/>
      <c r="J437" s="412"/>
      <c r="K437" s="412"/>
      <c r="L437" s="412"/>
      <c r="M437" s="412"/>
      <c r="N437" s="415"/>
      <c r="O437" s="432" t="s">
        <v>70</v>
      </c>
      <c r="P437" s="433"/>
      <c r="Q437" s="433"/>
      <c r="R437" s="433"/>
      <c r="S437" s="433"/>
      <c r="T437" s="433"/>
      <c r="U437" s="434"/>
      <c r="V437" s="37" t="s">
        <v>71</v>
      </c>
      <c r="W437" s="404">
        <f>IFERROR(W434/H434,"0")+IFERROR(W435/H435,"0")+IFERROR(W436/H436,"0")</f>
        <v>0</v>
      </c>
      <c r="X437" s="404">
        <f>IFERROR(X434/H434,"0")+IFERROR(X435/H435,"0")+IFERROR(X436/H436,"0")</f>
        <v>0</v>
      </c>
      <c r="Y437" s="404">
        <f>IFERROR(IF(Y434="",0,Y434),"0")+IFERROR(IF(Y435="",0,Y435),"0")+IFERROR(IF(Y436="",0,Y436),"0")</f>
        <v>0</v>
      </c>
      <c r="Z437" s="405"/>
      <c r="AA437" s="405"/>
    </row>
    <row r="438" spans="1:67" x14ac:dyDescent="0.2">
      <c r="A438" s="412"/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15"/>
      <c r="O438" s="432" t="s">
        <v>70</v>
      </c>
      <c r="P438" s="433"/>
      <c r="Q438" s="433"/>
      <c r="R438" s="433"/>
      <c r="S438" s="433"/>
      <c r="T438" s="433"/>
      <c r="U438" s="434"/>
      <c r="V438" s="37" t="s">
        <v>66</v>
      </c>
      <c r="W438" s="404">
        <f>IFERROR(SUM(W434:W436),"0")</f>
        <v>0</v>
      </c>
      <c r="X438" s="404">
        <f>IFERROR(SUM(X434:X436),"0")</f>
        <v>0</v>
      </c>
      <c r="Y438" s="37"/>
      <c r="Z438" s="405"/>
      <c r="AA438" s="405"/>
    </row>
    <row r="439" spans="1:67" ht="16.5" customHeight="1" x14ac:dyDescent="0.25">
      <c r="A439" s="421" t="s">
        <v>639</v>
      </c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2"/>
      <c r="O439" s="412"/>
      <c r="P439" s="412"/>
      <c r="Q439" s="412"/>
      <c r="R439" s="412"/>
      <c r="S439" s="412"/>
      <c r="T439" s="412"/>
      <c r="U439" s="412"/>
      <c r="V439" s="412"/>
      <c r="W439" s="412"/>
      <c r="X439" s="412"/>
      <c r="Y439" s="412"/>
      <c r="Z439" s="396"/>
      <c r="AA439" s="396"/>
    </row>
    <row r="440" spans="1:67" ht="14.25" customHeight="1" x14ac:dyDescent="0.25">
      <c r="A440" s="411" t="s">
        <v>106</v>
      </c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412"/>
      <c r="S440" s="412"/>
      <c r="T440" s="412"/>
      <c r="U440" s="412"/>
      <c r="V440" s="412"/>
      <c r="W440" s="412"/>
      <c r="X440" s="412"/>
      <c r="Y440" s="412"/>
      <c r="Z440" s="395"/>
      <c r="AA440" s="395"/>
    </row>
    <row r="441" spans="1:67" ht="27" customHeight="1" x14ac:dyDescent="0.25">
      <c r="A441" s="54" t="s">
        <v>640</v>
      </c>
      <c r="B441" s="54" t="s">
        <v>641</v>
      </c>
      <c r="C441" s="31">
        <v>4301020214</v>
      </c>
      <c r="D441" s="406">
        <v>4607091389388</v>
      </c>
      <c r="E441" s="407"/>
      <c r="F441" s="401">
        <v>1.3</v>
      </c>
      <c r="G441" s="32">
        <v>4</v>
      </c>
      <c r="H441" s="401">
        <v>5.2</v>
      </c>
      <c r="I441" s="401">
        <v>5.6079999999999997</v>
      </c>
      <c r="J441" s="32">
        <v>104</v>
      </c>
      <c r="K441" s="32" t="s">
        <v>109</v>
      </c>
      <c r="L441" s="33" t="s">
        <v>110</v>
      </c>
      <c r="M441" s="33"/>
      <c r="N441" s="32">
        <v>35</v>
      </c>
      <c r="O441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1" s="409"/>
      <c r="Q441" s="409"/>
      <c r="R441" s="409"/>
      <c r="S441" s="407"/>
      <c r="T441" s="34"/>
      <c r="U441" s="34"/>
      <c r="V441" s="35" t="s">
        <v>66</v>
      </c>
      <c r="W441" s="402">
        <v>0</v>
      </c>
      <c r="X441" s="403">
        <f>IFERROR(IF(W441="",0,CEILING((W441/$H441),1)*$H441),"")</f>
        <v>0</v>
      </c>
      <c r="Y441" s="36" t="str">
        <f>IFERROR(IF(X441=0,"",ROUNDUP(X441/H441,0)*0.01196),"")</f>
        <v/>
      </c>
      <c r="Z441" s="56"/>
      <c r="AA441" s="57"/>
      <c r="AE441" s="64"/>
      <c r="BB441" s="320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customHeight="1" x14ac:dyDescent="0.25">
      <c r="A442" s="54" t="s">
        <v>642</v>
      </c>
      <c r="B442" s="54" t="s">
        <v>643</v>
      </c>
      <c r="C442" s="31">
        <v>4301020185</v>
      </c>
      <c r="D442" s="406">
        <v>4607091389364</v>
      </c>
      <c r="E442" s="407"/>
      <c r="F442" s="401">
        <v>0.42</v>
      </c>
      <c r="G442" s="32">
        <v>6</v>
      </c>
      <c r="H442" s="401">
        <v>2.52</v>
      </c>
      <c r="I442" s="401">
        <v>2.75</v>
      </c>
      <c r="J442" s="32">
        <v>156</v>
      </c>
      <c r="K442" s="32" t="s">
        <v>64</v>
      </c>
      <c r="L442" s="33" t="s">
        <v>129</v>
      </c>
      <c r="M442" s="33"/>
      <c r="N442" s="32">
        <v>35</v>
      </c>
      <c r="O442" s="4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2" s="409"/>
      <c r="Q442" s="409"/>
      <c r="R442" s="409"/>
      <c r="S442" s="407"/>
      <c r="T442" s="34"/>
      <c r="U442" s="34"/>
      <c r="V442" s="35" t="s">
        <v>66</v>
      </c>
      <c r="W442" s="402">
        <v>0</v>
      </c>
      <c r="X442" s="403">
        <f>IFERROR(IF(W442="",0,CEILING((W442/$H442),1)*$H442),"")</f>
        <v>0</v>
      </c>
      <c r="Y442" s="36" t="str">
        <f>IFERROR(IF(X442=0,"",ROUNDUP(X442/H442,0)*0.00753),"")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14"/>
      <c r="B443" s="412"/>
      <c r="C443" s="412"/>
      <c r="D443" s="412"/>
      <c r="E443" s="412"/>
      <c r="F443" s="412"/>
      <c r="G443" s="412"/>
      <c r="H443" s="412"/>
      <c r="I443" s="412"/>
      <c r="J443" s="412"/>
      <c r="K443" s="412"/>
      <c r="L443" s="412"/>
      <c r="M443" s="412"/>
      <c r="N443" s="415"/>
      <c r="O443" s="432" t="s">
        <v>70</v>
      </c>
      <c r="P443" s="433"/>
      <c r="Q443" s="433"/>
      <c r="R443" s="433"/>
      <c r="S443" s="433"/>
      <c r="T443" s="433"/>
      <c r="U443" s="434"/>
      <c r="V443" s="37" t="s">
        <v>71</v>
      </c>
      <c r="W443" s="404">
        <f>IFERROR(W441/H441,"0")+IFERROR(W442/H442,"0")</f>
        <v>0</v>
      </c>
      <c r="X443" s="404">
        <f>IFERROR(X441/H441,"0")+IFERROR(X442/H442,"0")</f>
        <v>0</v>
      </c>
      <c r="Y443" s="404">
        <f>IFERROR(IF(Y441="",0,Y441),"0")+IFERROR(IF(Y442="",0,Y442),"0")</f>
        <v>0</v>
      </c>
      <c r="Z443" s="405"/>
      <c r="AA443" s="405"/>
    </row>
    <row r="444" spans="1:67" x14ac:dyDescent="0.2">
      <c r="A444" s="412"/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15"/>
      <c r="O444" s="432" t="s">
        <v>70</v>
      </c>
      <c r="P444" s="433"/>
      <c r="Q444" s="433"/>
      <c r="R444" s="433"/>
      <c r="S444" s="433"/>
      <c r="T444" s="433"/>
      <c r="U444" s="434"/>
      <c r="V444" s="37" t="s">
        <v>66</v>
      </c>
      <c r="W444" s="404">
        <f>IFERROR(SUM(W441:W442),"0")</f>
        <v>0</v>
      </c>
      <c r="X444" s="404">
        <f>IFERROR(SUM(X441:X442),"0")</f>
        <v>0</v>
      </c>
      <c r="Y444" s="37"/>
      <c r="Z444" s="405"/>
      <c r="AA444" s="405"/>
    </row>
    <row r="445" spans="1:67" ht="14.25" customHeight="1" x14ac:dyDescent="0.25">
      <c r="A445" s="411" t="s">
        <v>61</v>
      </c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12"/>
      <c r="O445" s="412"/>
      <c r="P445" s="412"/>
      <c r="Q445" s="412"/>
      <c r="R445" s="412"/>
      <c r="S445" s="412"/>
      <c r="T445" s="412"/>
      <c r="U445" s="412"/>
      <c r="V445" s="412"/>
      <c r="W445" s="412"/>
      <c r="X445" s="412"/>
      <c r="Y445" s="412"/>
      <c r="Z445" s="395"/>
      <c r="AA445" s="395"/>
    </row>
    <row r="446" spans="1:67" ht="27" customHeight="1" x14ac:dyDescent="0.25">
      <c r="A446" s="54" t="s">
        <v>644</v>
      </c>
      <c r="B446" s="54" t="s">
        <v>645</v>
      </c>
      <c r="C446" s="31">
        <v>4301031212</v>
      </c>
      <c r="D446" s="406">
        <v>4607091389739</v>
      </c>
      <c r="E446" s="407"/>
      <c r="F446" s="401">
        <v>0.7</v>
      </c>
      <c r="G446" s="32">
        <v>6</v>
      </c>
      <c r="H446" s="401">
        <v>4.2</v>
      </c>
      <c r="I446" s="401">
        <v>4.43</v>
      </c>
      <c r="J446" s="32">
        <v>156</v>
      </c>
      <c r="K446" s="32" t="s">
        <v>64</v>
      </c>
      <c r="L446" s="33" t="s">
        <v>110</v>
      </c>
      <c r="M446" s="33"/>
      <c r="N446" s="32">
        <v>45</v>
      </c>
      <c r="O446" s="6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6" s="409"/>
      <c r="Q446" s="409"/>
      <c r="R446" s="409"/>
      <c r="S446" s="407"/>
      <c r="T446" s="34"/>
      <c r="U446" s="34"/>
      <c r="V446" s="35" t="s">
        <v>66</v>
      </c>
      <c r="W446" s="402">
        <v>0</v>
      </c>
      <c r="X446" s="403">
        <f t="shared" ref="X446:X454" si="82">IFERROR(IF(W446="",0,CEILING((W446/$H446),1)*$H446),"")</f>
        <v>0</v>
      </c>
      <c r="Y446" s="36" t="str">
        <f>IFERROR(IF(X446=0,"",ROUNDUP(X446/H446,0)*0.00753),"")</f>
        <v/>
      </c>
      <c r="Z446" s="56"/>
      <c r="AA446" s="57"/>
      <c r="AE446" s="64"/>
      <c r="BB446" s="322" t="s">
        <v>1</v>
      </c>
      <c r="BL446" s="64">
        <f t="shared" ref="BL446:BL454" si="83">IFERROR(W446*I446/H446,"0")</f>
        <v>0</v>
      </c>
      <c r="BM446" s="64">
        <f t="shared" ref="BM446:BM454" si="84">IFERROR(X446*I446/H446,"0")</f>
        <v>0</v>
      </c>
      <c r="BN446" s="64">
        <f t="shared" ref="BN446:BN454" si="85">IFERROR(1/J446*(W446/H446),"0")</f>
        <v>0</v>
      </c>
      <c r="BO446" s="64">
        <f t="shared" ref="BO446:BO454" si="86">IFERROR(1/J446*(X446/H446),"0")</f>
        <v>0</v>
      </c>
    </row>
    <row r="447" spans="1:67" ht="27" customHeight="1" x14ac:dyDescent="0.25">
      <c r="A447" s="54" t="s">
        <v>644</v>
      </c>
      <c r="B447" s="54" t="s">
        <v>646</v>
      </c>
      <c r="C447" s="31">
        <v>4301031324</v>
      </c>
      <c r="D447" s="406">
        <v>4607091389739</v>
      </c>
      <c r="E447" s="407"/>
      <c r="F447" s="401">
        <v>0.7</v>
      </c>
      <c r="G447" s="32">
        <v>6</v>
      </c>
      <c r="H447" s="401">
        <v>4.2</v>
      </c>
      <c r="I447" s="401">
        <v>4.43</v>
      </c>
      <c r="J447" s="32">
        <v>156</v>
      </c>
      <c r="K447" s="32" t="s">
        <v>64</v>
      </c>
      <c r="L447" s="33" t="s">
        <v>65</v>
      </c>
      <c r="M447" s="33"/>
      <c r="N447" s="32">
        <v>50</v>
      </c>
      <c r="O447" s="607" t="s">
        <v>647</v>
      </c>
      <c r="P447" s="409"/>
      <c r="Q447" s="409"/>
      <c r="R447" s="409"/>
      <c r="S447" s="407"/>
      <c r="T447" s="34"/>
      <c r="U447" s="34"/>
      <c r="V447" s="35" t="s">
        <v>66</v>
      </c>
      <c r="W447" s="402">
        <v>83</v>
      </c>
      <c r="X447" s="403">
        <f t="shared" si="82"/>
        <v>84</v>
      </c>
      <c r="Y447" s="36">
        <f>IFERROR(IF(X447=0,"",ROUNDUP(X447/H447,0)*0.00753),"")</f>
        <v>0.15060000000000001</v>
      </c>
      <c r="Z447" s="56"/>
      <c r="AA447" s="57"/>
      <c r="AE447" s="64"/>
      <c r="BB447" s="323" t="s">
        <v>1</v>
      </c>
      <c r="BL447" s="64">
        <f t="shared" si="83"/>
        <v>87.545238095238091</v>
      </c>
      <c r="BM447" s="64">
        <f t="shared" si="84"/>
        <v>88.6</v>
      </c>
      <c r="BN447" s="64">
        <f t="shared" si="85"/>
        <v>0.12667887667887667</v>
      </c>
      <c r="BO447" s="64">
        <f t="shared" si="86"/>
        <v>0.12820512820512819</v>
      </c>
    </row>
    <row r="448" spans="1:67" ht="27" customHeight="1" x14ac:dyDescent="0.25">
      <c r="A448" s="54" t="s">
        <v>648</v>
      </c>
      <c r="B448" s="54" t="s">
        <v>649</v>
      </c>
      <c r="C448" s="31">
        <v>4301031176</v>
      </c>
      <c r="D448" s="406">
        <v>4607091389425</v>
      </c>
      <c r="E448" s="407"/>
      <c r="F448" s="401">
        <v>0.35</v>
      </c>
      <c r="G448" s="32">
        <v>6</v>
      </c>
      <c r="H448" s="401">
        <v>2.1</v>
      </c>
      <c r="I448" s="401">
        <v>2.23</v>
      </c>
      <c r="J448" s="32">
        <v>234</v>
      </c>
      <c r="K448" s="32" t="s">
        <v>69</v>
      </c>
      <c r="L448" s="33" t="s">
        <v>65</v>
      </c>
      <c r="M448" s="33"/>
      <c r="N448" s="32">
        <v>45</v>
      </c>
      <c r="O448" s="6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8" s="409"/>
      <c r="Q448" s="409"/>
      <c r="R448" s="409"/>
      <c r="S448" s="407"/>
      <c r="T448" s="34"/>
      <c r="U448" s="34"/>
      <c r="V448" s="35" t="s">
        <v>66</v>
      </c>
      <c r="W448" s="402">
        <v>0</v>
      </c>
      <c r="X448" s="403">
        <f t="shared" si="82"/>
        <v>0</v>
      </c>
      <c r="Y448" s="36" t="str">
        <f t="shared" ref="Y448:Y454" si="87">IFERROR(IF(X448=0,"",ROUNDUP(X448/H448,0)*0.00502),"")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customHeight="1" x14ac:dyDescent="0.25">
      <c r="A449" s="54" t="s">
        <v>650</v>
      </c>
      <c r="B449" s="54" t="s">
        <v>651</v>
      </c>
      <c r="C449" s="31">
        <v>4301031215</v>
      </c>
      <c r="D449" s="406">
        <v>4680115882911</v>
      </c>
      <c r="E449" s="407"/>
      <c r="F449" s="401">
        <v>0.4</v>
      </c>
      <c r="G449" s="32">
        <v>6</v>
      </c>
      <c r="H449" s="401">
        <v>2.4</v>
      </c>
      <c r="I449" s="401">
        <v>2.5299999999999998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49" s="409"/>
      <c r="Q449" s="409"/>
      <c r="R449" s="409"/>
      <c r="S449" s="407"/>
      <c r="T449" s="34"/>
      <c r="U449" s="34"/>
      <c r="V449" s="35" t="s">
        <v>66</v>
      </c>
      <c r="W449" s="402">
        <v>0</v>
      </c>
      <c r="X449" s="403">
        <f t="shared" si="82"/>
        <v>0</v>
      </c>
      <c r="Y449" s="36" t="str">
        <f t="shared" si="87"/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customHeight="1" x14ac:dyDescent="0.25">
      <c r="A450" s="54" t="s">
        <v>652</v>
      </c>
      <c r="B450" s="54" t="s">
        <v>653</v>
      </c>
      <c r="C450" s="31">
        <v>4301031167</v>
      </c>
      <c r="D450" s="406">
        <v>4680115880771</v>
      </c>
      <c r="E450" s="407"/>
      <c r="F450" s="401">
        <v>0.28000000000000003</v>
      </c>
      <c r="G450" s="32">
        <v>6</v>
      </c>
      <c r="H450" s="401">
        <v>1.68</v>
      </c>
      <c r="I450" s="401">
        <v>1.81</v>
      </c>
      <c r="J450" s="32">
        <v>234</v>
      </c>
      <c r="K450" s="32" t="s">
        <v>69</v>
      </c>
      <c r="L450" s="33" t="s">
        <v>65</v>
      </c>
      <c r="M450" s="33"/>
      <c r="N450" s="32">
        <v>45</v>
      </c>
      <c r="O450" s="63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0" s="409"/>
      <c r="Q450" s="409"/>
      <c r="R450" s="409"/>
      <c r="S450" s="407"/>
      <c r="T450" s="34"/>
      <c r="U450" s="34"/>
      <c r="V450" s="35" t="s">
        <v>66</v>
      </c>
      <c r="W450" s="402">
        <v>0</v>
      </c>
      <c r="X450" s="403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652</v>
      </c>
      <c r="B451" s="54" t="s">
        <v>654</v>
      </c>
      <c r="C451" s="31">
        <v>4301031334</v>
      </c>
      <c r="D451" s="406">
        <v>4680115880771</v>
      </c>
      <c r="E451" s="407"/>
      <c r="F451" s="401">
        <v>0.28000000000000003</v>
      </c>
      <c r="G451" s="32">
        <v>6</v>
      </c>
      <c r="H451" s="401">
        <v>1.68</v>
      </c>
      <c r="I451" s="401">
        <v>1.81</v>
      </c>
      <c r="J451" s="32">
        <v>234</v>
      </c>
      <c r="K451" s="32" t="s">
        <v>69</v>
      </c>
      <c r="L451" s="33" t="s">
        <v>65</v>
      </c>
      <c r="M451" s="33"/>
      <c r="N451" s="32">
        <v>50</v>
      </c>
      <c r="O451" s="553" t="s">
        <v>655</v>
      </c>
      <c r="P451" s="409"/>
      <c r="Q451" s="409"/>
      <c r="R451" s="409"/>
      <c r="S451" s="407"/>
      <c r="T451" s="34"/>
      <c r="U451" s="34"/>
      <c r="V451" s="35" t="s">
        <v>66</v>
      </c>
      <c r="W451" s="402">
        <v>0</v>
      </c>
      <c r="X451" s="403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656</v>
      </c>
      <c r="B452" s="54" t="s">
        <v>657</v>
      </c>
      <c r="C452" s="31">
        <v>4301031173</v>
      </c>
      <c r="D452" s="406">
        <v>4607091389500</v>
      </c>
      <c r="E452" s="407"/>
      <c r="F452" s="401">
        <v>0.35</v>
      </c>
      <c r="G452" s="32">
        <v>6</v>
      </c>
      <c r="H452" s="401">
        <v>2.1</v>
      </c>
      <c r="I452" s="401">
        <v>2.23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2" s="409"/>
      <c r="Q452" s="409"/>
      <c r="R452" s="409"/>
      <c r="S452" s="407"/>
      <c r="T452" s="34"/>
      <c r="U452" s="34"/>
      <c r="V452" s="35" t="s">
        <v>66</v>
      </c>
      <c r="W452" s="402">
        <v>0</v>
      </c>
      <c r="X452" s="403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656</v>
      </c>
      <c r="B453" s="54" t="s">
        <v>658</v>
      </c>
      <c r="C453" s="31">
        <v>4301031327</v>
      </c>
      <c r="D453" s="406">
        <v>4607091389500</v>
      </c>
      <c r="E453" s="407"/>
      <c r="F453" s="401">
        <v>0.35</v>
      </c>
      <c r="G453" s="32">
        <v>6</v>
      </c>
      <c r="H453" s="401">
        <v>2.1</v>
      </c>
      <c r="I453" s="401">
        <v>2.23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59" t="s">
        <v>659</v>
      </c>
      <c r="P453" s="409"/>
      <c r="Q453" s="409"/>
      <c r="R453" s="409"/>
      <c r="S453" s="407"/>
      <c r="T453" s="34"/>
      <c r="U453" s="34"/>
      <c r="V453" s="35" t="s">
        <v>66</v>
      </c>
      <c r="W453" s="402">
        <v>0</v>
      </c>
      <c r="X453" s="403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660</v>
      </c>
      <c r="B454" s="54" t="s">
        <v>661</v>
      </c>
      <c r="C454" s="31">
        <v>4301031103</v>
      </c>
      <c r="D454" s="406">
        <v>4680115881983</v>
      </c>
      <c r="E454" s="407"/>
      <c r="F454" s="401">
        <v>0.28000000000000003</v>
      </c>
      <c r="G454" s="32">
        <v>4</v>
      </c>
      <c r="H454" s="401">
        <v>1.1200000000000001</v>
      </c>
      <c r="I454" s="401">
        <v>1.252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4" s="409"/>
      <c r="Q454" s="409"/>
      <c r="R454" s="409"/>
      <c r="S454" s="407"/>
      <c r="T454" s="34"/>
      <c r="U454" s="34"/>
      <c r="V454" s="35" t="s">
        <v>66</v>
      </c>
      <c r="W454" s="402">
        <v>0</v>
      </c>
      <c r="X454" s="403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x14ac:dyDescent="0.2">
      <c r="A455" s="414"/>
      <c r="B455" s="412"/>
      <c r="C455" s="412"/>
      <c r="D455" s="412"/>
      <c r="E455" s="412"/>
      <c r="F455" s="412"/>
      <c r="G455" s="412"/>
      <c r="H455" s="412"/>
      <c r="I455" s="412"/>
      <c r="J455" s="412"/>
      <c r="K455" s="412"/>
      <c r="L455" s="412"/>
      <c r="M455" s="412"/>
      <c r="N455" s="415"/>
      <c r="O455" s="432" t="s">
        <v>70</v>
      </c>
      <c r="P455" s="433"/>
      <c r="Q455" s="433"/>
      <c r="R455" s="433"/>
      <c r="S455" s="433"/>
      <c r="T455" s="433"/>
      <c r="U455" s="434"/>
      <c r="V455" s="37" t="s">
        <v>71</v>
      </c>
      <c r="W455" s="404">
        <f>IFERROR(W446/H446,"0")+IFERROR(W447/H447,"0")+IFERROR(W448/H448,"0")+IFERROR(W449/H449,"0")+IFERROR(W450/H450,"0")+IFERROR(W451/H451,"0")+IFERROR(W452/H452,"0")+IFERROR(W453/H453,"0")+IFERROR(W454/H454,"0")</f>
        <v>19.761904761904763</v>
      </c>
      <c r="X455" s="404">
        <f>IFERROR(X446/H446,"0")+IFERROR(X447/H447,"0")+IFERROR(X448/H448,"0")+IFERROR(X449/H449,"0")+IFERROR(X450/H450,"0")+IFERROR(X451/H451,"0")+IFERROR(X452/H452,"0")+IFERROR(X453/H453,"0")+IFERROR(X454/H454,"0")</f>
        <v>20</v>
      </c>
      <c r="Y455" s="404">
        <f>IFERROR(IF(Y446="",0,Y446),"0")+IFERROR(IF(Y447="",0,Y447),"0")+IFERROR(IF(Y448="",0,Y448),"0")+IFERROR(IF(Y449="",0,Y449),"0")+IFERROR(IF(Y450="",0,Y450),"0")+IFERROR(IF(Y451="",0,Y451),"0")+IFERROR(IF(Y452="",0,Y452),"0")+IFERROR(IF(Y453="",0,Y453),"0")+IFERROR(IF(Y454="",0,Y454),"0")</f>
        <v>0.15060000000000001</v>
      </c>
      <c r="Z455" s="405"/>
      <c r="AA455" s="405"/>
    </row>
    <row r="456" spans="1:67" x14ac:dyDescent="0.2">
      <c r="A456" s="412"/>
      <c r="B456" s="412"/>
      <c r="C456" s="412"/>
      <c r="D456" s="412"/>
      <c r="E456" s="412"/>
      <c r="F456" s="412"/>
      <c r="G456" s="412"/>
      <c r="H456" s="412"/>
      <c r="I456" s="412"/>
      <c r="J456" s="412"/>
      <c r="K456" s="412"/>
      <c r="L456" s="412"/>
      <c r="M456" s="412"/>
      <c r="N456" s="415"/>
      <c r="O456" s="432" t="s">
        <v>70</v>
      </c>
      <c r="P456" s="433"/>
      <c r="Q456" s="433"/>
      <c r="R456" s="433"/>
      <c r="S456" s="433"/>
      <c r="T456" s="433"/>
      <c r="U456" s="434"/>
      <c r="V456" s="37" t="s">
        <v>66</v>
      </c>
      <c r="W456" s="404">
        <f>IFERROR(SUM(W446:W454),"0")</f>
        <v>83</v>
      </c>
      <c r="X456" s="404">
        <f>IFERROR(SUM(X446:X454),"0")</f>
        <v>84</v>
      </c>
      <c r="Y456" s="37"/>
      <c r="Z456" s="405"/>
      <c r="AA456" s="405"/>
    </row>
    <row r="457" spans="1:67" ht="14.25" customHeight="1" x14ac:dyDescent="0.25">
      <c r="A457" s="411" t="s">
        <v>92</v>
      </c>
      <c r="B457" s="412"/>
      <c r="C457" s="412"/>
      <c r="D457" s="412"/>
      <c r="E457" s="412"/>
      <c r="F457" s="412"/>
      <c r="G457" s="412"/>
      <c r="H457" s="412"/>
      <c r="I457" s="412"/>
      <c r="J457" s="412"/>
      <c r="K457" s="412"/>
      <c r="L457" s="412"/>
      <c r="M457" s="412"/>
      <c r="N457" s="412"/>
      <c r="O457" s="412"/>
      <c r="P457" s="412"/>
      <c r="Q457" s="412"/>
      <c r="R457" s="412"/>
      <c r="S457" s="412"/>
      <c r="T457" s="412"/>
      <c r="U457" s="412"/>
      <c r="V457" s="412"/>
      <c r="W457" s="412"/>
      <c r="X457" s="412"/>
      <c r="Y457" s="412"/>
      <c r="Z457" s="395"/>
      <c r="AA457" s="395"/>
    </row>
    <row r="458" spans="1:67" ht="27" customHeight="1" x14ac:dyDescent="0.25">
      <c r="A458" s="54" t="s">
        <v>662</v>
      </c>
      <c r="B458" s="54" t="s">
        <v>663</v>
      </c>
      <c r="C458" s="31">
        <v>4301032046</v>
      </c>
      <c r="D458" s="406">
        <v>4680115884359</v>
      </c>
      <c r="E458" s="407"/>
      <c r="F458" s="401">
        <v>0.06</v>
      </c>
      <c r="G458" s="32">
        <v>20</v>
      </c>
      <c r="H458" s="401">
        <v>1.2</v>
      </c>
      <c r="I458" s="401">
        <v>1.8</v>
      </c>
      <c r="J458" s="32">
        <v>200</v>
      </c>
      <c r="K458" s="32" t="s">
        <v>633</v>
      </c>
      <c r="L458" s="33" t="s">
        <v>634</v>
      </c>
      <c r="M458" s="33"/>
      <c r="N458" s="32">
        <v>60</v>
      </c>
      <c r="O458" s="5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8" s="409"/>
      <c r="Q458" s="409"/>
      <c r="R458" s="409"/>
      <c r="S458" s="407"/>
      <c r="T458" s="34"/>
      <c r="U458" s="34"/>
      <c r="V458" s="35" t="s">
        <v>66</v>
      </c>
      <c r="W458" s="402">
        <v>0</v>
      </c>
      <c r="X458" s="403">
        <f>IFERROR(IF(W458="",0,CEILING((W458/$H458),1)*$H458),"")</f>
        <v>0</v>
      </c>
      <c r="Y458" s="36" t="str">
        <f>IFERROR(IF(X458=0,"",ROUNDUP(X458/H458,0)*0.00627),"")</f>
        <v/>
      </c>
      <c r="Z458" s="56"/>
      <c r="AA458" s="57"/>
      <c r="AE458" s="64"/>
      <c r="BB458" s="331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customHeight="1" x14ac:dyDescent="0.25">
      <c r="A459" s="54" t="s">
        <v>664</v>
      </c>
      <c r="B459" s="54" t="s">
        <v>665</v>
      </c>
      <c r="C459" s="31">
        <v>4301040358</v>
      </c>
      <c r="D459" s="406">
        <v>4680115884571</v>
      </c>
      <c r="E459" s="407"/>
      <c r="F459" s="401">
        <v>0.1</v>
      </c>
      <c r="G459" s="32">
        <v>20</v>
      </c>
      <c r="H459" s="401">
        <v>2</v>
      </c>
      <c r="I459" s="401">
        <v>2.6</v>
      </c>
      <c r="J459" s="32">
        <v>200</v>
      </c>
      <c r="K459" s="32" t="s">
        <v>633</v>
      </c>
      <c r="L459" s="33" t="s">
        <v>634</v>
      </c>
      <c r="M459" s="33"/>
      <c r="N459" s="32">
        <v>60</v>
      </c>
      <c r="O459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59" s="409"/>
      <c r="Q459" s="409"/>
      <c r="R459" s="409"/>
      <c r="S459" s="407"/>
      <c r="T459" s="34"/>
      <c r="U459" s="34"/>
      <c r="V459" s="35" t="s">
        <v>66</v>
      </c>
      <c r="W459" s="402">
        <v>1</v>
      </c>
      <c r="X459" s="403">
        <f>IFERROR(IF(W459="",0,CEILING((W459/$H459),1)*$H459),"")</f>
        <v>2</v>
      </c>
      <c r="Y459" s="36">
        <f>IFERROR(IF(X459=0,"",ROUNDUP(X459/H459,0)*0.00627),"")</f>
        <v>6.2700000000000004E-3</v>
      </c>
      <c r="Z459" s="56"/>
      <c r="AA459" s="57"/>
      <c r="AE459" s="64"/>
      <c r="BB459" s="332" t="s">
        <v>1</v>
      </c>
      <c r="BL459" s="64">
        <f>IFERROR(W459*I459/H459,"0")</f>
        <v>1.3</v>
      </c>
      <c r="BM459" s="64">
        <f>IFERROR(X459*I459/H459,"0")</f>
        <v>2.6</v>
      </c>
      <c r="BN459" s="64">
        <f>IFERROR(1/J459*(W459/H459),"0")</f>
        <v>2.5000000000000001E-3</v>
      </c>
      <c r="BO459" s="64">
        <f>IFERROR(1/J459*(X459/H459),"0")</f>
        <v>5.0000000000000001E-3</v>
      </c>
    </row>
    <row r="460" spans="1:67" x14ac:dyDescent="0.2">
      <c r="A460" s="414"/>
      <c r="B460" s="412"/>
      <c r="C460" s="412"/>
      <c r="D460" s="412"/>
      <c r="E460" s="412"/>
      <c r="F460" s="412"/>
      <c r="G460" s="412"/>
      <c r="H460" s="412"/>
      <c r="I460" s="412"/>
      <c r="J460" s="412"/>
      <c r="K460" s="412"/>
      <c r="L460" s="412"/>
      <c r="M460" s="412"/>
      <c r="N460" s="415"/>
      <c r="O460" s="432" t="s">
        <v>70</v>
      </c>
      <c r="P460" s="433"/>
      <c r="Q460" s="433"/>
      <c r="R460" s="433"/>
      <c r="S460" s="433"/>
      <c r="T460" s="433"/>
      <c r="U460" s="434"/>
      <c r="V460" s="37" t="s">
        <v>71</v>
      </c>
      <c r="W460" s="404">
        <f>IFERROR(W458/H458,"0")+IFERROR(W459/H459,"0")</f>
        <v>0.5</v>
      </c>
      <c r="X460" s="404">
        <f>IFERROR(X458/H458,"0")+IFERROR(X459/H459,"0")</f>
        <v>1</v>
      </c>
      <c r="Y460" s="404">
        <f>IFERROR(IF(Y458="",0,Y458),"0")+IFERROR(IF(Y459="",0,Y459),"0")</f>
        <v>6.2700000000000004E-3</v>
      </c>
      <c r="Z460" s="405"/>
      <c r="AA460" s="405"/>
    </row>
    <row r="461" spans="1:67" x14ac:dyDescent="0.2">
      <c r="A461" s="412"/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5"/>
      <c r="O461" s="432" t="s">
        <v>70</v>
      </c>
      <c r="P461" s="433"/>
      <c r="Q461" s="433"/>
      <c r="R461" s="433"/>
      <c r="S461" s="433"/>
      <c r="T461" s="433"/>
      <c r="U461" s="434"/>
      <c r="V461" s="37" t="s">
        <v>66</v>
      </c>
      <c r="W461" s="404">
        <f>IFERROR(SUM(W458:W459),"0")</f>
        <v>1</v>
      </c>
      <c r="X461" s="404">
        <f>IFERROR(SUM(X458:X459),"0")</f>
        <v>2</v>
      </c>
      <c r="Y461" s="37"/>
      <c r="Z461" s="405"/>
      <c r="AA461" s="405"/>
    </row>
    <row r="462" spans="1:67" ht="14.25" customHeight="1" x14ac:dyDescent="0.25">
      <c r="A462" s="411" t="s">
        <v>101</v>
      </c>
      <c r="B462" s="412"/>
      <c r="C462" s="412"/>
      <c r="D462" s="412"/>
      <c r="E462" s="412"/>
      <c r="F462" s="412"/>
      <c r="G462" s="412"/>
      <c r="H462" s="412"/>
      <c r="I462" s="412"/>
      <c r="J462" s="412"/>
      <c r="K462" s="412"/>
      <c r="L462" s="412"/>
      <c r="M462" s="412"/>
      <c r="N462" s="412"/>
      <c r="O462" s="412"/>
      <c r="P462" s="412"/>
      <c r="Q462" s="412"/>
      <c r="R462" s="412"/>
      <c r="S462" s="412"/>
      <c r="T462" s="412"/>
      <c r="U462" s="412"/>
      <c r="V462" s="412"/>
      <c r="W462" s="412"/>
      <c r="X462" s="412"/>
      <c r="Y462" s="412"/>
      <c r="Z462" s="395"/>
      <c r="AA462" s="395"/>
    </row>
    <row r="463" spans="1:67" ht="27" customHeight="1" x14ac:dyDescent="0.25">
      <c r="A463" s="54" t="s">
        <v>666</v>
      </c>
      <c r="B463" s="54" t="s">
        <v>667</v>
      </c>
      <c r="C463" s="31">
        <v>4301170010</v>
      </c>
      <c r="D463" s="406">
        <v>4680115884090</v>
      </c>
      <c r="E463" s="407"/>
      <c r="F463" s="401">
        <v>0.11</v>
      </c>
      <c r="G463" s="32">
        <v>12</v>
      </c>
      <c r="H463" s="401">
        <v>1.32</v>
      </c>
      <c r="I463" s="401">
        <v>1.88</v>
      </c>
      <c r="J463" s="32">
        <v>200</v>
      </c>
      <c r="K463" s="32" t="s">
        <v>633</v>
      </c>
      <c r="L463" s="33" t="s">
        <v>634</v>
      </c>
      <c r="M463" s="33"/>
      <c r="N463" s="32">
        <v>150</v>
      </c>
      <c r="O463" s="53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3" s="409"/>
      <c r="Q463" s="409"/>
      <c r="R463" s="409"/>
      <c r="S463" s="407"/>
      <c r="T463" s="34"/>
      <c r="U463" s="34"/>
      <c r="V463" s="35" t="s">
        <v>66</v>
      </c>
      <c r="W463" s="402">
        <v>0</v>
      </c>
      <c r="X463" s="403">
        <f>IFERROR(IF(W463="",0,CEILING((W463/$H463),1)*$H463),"")</f>
        <v>0</v>
      </c>
      <c r="Y463" s="36" t="str">
        <f>IFERROR(IF(X463=0,"",ROUNDUP(X463/H463,0)*0.00627),"")</f>
        <v/>
      </c>
      <c r="Z463" s="56"/>
      <c r="AA463" s="57"/>
      <c r="AE463" s="64"/>
      <c r="BB463" s="333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14"/>
      <c r="B464" s="412"/>
      <c r="C464" s="412"/>
      <c r="D464" s="412"/>
      <c r="E464" s="412"/>
      <c r="F464" s="412"/>
      <c r="G464" s="412"/>
      <c r="H464" s="412"/>
      <c r="I464" s="412"/>
      <c r="J464" s="412"/>
      <c r="K464" s="412"/>
      <c r="L464" s="412"/>
      <c r="M464" s="412"/>
      <c r="N464" s="415"/>
      <c r="O464" s="432" t="s">
        <v>70</v>
      </c>
      <c r="P464" s="433"/>
      <c r="Q464" s="433"/>
      <c r="R464" s="433"/>
      <c r="S464" s="433"/>
      <c r="T464" s="433"/>
      <c r="U464" s="434"/>
      <c r="V464" s="37" t="s">
        <v>71</v>
      </c>
      <c r="W464" s="404">
        <f>IFERROR(W463/H463,"0")</f>
        <v>0</v>
      </c>
      <c r="X464" s="404">
        <f>IFERROR(X463/H463,"0")</f>
        <v>0</v>
      </c>
      <c r="Y464" s="404">
        <f>IFERROR(IF(Y463="",0,Y463),"0")</f>
        <v>0</v>
      </c>
      <c r="Z464" s="405"/>
      <c r="AA464" s="405"/>
    </row>
    <row r="465" spans="1:67" x14ac:dyDescent="0.2">
      <c r="A465" s="412"/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5"/>
      <c r="O465" s="432" t="s">
        <v>70</v>
      </c>
      <c r="P465" s="433"/>
      <c r="Q465" s="433"/>
      <c r="R465" s="433"/>
      <c r="S465" s="433"/>
      <c r="T465" s="433"/>
      <c r="U465" s="434"/>
      <c r="V465" s="37" t="s">
        <v>66</v>
      </c>
      <c r="W465" s="404">
        <f>IFERROR(SUM(W463:W463),"0")</f>
        <v>0</v>
      </c>
      <c r="X465" s="404">
        <f>IFERROR(SUM(X463:X463),"0")</f>
        <v>0</v>
      </c>
      <c r="Y465" s="37"/>
      <c r="Z465" s="405"/>
      <c r="AA465" s="405"/>
    </row>
    <row r="466" spans="1:67" ht="14.25" customHeight="1" x14ac:dyDescent="0.25">
      <c r="A466" s="411" t="s">
        <v>668</v>
      </c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2"/>
      <c r="O466" s="412"/>
      <c r="P466" s="412"/>
      <c r="Q466" s="412"/>
      <c r="R466" s="412"/>
      <c r="S466" s="412"/>
      <c r="T466" s="412"/>
      <c r="U466" s="412"/>
      <c r="V466" s="412"/>
      <c r="W466" s="412"/>
      <c r="X466" s="412"/>
      <c r="Y466" s="412"/>
      <c r="Z466" s="395"/>
      <c r="AA466" s="395"/>
    </row>
    <row r="467" spans="1:67" ht="27" customHeight="1" x14ac:dyDescent="0.25">
      <c r="A467" s="54" t="s">
        <v>669</v>
      </c>
      <c r="B467" s="54" t="s">
        <v>670</v>
      </c>
      <c r="C467" s="31">
        <v>4301040357</v>
      </c>
      <c r="D467" s="406">
        <v>4680115884564</v>
      </c>
      <c r="E467" s="407"/>
      <c r="F467" s="401">
        <v>0.15</v>
      </c>
      <c r="G467" s="32">
        <v>20</v>
      </c>
      <c r="H467" s="401">
        <v>3</v>
      </c>
      <c r="I467" s="401">
        <v>3.6</v>
      </c>
      <c r="J467" s="32">
        <v>200</v>
      </c>
      <c r="K467" s="32" t="s">
        <v>633</v>
      </c>
      <c r="L467" s="33" t="s">
        <v>634</v>
      </c>
      <c r="M467" s="33"/>
      <c r="N467" s="32">
        <v>60</v>
      </c>
      <c r="O467" s="73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7" s="409"/>
      <c r="Q467" s="409"/>
      <c r="R467" s="409"/>
      <c r="S467" s="407"/>
      <c r="T467" s="34"/>
      <c r="U467" s="34"/>
      <c r="V467" s="35" t="s">
        <v>66</v>
      </c>
      <c r="W467" s="402">
        <v>0</v>
      </c>
      <c r="X467" s="403">
        <f>IFERROR(IF(W467="",0,CEILING((W467/$H467),1)*$H467),"")</f>
        <v>0</v>
      </c>
      <c r="Y467" s="36" t="str">
        <f>IFERROR(IF(X467=0,"",ROUNDUP(X467/H467,0)*0.00627),"")</f>
        <v/>
      </c>
      <c r="Z467" s="56"/>
      <c r="AA467" s="57"/>
      <c r="AE467" s="64"/>
      <c r="BB467" s="334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14"/>
      <c r="B468" s="412"/>
      <c r="C468" s="412"/>
      <c r="D468" s="412"/>
      <c r="E468" s="412"/>
      <c r="F468" s="412"/>
      <c r="G468" s="412"/>
      <c r="H468" s="412"/>
      <c r="I468" s="412"/>
      <c r="J468" s="412"/>
      <c r="K468" s="412"/>
      <c r="L468" s="412"/>
      <c r="M468" s="412"/>
      <c r="N468" s="415"/>
      <c r="O468" s="432" t="s">
        <v>70</v>
      </c>
      <c r="P468" s="433"/>
      <c r="Q468" s="433"/>
      <c r="R468" s="433"/>
      <c r="S468" s="433"/>
      <c r="T468" s="433"/>
      <c r="U468" s="434"/>
      <c r="V468" s="37" t="s">
        <v>71</v>
      </c>
      <c r="W468" s="404">
        <f>IFERROR(W467/H467,"0")</f>
        <v>0</v>
      </c>
      <c r="X468" s="404">
        <f>IFERROR(X467/H467,"0")</f>
        <v>0</v>
      </c>
      <c r="Y468" s="404">
        <f>IFERROR(IF(Y467="",0,Y467),"0")</f>
        <v>0</v>
      </c>
      <c r="Z468" s="405"/>
      <c r="AA468" s="405"/>
    </row>
    <row r="469" spans="1:67" x14ac:dyDescent="0.2">
      <c r="A469" s="412"/>
      <c r="B469" s="412"/>
      <c r="C469" s="412"/>
      <c r="D469" s="412"/>
      <c r="E469" s="412"/>
      <c r="F469" s="412"/>
      <c r="G469" s="412"/>
      <c r="H469" s="412"/>
      <c r="I469" s="412"/>
      <c r="J469" s="412"/>
      <c r="K469" s="412"/>
      <c r="L469" s="412"/>
      <c r="M469" s="412"/>
      <c r="N469" s="415"/>
      <c r="O469" s="432" t="s">
        <v>70</v>
      </c>
      <c r="P469" s="433"/>
      <c r="Q469" s="433"/>
      <c r="R469" s="433"/>
      <c r="S469" s="433"/>
      <c r="T469" s="433"/>
      <c r="U469" s="434"/>
      <c r="V469" s="37" t="s">
        <v>66</v>
      </c>
      <c r="W469" s="404">
        <f>IFERROR(SUM(W467:W467),"0")</f>
        <v>0</v>
      </c>
      <c r="X469" s="404">
        <f>IFERROR(SUM(X467:X467),"0")</f>
        <v>0</v>
      </c>
      <c r="Y469" s="37"/>
      <c r="Z469" s="405"/>
      <c r="AA469" s="405"/>
    </row>
    <row r="470" spans="1:67" ht="16.5" customHeight="1" x14ac:dyDescent="0.25">
      <c r="A470" s="421" t="s">
        <v>671</v>
      </c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2"/>
      <c r="O470" s="412"/>
      <c r="P470" s="412"/>
      <c r="Q470" s="412"/>
      <c r="R470" s="412"/>
      <c r="S470" s="412"/>
      <c r="T470" s="412"/>
      <c r="U470" s="412"/>
      <c r="V470" s="412"/>
      <c r="W470" s="412"/>
      <c r="X470" s="412"/>
      <c r="Y470" s="412"/>
      <c r="Z470" s="396"/>
      <c r="AA470" s="396"/>
    </row>
    <row r="471" spans="1:67" ht="14.25" customHeight="1" x14ac:dyDescent="0.25">
      <c r="A471" s="411" t="s">
        <v>61</v>
      </c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412"/>
      <c r="S471" s="412"/>
      <c r="T471" s="412"/>
      <c r="U471" s="412"/>
      <c r="V471" s="412"/>
      <c r="W471" s="412"/>
      <c r="X471" s="412"/>
      <c r="Y471" s="412"/>
      <c r="Z471" s="395"/>
      <c r="AA471" s="395"/>
    </row>
    <row r="472" spans="1:67" ht="27" customHeight="1" x14ac:dyDescent="0.25">
      <c r="A472" s="54" t="s">
        <v>672</v>
      </c>
      <c r="B472" s="54" t="s">
        <v>673</v>
      </c>
      <c r="C472" s="31">
        <v>4301031294</v>
      </c>
      <c r="D472" s="406">
        <v>4680115885189</v>
      </c>
      <c r="E472" s="407"/>
      <c r="F472" s="401">
        <v>0.2</v>
      </c>
      <c r="G472" s="32">
        <v>6</v>
      </c>
      <c r="H472" s="401">
        <v>1.2</v>
      </c>
      <c r="I472" s="401">
        <v>1.3720000000000001</v>
      </c>
      <c r="J472" s="32">
        <v>234</v>
      </c>
      <c r="K472" s="32" t="s">
        <v>69</v>
      </c>
      <c r="L472" s="33" t="s">
        <v>65</v>
      </c>
      <c r="M472" s="33"/>
      <c r="N472" s="32">
        <v>40</v>
      </c>
      <c r="O472" s="71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2" s="409"/>
      <c r="Q472" s="409"/>
      <c r="R472" s="409"/>
      <c r="S472" s="407"/>
      <c r="T472" s="34"/>
      <c r="U472" s="34"/>
      <c r="V472" s="35" t="s">
        <v>66</v>
      </c>
      <c r="W472" s="402">
        <v>0</v>
      </c>
      <c r="X472" s="403">
        <f>IFERROR(IF(W472="",0,CEILING((W472/$H472),1)*$H472),"")</f>
        <v>0</v>
      </c>
      <c r="Y472" s="36" t="str">
        <f>IFERROR(IF(X472=0,"",ROUNDUP(X472/H472,0)*0.00502),"")</f>
        <v/>
      </c>
      <c r="Z472" s="56"/>
      <c r="AA472" s="57"/>
      <c r="AE472" s="64"/>
      <c r="BB472" s="335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ht="27" customHeight="1" x14ac:dyDescent="0.25">
      <c r="A473" s="54" t="s">
        <v>674</v>
      </c>
      <c r="B473" s="54" t="s">
        <v>675</v>
      </c>
      <c r="C473" s="31">
        <v>4301031293</v>
      </c>
      <c r="D473" s="406">
        <v>4680115885172</v>
      </c>
      <c r="E473" s="407"/>
      <c r="F473" s="401">
        <v>0.2</v>
      </c>
      <c r="G473" s="32">
        <v>6</v>
      </c>
      <c r="H473" s="401">
        <v>1.2</v>
      </c>
      <c r="I473" s="401">
        <v>1.3</v>
      </c>
      <c r="J473" s="32">
        <v>234</v>
      </c>
      <c r="K473" s="32" t="s">
        <v>69</v>
      </c>
      <c r="L473" s="33" t="s">
        <v>65</v>
      </c>
      <c r="M473" s="33"/>
      <c r="N473" s="32">
        <v>40</v>
      </c>
      <c r="O473" s="5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3" s="409"/>
      <c r="Q473" s="409"/>
      <c r="R473" s="409"/>
      <c r="S473" s="407"/>
      <c r="T473" s="34"/>
      <c r="U473" s="34"/>
      <c r="V473" s="35" t="s">
        <v>66</v>
      </c>
      <c r="W473" s="402">
        <v>0</v>
      </c>
      <c r="X473" s="403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customHeight="1" x14ac:dyDescent="0.25">
      <c r="A474" s="54" t="s">
        <v>676</v>
      </c>
      <c r="B474" s="54" t="s">
        <v>677</v>
      </c>
      <c r="C474" s="31">
        <v>4301031291</v>
      </c>
      <c r="D474" s="406">
        <v>4680115885110</v>
      </c>
      <c r="E474" s="407"/>
      <c r="F474" s="401">
        <v>0.2</v>
      </c>
      <c r="G474" s="32">
        <v>6</v>
      </c>
      <c r="H474" s="401">
        <v>1.2</v>
      </c>
      <c r="I474" s="401">
        <v>2.02</v>
      </c>
      <c r="J474" s="32">
        <v>234</v>
      </c>
      <c r="K474" s="32" t="s">
        <v>69</v>
      </c>
      <c r="L474" s="33" t="s">
        <v>65</v>
      </c>
      <c r="M474" s="33"/>
      <c r="N474" s="32">
        <v>35</v>
      </c>
      <c r="O474" s="7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4" s="409"/>
      <c r="Q474" s="409"/>
      <c r="R474" s="409"/>
      <c r="S474" s="407"/>
      <c r="T474" s="34"/>
      <c r="U474" s="34"/>
      <c r="V474" s="35" t="s">
        <v>66</v>
      </c>
      <c r="W474" s="402">
        <v>0</v>
      </c>
      <c r="X474" s="403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x14ac:dyDescent="0.2">
      <c r="A475" s="414"/>
      <c r="B475" s="412"/>
      <c r="C475" s="412"/>
      <c r="D475" s="412"/>
      <c r="E475" s="412"/>
      <c r="F475" s="412"/>
      <c r="G475" s="412"/>
      <c r="H475" s="412"/>
      <c r="I475" s="412"/>
      <c r="J475" s="412"/>
      <c r="K475" s="412"/>
      <c r="L475" s="412"/>
      <c r="M475" s="412"/>
      <c r="N475" s="415"/>
      <c r="O475" s="432" t="s">
        <v>70</v>
      </c>
      <c r="P475" s="433"/>
      <c r="Q475" s="433"/>
      <c r="R475" s="433"/>
      <c r="S475" s="433"/>
      <c r="T475" s="433"/>
      <c r="U475" s="434"/>
      <c r="V475" s="37" t="s">
        <v>71</v>
      </c>
      <c r="W475" s="404">
        <f>IFERROR(W472/H472,"0")+IFERROR(W473/H473,"0")+IFERROR(W474/H474,"0")</f>
        <v>0</v>
      </c>
      <c r="X475" s="404">
        <f>IFERROR(X472/H472,"0")+IFERROR(X473/H473,"0")+IFERROR(X474/H474,"0")</f>
        <v>0</v>
      </c>
      <c r="Y475" s="404">
        <f>IFERROR(IF(Y472="",0,Y472),"0")+IFERROR(IF(Y473="",0,Y473),"0")+IFERROR(IF(Y474="",0,Y474),"0")</f>
        <v>0</v>
      </c>
      <c r="Z475" s="405"/>
      <c r="AA475" s="405"/>
    </row>
    <row r="476" spans="1:67" x14ac:dyDescent="0.2">
      <c r="A476" s="412"/>
      <c r="B476" s="412"/>
      <c r="C476" s="412"/>
      <c r="D476" s="412"/>
      <c r="E476" s="412"/>
      <c r="F476" s="412"/>
      <c r="G476" s="412"/>
      <c r="H476" s="412"/>
      <c r="I476" s="412"/>
      <c r="J476" s="412"/>
      <c r="K476" s="412"/>
      <c r="L476" s="412"/>
      <c r="M476" s="412"/>
      <c r="N476" s="415"/>
      <c r="O476" s="432" t="s">
        <v>70</v>
      </c>
      <c r="P476" s="433"/>
      <c r="Q476" s="433"/>
      <c r="R476" s="433"/>
      <c r="S476" s="433"/>
      <c r="T476" s="433"/>
      <c r="U476" s="434"/>
      <c r="V476" s="37" t="s">
        <v>66</v>
      </c>
      <c r="W476" s="404">
        <f>IFERROR(SUM(W472:W474),"0")</f>
        <v>0</v>
      </c>
      <c r="X476" s="404">
        <f>IFERROR(SUM(X472:X474),"0")</f>
        <v>0</v>
      </c>
      <c r="Y476" s="37"/>
      <c r="Z476" s="405"/>
      <c r="AA476" s="405"/>
    </row>
    <row r="477" spans="1:67" ht="16.5" customHeight="1" x14ac:dyDescent="0.25">
      <c r="A477" s="421" t="s">
        <v>678</v>
      </c>
      <c r="B477" s="412"/>
      <c r="C477" s="412"/>
      <c r="D477" s="412"/>
      <c r="E477" s="412"/>
      <c r="F477" s="412"/>
      <c r="G477" s="412"/>
      <c r="H477" s="412"/>
      <c r="I477" s="412"/>
      <c r="J477" s="412"/>
      <c r="K477" s="412"/>
      <c r="L477" s="412"/>
      <c r="M477" s="412"/>
      <c r="N477" s="412"/>
      <c r="O477" s="412"/>
      <c r="P477" s="412"/>
      <c r="Q477" s="412"/>
      <c r="R477" s="412"/>
      <c r="S477" s="412"/>
      <c r="T477" s="412"/>
      <c r="U477" s="412"/>
      <c r="V477" s="412"/>
      <c r="W477" s="412"/>
      <c r="X477" s="412"/>
      <c r="Y477" s="412"/>
      <c r="Z477" s="396"/>
      <c r="AA477" s="396"/>
    </row>
    <row r="478" spans="1:67" ht="14.25" customHeight="1" x14ac:dyDescent="0.25">
      <c r="A478" s="411" t="s">
        <v>61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412"/>
      <c r="Z478" s="395"/>
      <c r="AA478" s="395"/>
    </row>
    <row r="479" spans="1:67" ht="27" customHeight="1" x14ac:dyDescent="0.25">
      <c r="A479" s="54" t="s">
        <v>679</v>
      </c>
      <c r="B479" s="54" t="s">
        <v>680</v>
      </c>
      <c r="C479" s="31">
        <v>4301031365</v>
      </c>
      <c r="D479" s="406">
        <v>4680115885738</v>
      </c>
      <c r="E479" s="407"/>
      <c r="F479" s="401">
        <v>1</v>
      </c>
      <c r="G479" s="32">
        <v>4</v>
      </c>
      <c r="H479" s="401">
        <v>4</v>
      </c>
      <c r="I479" s="401">
        <v>4.3600000000000003</v>
      </c>
      <c r="J479" s="32">
        <v>104</v>
      </c>
      <c r="K479" s="32" t="s">
        <v>109</v>
      </c>
      <c r="L479" s="33" t="s">
        <v>65</v>
      </c>
      <c r="M479" s="33"/>
      <c r="N479" s="32">
        <v>40</v>
      </c>
      <c r="O479" s="600" t="s">
        <v>681</v>
      </c>
      <c r="P479" s="409"/>
      <c r="Q479" s="409"/>
      <c r="R479" s="409"/>
      <c r="S479" s="407"/>
      <c r="T479" s="34"/>
      <c r="U479" s="34"/>
      <c r="V479" s="35" t="s">
        <v>66</v>
      </c>
      <c r="W479" s="402">
        <v>0</v>
      </c>
      <c r="X479" s="403">
        <f>IFERROR(IF(W479="",0,CEILING((W479/$H479),1)*$H479),"")</f>
        <v>0</v>
      </c>
      <c r="Y479" s="36" t="str">
        <f>IFERROR(IF(X479=0,"",ROUNDUP(X479/H479,0)*0.01196),"")</f>
        <v/>
      </c>
      <c r="Z479" s="56"/>
      <c r="AA479" s="57" t="s">
        <v>187</v>
      </c>
      <c r="AE479" s="64"/>
      <c r="BB479" s="338" t="s">
        <v>1</v>
      </c>
      <c r="BL479" s="64">
        <f>IFERROR(W479*I479/H479,"0")</f>
        <v>0</v>
      </c>
      <c r="BM479" s="64">
        <f>IFERROR(X479*I479/H479,"0")</f>
        <v>0</v>
      </c>
      <c r="BN479" s="64">
        <f>IFERROR(1/J479*(W479/H479),"0")</f>
        <v>0</v>
      </c>
      <c r="BO479" s="64">
        <f>IFERROR(1/J479*(X479/H479),"0")</f>
        <v>0</v>
      </c>
    </row>
    <row r="480" spans="1:67" ht="27" customHeight="1" x14ac:dyDescent="0.25">
      <c r="A480" s="54" t="s">
        <v>682</v>
      </c>
      <c r="B480" s="54" t="s">
        <v>683</v>
      </c>
      <c r="C480" s="31">
        <v>4301031261</v>
      </c>
      <c r="D480" s="406">
        <v>4680115885103</v>
      </c>
      <c r="E480" s="407"/>
      <c r="F480" s="401">
        <v>0.27</v>
      </c>
      <c r="G480" s="32">
        <v>6</v>
      </c>
      <c r="H480" s="401">
        <v>1.62</v>
      </c>
      <c r="I480" s="401">
        <v>1.82</v>
      </c>
      <c r="J480" s="32">
        <v>156</v>
      </c>
      <c r="K480" s="32" t="s">
        <v>64</v>
      </c>
      <c r="L480" s="33" t="s">
        <v>65</v>
      </c>
      <c r="M480" s="33"/>
      <c r="N480" s="32">
        <v>40</v>
      </c>
      <c r="O480" s="7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0" s="409"/>
      <c r="Q480" s="409"/>
      <c r="R480" s="409"/>
      <c r="S480" s="407"/>
      <c r="T480" s="34"/>
      <c r="U480" s="34"/>
      <c r="V480" s="35" t="s">
        <v>66</v>
      </c>
      <c r="W480" s="402">
        <v>0</v>
      </c>
      <c r="X480" s="403">
        <f>IFERROR(IF(W480="",0,CEILING((W480/$H480),1)*$H480),"")</f>
        <v>0</v>
      </c>
      <c r="Y480" s="36" t="str">
        <f>IFERROR(IF(X480=0,"",ROUNDUP(X480/H480,0)*0.00753),"")</f>
        <v/>
      </c>
      <c r="Z480" s="56"/>
      <c r="AA480" s="57"/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x14ac:dyDescent="0.2">
      <c r="A481" s="414"/>
      <c r="B481" s="412"/>
      <c r="C481" s="412"/>
      <c r="D481" s="412"/>
      <c r="E481" s="412"/>
      <c r="F481" s="412"/>
      <c r="G481" s="412"/>
      <c r="H481" s="412"/>
      <c r="I481" s="412"/>
      <c r="J481" s="412"/>
      <c r="K481" s="412"/>
      <c r="L481" s="412"/>
      <c r="M481" s="412"/>
      <c r="N481" s="415"/>
      <c r="O481" s="432" t="s">
        <v>70</v>
      </c>
      <c r="P481" s="433"/>
      <c r="Q481" s="433"/>
      <c r="R481" s="433"/>
      <c r="S481" s="433"/>
      <c r="T481" s="433"/>
      <c r="U481" s="434"/>
      <c r="V481" s="37" t="s">
        <v>71</v>
      </c>
      <c r="W481" s="404">
        <f>IFERROR(W479/H479,"0")+IFERROR(W480/H480,"0")</f>
        <v>0</v>
      </c>
      <c r="X481" s="404">
        <f>IFERROR(X479/H479,"0")+IFERROR(X480/H480,"0")</f>
        <v>0</v>
      </c>
      <c r="Y481" s="404">
        <f>IFERROR(IF(Y479="",0,Y479),"0")+IFERROR(IF(Y480="",0,Y480),"0")</f>
        <v>0</v>
      </c>
      <c r="Z481" s="405"/>
      <c r="AA481" s="405"/>
    </row>
    <row r="482" spans="1:67" x14ac:dyDescent="0.2">
      <c r="A482" s="412"/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15"/>
      <c r="O482" s="432" t="s">
        <v>70</v>
      </c>
      <c r="P482" s="433"/>
      <c r="Q482" s="433"/>
      <c r="R482" s="433"/>
      <c r="S482" s="433"/>
      <c r="T482" s="433"/>
      <c r="U482" s="434"/>
      <c r="V482" s="37" t="s">
        <v>66</v>
      </c>
      <c r="W482" s="404">
        <f>IFERROR(SUM(W479:W480),"0")</f>
        <v>0</v>
      </c>
      <c r="X482" s="404">
        <f>IFERROR(SUM(X479:X480),"0")</f>
        <v>0</v>
      </c>
      <c r="Y482" s="37"/>
      <c r="Z482" s="405"/>
      <c r="AA482" s="405"/>
    </row>
    <row r="483" spans="1:67" ht="14.25" customHeight="1" x14ac:dyDescent="0.25">
      <c r="A483" s="411" t="s">
        <v>217</v>
      </c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2"/>
      <c r="O483" s="412"/>
      <c r="P483" s="412"/>
      <c r="Q483" s="412"/>
      <c r="R483" s="412"/>
      <c r="S483" s="412"/>
      <c r="T483" s="412"/>
      <c r="U483" s="412"/>
      <c r="V483" s="412"/>
      <c r="W483" s="412"/>
      <c r="X483" s="412"/>
      <c r="Y483" s="412"/>
      <c r="Z483" s="395"/>
      <c r="AA483" s="395"/>
    </row>
    <row r="484" spans="1:67" ht="27" customHeight="1" x14ac:dyDescent="0.25">
      <c r="A484" s="54" t="s">
        <v>684</v>
      </c>
      <c r="B484" s="54" t="s">
        <v>685</v>
      </c>
      <c r="C484" s="31">
        <v>4301060412</v>
      </c>
      <c r="D484" s="406">
        <v>4680115885509</v>
      </c>
      <c r="E484" s="407"/>
      <c r="F484" s="401">
        <v>0.27</v>
      </c>
      <c r="G484" s="32">
        <v>6</v>
      </c>
      <c r="H484" s="401">
        <v>1.62</v>
      </c>
      <c r="I484" s="401">
        <v>1.8859999999999999</v>
      </c>
      <c r="J484" s="32">
        <v>156</v>
      </c>
      <c r="K484" s="32" t="s">
        <v>64</v>
      </c>
      <c r="L484" s="33" t="s">
        <v>65</v>
      </c>
      <c r="M484" s="33"/>
      <c r="N484" s="32">
        <v>35</v>
      </c>
      <c r="O484" s="807" t="s">
        <v>686</v>
      </c>
      <c r="P484" s="409"/>
      <c r="Q484" s="409"/>
      <c r="R484" s="409"/>
      <c r="S484" s="407"/>
      <c r="T484" s="34"/>
      <c r="U484" s="34"/>
      <c r="V484" s="35" t="s">
        <v>66</v>
      </c>
      <c r="W484" s="402">
        <v>0</v>
      </c>
      <c r="X484" s="403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 t="s">
        <v>187</v>
      </c>
      <c r="AE484" s="64"/>
      <c r="BB484" s="340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x14ac:dyDescent="0.2">
      <c r="A485" s="414"/>
      <c r="B485" s="412"/>
      <c r="C485" s="412"/>
      <c r="D485" s="412"/>
      <c r="E485" s="412"/>
      <c r="F485" s="412"/>
      <c r="G485" s="412"/>
      <c r="H485" s="412"/>
      <c r="I485" s="412"/>
      <c r="J485" s="412"/>
      <c r="K485" s="412"/>
      <c r="L485" s="412"/>
      <c r="M485" s="412"/>
      <c r="N485" s="415"/>
      <c r="O485" s="432" t="s">
        <v>70</v>
      </c>
      <c r="P485" s="433"/>
      <c r="Q485" s="433"/>
      <c r="R485" s="433"/>
      <c r="S485" s="433"/>
      <c r="T485" s="433"/>
      <c r="U485" s="434"/>
      <c r="V485" s="37" t="s">
        <v>71</v>
      </c>
      <c r="W485" s="404">
        <f>IFERROR(W484/H484,"0")</f>
        <v>0</v>
      </c>
      <c r="X485" s="404">
        <f>IFERROR(X484/H484,"0")</f>
        <v>0</v>
      </c>
      <c r="Y485" s="404">
        <f>IFERROR(IF(Y484="",0,Y484),"0")</f>
        <v>0</v>
      </c>
      <c r="Z485" s="405"/>
      <c r="AA485" s="405"/>
    </row>
    <row r="486" spans="1:67" x14ac:dyDescent="0.2">
      <c r="A486" s="412"/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5"/>
      <c r="O486" s="432" t="s">
        <v>70</v>
      </c>
      <c r="P486" s="433"/>
      <c r="Q486" s="433"/>
      <c r="R486" s="433"/>
      <c r="S486" s="433"/>
      <c r="T486" s="433"/>
      <c r="U486" s="434"/>
      <c r="V486" s="37" t="s">
        <v>66</v>
      </c>
      <c r="W486" s="404">
        <f>IFERROR(SUM(W484:W484),"0")</f>
        <v>0</v>
      </c>
      <c r="X486" s="404">
        <f>IFERROR(SUM(X484:X484),"0")</f>
        <v>0</v>
      </c>
      <c r="Y486" s="37"/>
      <c r="Z486" s="405"/>
      <c r="AA486" s="405"/>
    </row>
    <row r="487" spans="1:67" ht="27.75" customHeight="1" x14ac:dyDescent="0.2">
      <c r="A487" s="453" t="s">
        <v>687</v>
      </c>
      <c r="B487" s="454"/>
      <c r="C487" s="454"/>
      <c r="D487" s="454"/>
      <c r="E487" s="454"/>
      <c r="F487" s="454"/>
      <c r="G487" s="454"/>
      <c r="H487" s="454"/>
      <c r="I487" s="454"/>
      <c r="J487" s="454"/>
      <c r="K487" s="454"/>
      <c r="L487" s="454"/>
      <c r="M487" s="454"/>
      <c r="N487" s="454"/>
      <c r="O487" s="454"/>
      <c r="P487" s="454"/>
      <c r="Q487" s="454"/>
      <c r="R487" s="454"/>
      <c r="S487" s="454"/>
      <c r="T487" s="454"/>
      <c r="U487" s="454"/>
      <c r="V487" s="454"/>
      <c r="W487" s="454"/>
      <c r="X487" s="454"/>
      <c r="Y487" s="454"/>
      <c r="Z487" s="48"/>
      <c r="AA487" s="48"/>
    </row>
    <row r="488" spans="1:67" ht="16.5" customHeight="1" x14ac:dyDescent="0.25">
      <c r="A488" s="421" t="s">
        <v>687</v>
      </c>
      <c r="B488" s="412"/>
      <c r="C488" s="412"/>
      <c r="D488" s="412"/>
      <c r="E488" s="412"/>
      <c r="F488" s="412"/>
      <c r="G488" s="412"/>
      <c r="H488" s="412"/>
      <c r="I488" s="412"/>
      <c r="J488" s="412"/>
      <c r="K488" s="412"/>
      <c r="L488" s="412"/>
      <c r="M488" s="412"/>
      <c r="N488" s="412"/>
      <c r="O488" s="412"/>
      <c r="P488" s="412"/>
      <c r="Q488" s="412"/>
      <c r="R488" s="412"/>
      <c r="S488" s="412"/>
      <c r="T488" s="412"/>
      <c r="U488" s="412"/>
      <c r="V488" s="412"/>
      <c r="W488" s="412"/>
      <c r="X488" s="412"/>
      <c r="Y488" s="412"/>
      <c r="Z488" s="396"/>
      <c r="AA488" s="396"/>
    </row>
    <row r="489" spans="1:67" ht="14.25" customHeight="1" x14ac:dyDescent="0.25">
      <c r="A489" s="411" t="s">
        <v>114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395"/>
      <c r="AA489" s="395"/>
    </row>
    <row r="490" spans="1:67" ht="27" customHeight="1" x14ac:dyDescent="0.25">
      <c r="A490" s="54" t="s">
        <v>688</v>
      </c>
      <c r="B490" s="54" t="s">
        <v>689</v>
      </c>
      <c r="C490" s="31">
        <v>4301011795</v>
      </c>
      <c r="D490" s="406">
        <v>4607091389067</v>
      </c>
      <c r="E490" s="407"/>
      <c r="F490" s="401">
        <v>0.88</v>
      </c>
      <c r="G490" s="32">
        <v>6</v>
      </c>
      <c r="H490" s="401">
        <v>5.28</v>
      </c>
      <c r="I490" s="401">
        <v>5.64</v>
      </c>
      <c r="J490" s="32">
        <v>104</v>
      </c>
      <c r="K490" s="32" t="s">
        <v>109</v>
      </c>
      <c r="L490" s="33" t="s">
        <v>110</v>
      </c>
      <c r="M490" s="33"/>
      <c r="N490" s="32">
        <v>60</v>
      </c>
      <c r="O490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0" s="409"/>
      <c r="Q490" s="409"/>
      <c r="R490" s="409"/>
      <c r="S490" s="407"/>
      <c r="T490" s="34"/>
      <c r="U490" s="34"/>
      <c r="V490" s="35" t="s">
        <v>66</v>
      </c>
      <c r="W490" s="402">
        <v>0</v>
      </c>
      <c r="X490" s="403">
        <f t="shared" ref="X490:X501" si="88">IFERROR(IF(W490="",0,CEILING((W490/$H490),1)*$H490),"")</f>
        <v>0</v>
      </c>
      <c r="Y490" s="36" t="str">
        <f t="shared" ref="Y490:Y496" si="89"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501" si="90">IFERROR(W490*I490/H490,"0")</f>
        <v>0</v>
      </c>
      <c r="BM490" s="64">
        <f t="shared" ref="BM490:BM501" si="91">IFERROR(X490*I490/H490,"0")</f>
        <v>0</v>
      </c>
      <c r="BN490" s="64">
        <f t="shared" ref="BN490:BN501" si="92">IFERROR(1/J490*(W490/H490),"0")</f>
        <v>0</v>
      </c>
      <c r="BO490" s="64">
        <f t="shared" ref="BO490:BO501" si="93">IFERROR(1/J490*(X490/H490),"0")</f>
        <v>0</v>
      </c>
    </row>
    <row r="491" spans="1:67" ht="27" customHeight="1" x14ac:dyDescent="0.25">
      <c r="A491" s="54" t="s">
        <v>690</v>
      </c>
      <c r="B491" s="54" t="s">
        <v>691</v>
      </c>
      <c r="C491" s="31">
        <v>4301011779</v>
      </c>
      <c r="D491" s="406">
        <v>4607091383522</v>
      </c>
      <c r="E491" s="407"/>
      <c r="F491" s="401">
        <v>0.88</v>
      </c>
      <c r="G491" s="32">
        <v>6</v>
      </c>
      <c r="H491" s="401">
        <v>5.28</v>
      </c>
      <c r="I491" s="401">
        <v>5.64</v>
      </c>
      <c r="J491" s="32">
        <v>104</v>
      </c>
      <c r="K491" s="32" t="s">
        <v>109</v>
      </c>
      <c r="L491" s="33" t="s">
        <v>110</v>
      </c>
      <c r="M491" s="33"/>
      <c r="N491" s="32">
        <v>60</v>
      </c>
      <c r="O491" s="65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1" s="409"/>
      <c r="Q491" s="409"/>
      <c r="R491" s="409"/>
      <c r="S491" s="407"/>
      <c r="T491" s="34"/>
      <c r="U491" s="34"/>
      <c r="V491" s="35" t="s">
        <v>66</v>
      </c>
      <c r="W491" s="402">
        <v>168</v>
      </c>
      <c r="X491" s="403">
        <f t="shared" si="88"/>
        <v>168.96</v>
      </c>
      <c r="Y491" s="36">
        <f t="shared" si="89"/>
        <v>0.38272</v>
      </c>
      <c r="Z491" s="56"/>
      <c r="AA491" s="57"/>
      <c r="AE491" s="64"/>
      <c r="BB491" s="342" t="s">
        <v>1</v>
      </c>
      <c r="BL491" s="64">
        <f t="shared" si="90"/>
        <v>179.45454545454544</v>
      </c>
      <c r="BM491" s="64">
        <f t="shared" si="91"/>
        <v>180.48</v>
      </c>
      <c r="BN491" s="64">
        <f t="shared" si="92"/>
        <v>0.30594405594405594</v>
      </c>
      <c r="BO491" s="64">
        <f t="shared" si="93"/>
        <v>0.30769230769230771</v>
      </c>
    </row>
    <row r="492" spans="1:67" ht="27" customHeight="1" x14ac:dyDescent="0.25">
      <c r="A492" s="54" t="s">
        <v>692</v>
      </c>
      <c r="B492" s="54" t="s">
        <v>693</v>
      </c>
      <c r="C492" s="31">
        <v>4301011376</v>
      </c>
      <c r="D492" s="406">
        <v>4680115885226</v>
      </c>
      <c r="E492" s="407"/>
      <c r="F492" s="401">
        <v>0.85</v>
      </c>
      <c r="G492" s="32">
        <v>6</v>
      </c>
      <c r="H492" s="401">
        <v>5.0999999999999996</v>
      </c>
      <c r="I492" s="401">
        <v>5.46</v>
      </c>
      <c r="J492" s="32">
        <v>104</v>
      </c>
      <c r="K492" s="32" t="s">
        <v>109</v>
      </c>
      <c r="L492" s="33" t="s">
        <v>129</v>
      </c>
      <c r="M492" s="33"/>
      <c r="N492" s="32">
        <v>60</v>
      </c>
      <c r="O492" s="5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09"/>
      <c r="Q492" s="409"/>
      <c r="R492" s="409"/>
      <c r="S492" s="407"/>
      <c r="T492" s="34"/>
      <c r="U492" s="34"/>
      <c r="V492" s="35" t="s">
        <v>66</v>
      </c>
      <c r="W492" s="402">
        <v>0</v>
      </c>
      <c r="X492" s="403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customHeight="1" x14ac:dyDescent="0.25">
      <c r="A493" s="54" t="s">
        <v>694</v>
      </c>
      <c r="B493" s="54" t="s">
        <v>695</v>
      </c>
      <c r="C493" s="31">
        <v>4301011961</v>
      </c>
      <c r="D493" s="406">
        <v>4680115885271</v>
      </c>
      <c r="E493" s="407"/>
      <c r="F493" s="401">
        <v>0.88</v>
      </c>
      <c r="G493" s="32">
        <v>6</v>
      </c>
      <c r="H493" s="401">
        <v>5.28</v>
      </c>
      <c r="I493" s="401">
        <v>5.64</v>
      </c>
      <c r="J493" s="32">
        <v>104</v>
      </c>
      <c r="K493" s="32" t="s">
        <v>109</v>
      </c>
      <c r="L493" s="33" t="s">
        <v>110</v>
      </c>
      <c r="M493" s="33"/>
      <c r="N493" s="32">
        <v>60</v>
      </c>
      <c r="O493" s="773" t="s">
        <v>696</v>
      </c>
      <c r="P493" s="409"/>
      <c r="Q493" s="409"/>
      <c r="R493" s="409"/>
      <c r="S493" s="407"/>
      <c r="T493" s="34"/>
      <c r="U493" s="34"/>
      <c r="V493" s="35" t="s">
        <v>66</v>
      </c>
      <c r="W493" s="402">
        <v>0</v>
      </c>
      <c r="X493" s="403">
        <f t="shared" si="88"/>
        <v>0</v>
      </c>
      <c r="Y493" s="36" t="str">
        <f t="shared" si="89"/>
        <v/>
      </c>
      <c r="Z493" s="56"/>
      <c r="AA493" s="57"/>
      <c r="AE493" s="64"/>
      <c r="BB493" s="344" t="s">
        <v>1</v>
      </c>
      <c r="BL493" s="64">
        <f t="shared" si="90"/>
        <v>0</v>
      </c>
      <c r="BM493" s="64">
        <f t="shared" si="91"/>
        <v>0</v>
      </c>
      <c r="BN493" s="64">
        <f t="shared" si="92"/>
        <v>0</v>
      </c>
      <c r="BO493" s="64">
        <f t="shared" si="93"/>
        <v>0</v>
      </c>
    </row>
    <row r="494" spans="1:67" ht="16.5" customHeight="1" x14ac:dyDescent="0.25">
      <c r="A494" s="54" t="s">
        <v>697</v>
      </c>
      <c r="B494" s="54" t="s">
        <v>698</v>
      </c>
      <c r="C494" s="31">
        <v>4301011774</v>
      </c>
      <c r="D494" s="406">
        <v>4680115884502</v>
      </c>
      <c r="E494" s="407"/>
      <c r="F494" s="401">
        <v>0.88</v>
      </c>
      <c r="G494" s="32">
        <v>6</v>
      </c>
      <c r="H494" s="401">
        <v>5.28</v>
      </c>
      <c r="I494" s="401">
        <v>5.64</v>
      </c>
      <c r="J494" s="32">
        <v>104</v>
      </c>
      <c r="K494" s="32" t="s">
        <v>109</v>
      </c>
      <c r="L494" s="33" t="s">
        <v>110</v>
      </c>
      <c r="M494" s="33"/>
      <c r="N494" s="32">
        <v>60</v>
      </c>
      <c r="O494" s="6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4" s="409"/>
      <c r="Q494" s="409"/>
      <c r="R494" s="409"/>
      <c r="S494" s="407"/>
      <c r="T494" s="34"/>
      <c r="U494" s="34"/>
      <c r="V494" s="35" t="s">
        <v>66</v>
      </c>
      <c r="W494" s="402">
        <v>0</v>
      </c>
      <c r="X494" s="403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customHeight="1" x14ac:dyDescent="0.25">
      <c r="A495" s="54" t="s">
        <v>699</v>
      </c>
      <c r="B495" s="54" t="s">
        <v>700</v>
      </c>
      <c r="C495" s="31">
        <v>4301011771</v>
      </c>
      <c r="D495" s="406">
        <v>4607091389104</v>
      </c>
      <c r="E495" s="407"/>
      <c r="F495" s="401">
        <v>0.88</v>
      </c>
      <c r="G495" s="32">
        <v>6</v>
      </c>
      <c r="H495" s="401">
        <v>5.28</v>
      </c>
      <c r="I495" s="401">
        <v>5.64</v>
      </c>
      <c r="J495" s="32">
        <v>104</v>
      </c>
      <c r="K495" s="32" t="s">
        <v>109</v>
      </c>
      <c r="L495" s="33" t="s">
        <v>110</v>
      </c>
      <c r="M495" s="33"/>
      <c r="N495" s="32">
        <v>60</v>
      </c>
      <c r="O495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5" s="409"/>
      <c r="Q495" s="409"/>
      <c r="R495" s="409"/>
      <c r="S495" s="407"/>
      <c r="T495" s="34"/>
      <c r="U495" s="34"/>
      <c r="V495" s="35" t="s">
        <v>66</v>
      </c>
      <c r="W495" s="402">
        <v>0</v>
      </c>
      <c r="X495" s="403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16.5" customHeight="1" x14ac:dyDescent="0.25">
      <c r="A496" s="54" t="s">
        <v>701</v>
      </c>
      <c r="B496" s="54" t="s">
        <v>702</v>
      </c>
      <c r="C496" s="31">
        <v>4301011799</v>
      </c>
      <c r="D496" s="406">
        <v>4680115884519</v>
      </c>
      <c r="E496" s="407"/>
      <c r="F496" s="401">
        <v>0.88</v>
      </c>
      <c r="G496" s="32">
        <v>6</v>
      </c>
      <c r="H496" s="401">
        <v>5.28</v>
      </c>
      <c r="I496" s="401">
        <v>5.64</v>
      </c>
      <c r="J496" s="32">
        <v>104</v>
      </c>
      <c r="K496" s="32" t="s">
        <v>109</v>
      </c>
      <c r="L496" s="33" t="s">
        <v>129</v>
      </c>
      <c r="M496" s="33"/>
      <c r="N496" s="32">
        <v>60</v>
      </c>
      <c r="O496" s="6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6" s="409"/>
      <c r="Q496" s="409"/>
      <c r="R496" s="409"/>
      <c r="S496" s="407"/>
      <c r="T496" s="34"/>
      <c r="U496" s="34"/>
      <c r="V496" s="35" t="s">
        <v>66</v>
      </c>
      <c r="W496" s="402">
        <v>0</v>
      </c>
      <c r="X496" s="403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27" customHeight="1" x14ac:dyDescent="0.25">
      <c r="A497" s="54" t="s">
        <v>703</v>
      </c>
      <c r="B497" s="54" t="s">
        <v>704</v>
      </c>
      <c r="C497" s="31">
        <v>4301011778</v>
      </c>
      <c r="D497" s="406">
        <v>4680115880603</v>
      </c>
      <c r="E497" s="407"/>
      <c r="F497" s="401">
        <v>0.6</v>
      </c>
      <c r="G497" s="32">
        <v>6</v>
      </c>
      <c r="H497" s="401">
        <v>3.6</v>
      </c>
      <c r="I497" s="401">
        <v>3.84</v>
      </c>
      <c r="J497" s="32">
        <v>120</v>
      </c>
      <c r="K497" s="32" t="s">
        <v>64</v>
      </c>
      <c r="L497" s="33" t="s">
        <v>110</v>
      </c>
      <c r="M497" s="33"/>
      <c r="N497" s="32">
        <v>60</v>
      </c>
      <c r="O497" s="4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7" s="409"/>
      <c r="Q497" s="409"/>
      <c r="R497" s="409"/>
      <c r="S497" s="407"/>
      <c r="T497" s="34"/>
      <c r="U497" s="34"/>
      <c r="V497" s="35" t="s">
        <v>66</v>
      </c>
      <c r="W497" s="402">
        <v>0</v>
      </c>
      <c r="X497" s="403">
        <f t="shared" si="88"/>
        <v>0</v>
      </c>
      <c r="Y497" s="36" t="str">
        <f>IFERROR(IF(X497=0,"",ROUNDUP(X497/H497,0)*0.00937),"")</f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705</v>
      </c>
      <c r="B498" s="54" t="s">
        <v>706</v>
      </c>
      <c r="C498" s="31">
        <v>4301011775</v>
      </c>
      <c r="D498" s="406">
        <v>4607091389999</v>
      </c>
      <c r="E498" s="407"/>
      <c r="F498" s="401">
        <v>0.6</v>
      </c>
      <c r="G498" s="32">
        <v>6</v>
      </c>
      <c r="H498" s="401">
        <v>3.6</v>
      </c>
      <c r="I498" s="401">
        <v>3.84</v>
      </c>
      <c r="J498" s="32">
        <v>120</v>
      </c>
      <c r="K498" s="32" t="s">
        <v>64</v>
      </c>
      <c r="L498" s="33" t="s">
        <v>110</v>
      </c>
      <c r="M498" s="33"/>
      <c r="N498" s="32">
        <v>60</v>
      </c>
      <c r="O498" s="79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8" s="409"/>
      <c r="Q498" s="409"/>
      <c r="R498" s="409"/>
      <c r="S498" s="407"/>
      <c r="T498" s="34"/>
      <c r="U498" s="34"/>
      <c r="V498" s="35" t="s">
        <v>66</v>
      </c>
      <c r="W498" s="402">
        <v>0</v>
      </c>
      <c r="X498" s="403">
        <f t="shared" si="88"/>
        <v>0</v>
      </c>
      <c r="Y498" s="36" t="str">
        <f>IFERROR(IF(X498=0,"",ROUNDUP(X498/H498,0)*0.00937),"")</f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customHeight="1" x14ac:dyDescent="0.25">
      <c r="A499" s="54" t="s">
        <v>707</v>
      </c>
      <c r="B499" s="54" t="s">
        <v>708</v>
      </c>
      <c r="C499" s="31">
        <v>4301011959</v>
      </c>
      <c r="D499" s="406">
        <v>4680115882782</v>
      </c>
      <c r="E499" s="407"/>
      <c r="F499" s="401">
        <v>0.6</v>
      </c>
      <c r="G499" s="32">
        <v>6</v>
      </c>
      <c r="H499" s="401">
        <v>3.6</v>
      </c>
      <c r="I499" s="401">
        <v>3.84</v>
      </c>
      <c r="J499" s="32">
        <v>120</v>
      </c>
      <c r="K499" s="32" t="s">
        <v>64</v>
      </c>
      <c r="L499" s="33" t="s">
        <v>110</v>
      </c>
      <c r="M499" s="33"/>
      <c r="N499" s="32">
        <v>60</v>
      </c>
      <c r="O499" s="431" t="s">
        <v>709</v>
      </c>
      <c r="P499" s="409"/>
      <c r="Q499" s="409"/>
      <c r="R499" s="409"/>
      <c r="S499" s="407"/>
      <c r="T499" s="34"/>
      <c r="U499" s="34"/>
      <c r="V499" s="35" t="s">
        <v>66</v>
      </c>
      <c r="W499" s="402">
        <v>0</v>
      </c>
      <c r="X499" s="403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710</v>
      </c>
      <c r="B500" s="54" t="s">
        <v>711</v>
      </c>
      <c r="C500" s="31">
        <v>4301011190</v>
      </c>
      <c r="D500" s="406">
        <v>4607091389098</v>
      </c>
      <c r="E500" s="407"/>
      <c r="F500" s="401">
        <v>0.4</v>
      </c>
      <c r="G500" s="32">
        <v>6</v>
      </c>
      <c r="H500" s="401">
        <v>2.4</v>
      </c>
      <c r="I500" s="401">
        <v>2.6</v>
      </c>
      <c r="J500" s="32">
        <v>156</v>
      </c>
      <c r="K500" s="32" t="s">
        <v>64</v>
      </c>
      <c r="L500" s="33" t="s">
        <v>129</v>
      </c>
      <c r="M500" s="33"/>
      <c r="N500" s="32">
        <v>50</v>
      </c>
      <c r="O500" s="61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0" s="409"/>
      <c r="Q500" s="409"/>
      <c r="R500" s="409"/>
      <c r="S500" s="407"/>
      <c r="T500" s="34"/>
      <c r="U500" s="34"/>
      <c r="V500" s="35" t="s">
        <v>66</v>
      </c>
      <c r="W500" s="402">
        <v>0</v>
      </c>
      <c r="X500" s="403">
        <f t="shared" si="88"/>
        <v>0</v>
      </c>
      <c r="Y500" s="36" t="str">
        <f>IFERROR(IF(X500=0,"",ROUNDUP(X500/H500,0)*0.00753),"")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712</v>
      </c>
      <c r="B501" s="54" t="s">
        <v>713</v>
      </c>
      <c r="C501" s="31">
        <v>4301011784</v>
      </c>
      <c r="D501" s="406">
        <v>4607091389982</v>
      </c>
      <c r="E501" s="407"/>
      <c r="F501" s="401">
        <v>0.6</v>
      </c>
      <c r="G501" s="32">
        <v>6</v>
      </c>
      <c r="H501" s="401">
        <v>3.6</v>
      </c>
      <c r="I501" s="401">
        <v>3.84</v>
      </c>
      <c r="J501" s="32">
        <v>120</v>
      </c>
      <c r="K501" s="32" t="s">
        <v>64</v>
      </c>
      <c r="L501" s="33" t="s">
        <v>110</v>
      </c>
      <c r="M501" s="33"/>
      <c r="N501" s="32">
        <v>60</v>
      </c>
      <c r="O501" s="62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1" s="409"/>
      <c r="Q501" s="409"/>
      <c r="R501" s="409"/>
      <c r="S501" s="407"/>
      <c r="T501" s="34"/>
      <c r="U501" s="34"/>
      <c r="V501" s="35" t="s">
        <v>66</v>
      </c>
      <c r="W501" s="402">
        <v>0</v>
      </c>
      <c r="X501" s="403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x14ac:dyDescent="0.2">
      <c r="A502" s="414"/>
      <c r="B502" s="412"/>
      <c r="C502" s="412"/>
      <c r="D502" s="412"/>
      <c r="E502" s="412"/>
      <c r="F502" s="412"/>
      <c r="G502" s="412"/>
      <c r="H502" s="412"/>
      <c r="I502" s="412"/>
      <c r="J502" s="412"/>
      <c r="K502" s="412"/>
      <c r="L502" s="412"/>
      <c r="M502" s="412"/>
      <c r="N502" s="415"/>
      <c r="O502" s="432" t="s">
        <v>70</v>
      </c>
      <c r="P502" s="433"/>
      <c r="Q502" s="433"/>
      <c r="R502" s="433"/>
      <c r="S502" s="433"/>
      <c r="T502" s="433"/>
      <c r="U502" s="434"/>
      <c r="V502" s="37" t="s">
        <v>71</v>
      </c>
      <c r="W502" s="404">
        <f>IFERROR(W490/H490,"0")+IFERROR(W491/H491,"0")+IFERROR(W492/H492,"0")+IFERROR(W493/H493,"0")+IFERROR(W494/H494,"0")+IFERROR(W495/H495,"0")+IFERROR(W496/H496,"0")+IFERROR(W497/H497,"0")+IFERROR(W498/H498,"0")+IFERROR(W499/H499,"0")+IFERROR(W500/H500,"0")+IFERROR(W501/H501,"0")</f>
        <v>31.818181818181817</v>
      </c>
      <c r="X502" s="404">
        <f>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32</v>
      </c>
      <c r="Y502" s="404">
        <f>IFERROR(IF(Y490="",0,Y490),"0")+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</f>
        <v>0.38272</v>
      </c>
      <c r="Z502" s="405"/>
      <c r="AA502" s="405"/>
    </row>
    <row r="503" spans="1:67" x14ac:dyDescent="0.2">
      <c r="A503" s="412"/>
      <c r="B503" s="412"/>
      <c r="C503" s="412"/>
      <c r="D503" s="412"/>
      <c r="E503" s="412"/>
      <c r="F503" s="412"/>
      <c r="G503" s="412"/>
      <c r="H503" s="412"/>
      <c r="I503" s="412"/>
      <c r="J503" s="412"/>
      <c r="K503" s="412"/>
      <c r="L503" s="412"/>
      <c r="M503" s="412"/>
      <c r="N503" s="415"/>
      <c r="O503" s="432" t="s">
        <v>70</v>
      </c>
      <c r="P503" s="433"/>
      <c r="Q503" s="433"/>
      <c r="R503" s="433"/>
      <c r="S503" s="433"/>
      <c r="T503" s="433"/>
      <c r="U503" s="434"/>
      <c r="V503" s="37" t="s">
        <v>66</v>
      </c>
      <c r="W503" s="404">
        <f>IFERROR(SUM(W490:W501),"0")</f>
        <v>168</v>
      </c>
      <c r="X503" s="404">
        <f>IFERROR(SUM(X490:X501),"0")</f>
        <v>168.96</v>
      </c>
      <c r="Y503" s="37"/>
      <c r="Z503" s="405"/>
      <c r="AA503" s="405"/>
    </row>
    <row r="504" spans="1:67" ht="14.25" customHeight="1" x14ac:dyDescent="0.25">
      <c r="A504" s="411" t="s">
        <v>106</v>
      </c>
      <c r="B504" s="412"/>
      <c r="C504" s="412"/>
      <c r="D504" s="412"/>
      <c r="E504" s="412"/>
      <c r="F504" s="412"/>
      <c r="G504" s="412"/>
      <c r="H504" s="412"/>
      <c r="I504" s="412"/>
      <c r="J504" s="412"/>
      <c r="K504" s="412"/>
      <c r="L504" s="412"/>
      <c r="M504" s="412"/>
      <c r="N504" s="412"/>
      <c r="O504" s="412"/>
      <c r="P504" s="412"/>
      <c r="Q504" s="412"/>
      <c r="R504" s="412"/>
      <c r="S504" s="412"/>
      <c r="T504" s="412"/>
      <c r="U504" s="412"/>
      <c r="V504" s="412"/>
      <c r="W504" s="412"/>
      <c r="X504" s="412"/>
      <c r="Y504" s="412"/>
      <c r="Z504" s="395"/>
      <c r="AA504" s="395"/>
    </row>
    <row r="505" spans="1:67" ht="16.5" customHeight="1" x14ac:dyDescent="0.25">
      <c r="A505" s="54" t="s">
        <v>714</v>
      </c>
      <c r="B505" s="54" t="s">
        <v>715</v>
      </c>
      <c r="C505" s="31">
        <v>4301020222</v>
      </c>
      <c r="D505" s="406">
        <v>4607091388930</v>
      </c>
      <c r="E505" s="407"/>
      <c r="F505" s="401">
        <v>0.88</v>
      </c>
      <c r="G505" s="32">
        <v>6</v>
      </c>
      <c r="H505" s="401">
        <v>5.28</v>
      </c>
      <c r="I505" s="401">
        <v>5.64</v>
      </c>
      <c r="J505" s="32">
        <v>104</v>
      </c>
      <c r="K505" s="32" t="s">
        <v>109</v>
      </c>
      <c r="L505" s="33" t="s">
        <v>110</v>
      </c>
      <c r="M505" s="33"/>
      <c r="N505" s="32">
        <v>55</v>
      </c>
      <c r="O505" s="4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5" s="409"/>
      <c r="Q505" s="409"/>
      <c r="R505" s="409"/>
      <c r="S505" s="407"/>
      <c r="T505" s="34"/>
      <c r="U505" s="34"/>
      <c r="V505" s="35" t="s">
        <v>66</v>
      </c>
      <c r="W505" s="402">
        <v>93</v>
      </c>
      <c r="X505" s="403">
        <f>IFERROR(IF(W505="",0,CEILING((W505/$H505),1)*$H505),"")</f>
        <v>95.04</v>
      </c>
      <c r="Y505" s="36">
        <f>IFERROR(IF(X505=0,"",ROUNDUP(X505/H505,0)*0.01196),"")</f>
        <v>0.21528</v>
      </c>
      <c r="Z505" s="56"/>
      <c r="AA505" s="57"/>
      <c r="AE505" s="64"/>
      <c r="BB505" s="353" t="s">
        <v>1</v>
      </c>
      <c r="BL505" s="64">
        <f>IFERROR(W505*I505/H505,"0")</f>
        <v>99.340909090909079</v>
      </c>
      <c r="BM505" s="64">
        <f>IFERROR(X505*I505/H505,"0")</f>
        <v>101.52000000000001</v>
      </c>
      <c r="BN505" s="64">
        <f>IFERROR(1/J505*(W505/H505),"0")</f>
        <v>0.16936188811188813</v>
      </c>
      <c r="BO505" s="64">
        <f>IFERROR(1/J505*(X505/H505),"0")</f>
        <v>0.17307692307692307</v>
      </c>
    </row>
    <row r="506" spans="1:67" ht="16.5" customHeight="1" x14ac:dyDescent="0.25">
      <c r="A506" s="54" t="s">
        <v>716</v>
      </c>
      <c r="B506" s="54" t="s">
        <v>717</v>
      </c>
      <c r="C506" s="31">
        <v>4301020206</v>
      </c>
      <c r="D506" s="406">
        <v>4680115880054</v>
      </c>
      <c r="E506" s="407"/>
      <c r="F506" s="401">
        <v>0.6</v>
      </c>
      <c r="G506" s="32">
        <v>6</v>
      </c>
      <c r="H506" s="401">
        <v>3.6</v>
      </c>
      <c r="I506" s="401">
        <v>3.84</v>
      </c>
      <c r="J506" s="32">
        <v>120</v>
      </c>
      <c r="K506" s="32" t="s">
        <v>64</v>
      </c>
      <c r="L506" s="33" t="s">
        <v>110</v>
      </c>
      <c r="M506" s="33"/>
      <c r="N506" s="32">
        <v>55</v>
      </c>
      <c r="O506" s="6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6" s="409"/>
      <c r="Q506" s="409"/>
      <c r="R506" s="409"/>
      <c r="S506" s="407"/>
      <c r="T506" s="34"/>
      <c r="U506" s="34"/>
      <c r="V506" s="35" t="s">
        <v>66</v>
      </c>
      <c r="W506" s="402">
        <v>0</v>
      </c>
      <c r="X506" s="403">
        <f>IFERROR(IF(W506="",0,CEILING((W506/$H506),1)*$H506),"")</f>
        <v>0</v>
      </c>
      <c r="Y506" s="36" t="str">
        <f>IFERROR(IF(X506=0,"",ROUNDUP(X506/H506,0)*0.00937),"")</f>
        <v/>
      </c>
      <c r="Z506" s="56"/>
      <c r="AA506" s="57"/>
      <c r="AE506" s="64"/>
      <c r="BB506" s="354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14"/>
      <c r="B507" s="412"/>
      <c r="C507" s="412"/>
      <c r="D507" s="412"/>
      <c r="E507" s="412"/>
      <c r="F507" s="412"/>
      <c r="G507" s="412"/>
      <c r="H507" s="412"/>
      <c r="I507" s="412"/>
      <c r="J507" s="412"/>
      <c r="K507" s="412"/>
      <c r="L507" s="412"/>
      <c r="M507" s="412"/>
      <c r="N507" s="415"/>
      <c r="O507" s="432" t="s">
        <v>70</v>
      </c>
      <c r="P507" s="433"/>
      <c r="Q507" s="433"/>
      <c r="R507" s="433"/>
      <c r="S507" s="433"/>
      <c r="T507" s="433"/>
      <c r="U507" s="434"/>
      <c r="V507" s="37" t="s">
        <v>71</v>
      </c>
      <c r="W507" s="404">
        <f>IFERROR(W505/H505,"0")+IFERROR(W506/H506,"0")</f>
        <v>17.613636363636363</v>
      </c>
      <c r="X507" s="404">
        <f>IFERROR(X505/H505,"0")+IFERROR(X506/H506,"0")</f>
        <v>18</v>
      </c>
      <c r="Y507" s="404">
        <f>IFERROR(IF(Y505="",0,Y505),"0")+IFERROR(IF(Y506="",0,Y506),"0")</f>
        <v>0.21528</v>
      </c>
      <c r="Z507" s="405"/>
      <c r="AA507" s="405"/>
    </row>
    <row r="508" spans="1:67" x14ac:dyDescent="0.2">
      <c r="A508" s="412"/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5"/>
      <c r="O508" s="432" t="s">
        <v>70</v>
      </c>
      <c r="P508" s="433"/>
      <c r="Q508" s="433"/>
      <c r="R508" s="433"/>
      <c r="S508" s="433"/>
      <c r="T508" s="433"/>
      <c r="U508" s="434"/>
      <c r="V508" s="37" t="s">
        <v>66</v>
      </c>
      <c r="W508" s="404">
        <f>IFERROR(SUM(W505:W506),"0")</f>
        <v>93</v>
      </c>
      <c r="X508" s="404">
        <f>IFERROR(SUM(X505:X506),"0")</f>
        <v>95.04</v>
      </c>
      <c r="Y508" s="37"/>
      <c r="Z508" s="405"/>
      <c r="AA508" s="405"/>
    </row>
    <row r="509" spans="1:67" ht="14.25" customHeight="1" x14ac:dyDescent="0.25">
      <c r="A509" s="411" t="s">
        <v>61</v>
      </c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2"/>
      <c r="O509" s="412"/>
      <c r="P509" s="412"/>
      <c r="Q509" s="412"/>
      <c r="R509" s="412"/>
      <c r="S509" s="412"/>
      <c r="T509" s="412"/>
      <c r="U509" s="412"/>
      <c r="V509" s="412"/>
      <c r="W509" s="412"/>
      <c r="X509" s="412"/>
      <c r="Y509" s="412"/>
      <c r="Z509" s="395"/>
      <c r="AA509" s="395"/>
    </row>
    <row r="510" spans="1:67" ht="27" customHeight="1" x14ac:dyDescent="0.25">
      <c r="A510" s="54" t="s">
        <v>718</v>
      </c>
      <c r="B510" s="54" t="s">
        <v>719</v>
      </c>
      <c r="C510" s="31">
        <v>4301031252</v>
      </c>
      <c r="D510" s="406">
        <v>4680115883116</v>
      </c>
      <c r="E510" s="407"/>
      <c r="F510" s="401">
        <v>0.88</v>
      </c>
      <c r="G510" s="32">
        <v>6</v>
      </c>
      <c r="H510" s="401">
        <v>5.28</v>
      </c>
      <c r="I510" s="401">
        <v>5.64</v>
      </c>
      <c r="J510" s="32">
        <v>104</v>
      </c>
      <c r="K510" s="32" t="s">
        <v>109</v>
      </c>
      <c r="L510" s="33" t="s">
        <v>110</v>
      </c>
      <c r="M510" s="33"/>
      <c r="N510" s="32">
        <v>60</v>
      </c>
      <c r="O510" s="6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0" s="409"/>
      <c r="Q510" s="409"/>
      <c r="R510" s="409"/>
      <c r="S510" s="407"/>
      <c r="T510" s="34"/>
      <c r="U510" s="34"/>
      <c r="V510" s="35" t="s">
        <v>66</v>
      </c>
      <c r="W510" s="402">
        <v>126</v>
      </c>
      <c r="X510" s="403">
        <f t="shared" ref="X510:X515" si="94">IFERROR(IF(W510="",0,CEILING((W510/$H510),1)*$H510),"")</f>
        <v>126.72</v>
      </c>
      <c r="Y510" s="36">
        <f>IFERROR(IF(X510=0,"",ROUNDUP(X510/H510,0)*0.01196),"")</f>
        <v>0.28704000000000002</v>
      </c>
      <c r="Z510" s="56"/>
      <c r="AA510" s="57"/>
      <c r="AE510" s="64"/>
      <c r="BB510" s="355" t="s">
        <v>1</v>
      </c>
      <c r="BL510" s="64">
        <f t="shared" ref="BL510:BL515" si="95">IFERROR(W510*I510/H510,"0")</f>
        <v>134.59090909090909</v>
      </c>
      <c r="BM510" s="64">
        <f t="shared" ref="BM510:BM515" si="96">IFERROR(X510*I510/H510,"0")</f>
        <v>135.35999999999999</v>
      </c>
      <c r="BN510" s="64">
        <f t="shared" ref="BN510:BN515" si="97">IFERROR(1/J510*(W510/H510),"0")</f>
        <v>0.22945804195804198</v>
      </c>
      <c r="BO510" s="64">
        <f t="shared" ref="BO510:BO515" si="98">IFERROR(1/J510*(X510/H510),"0")</f>
        <v>0.23076923076923078</v>
      </c>
    </row>
    <row r="511" spans="1:67" ht="27" customHeight="1" x14ac:dyDescent="0.25">
      <c r="A511" s="54" t="s">
        <v>720</v>
      </c>
      <c r="B511" s="54" t="s">
        <v>721</v>
      </c>
      <c r="C511" s="31">
        <v>4301031248</v>
      </c>
      <c r="D511" s="406">
        <v>4680115883093</v>
      </c>
      <c r="E511" s="407"/>
      <c r="F511" s="401">
        <v>0.88</v>
      </c>
      <c r="G511" s="32">
        <v>6</v>
      </c>
      <c r="H511" s="401">
        <v>5.28</v>
      </c>
      <c r="I511" s="401">
        <v>5.64</v>
      </c>
      <c r="J511" s="32">
        <v>104</v>
      </c>
      <c r="K511" s="32" t="s">
        <v>109</v>
      </c>
      <c r="L511" s="33" t="s">
        <v>65</v>
      </c>
      <c r="M511" s="33"/>
      <c r="N511" s="32">
        <v>60</v>
      </c>
      <c r="O511" s="8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1" s="409"/>
      <c r="Q511" s="409"/>
      <c r="R511" s="409"/>
      <c r="S511" s="407"/>
      <c r="T511" s="34"/>
      <c r="U511" s="34"/>
      <c r="V511" s="35" t="s">
        <v>66</v>
      </c>
      <c r="W511" s="402">
        <v>28</v>
      </c>
      <c r="X511" s="403">
        <f t="shared" si="94"/>
        <v>31.68</v>
      </c>
      <c r="Y511" s="36">
        <f>IFERROR(IF(X511=0,"",ROUNDUP(X511/H511,0)*0.01196),"")</f>
        <v>7.1760000000000004E-2</v>
      </c>
      <c r="Z511" s="56"/>
      <c r="AA511" s="57"/>
      <c r="AE511" s="64"/>
      <c r="BB511" s="356" t="s">
        <v>1</v>
      </c>
      <c r="BL511" s="64">
        <f t="shared" si="95"/>
        <v>29.909090909090907</v>
      </c>
      <c r="BM511" s="64">
        <f t="shared" si="96"/>
        <v>33.839999999999996</v>
      </c>
      <c r="BN511" s="64">
        <f t="shared" si="97"/>
        <v>5.0990675990675992E-2</v>
      </c>
      <c r="BO511" s="64">
        <f t="shared" si="98"/>
        <v>5.7692307692307696E-2</v>
      </c>
    </row>
    <row r="512" spans="1:67" ht="27" customHeight="1" x14ac:dyDescent="0.25">
      <c r="A512" s="54" t="s">
        <v>722</v>
      </c>
      <c r="B512" s="54" t="s">
        <v>723</v>
      </c>
      <c r="C512" s="31">
        <v>4301031250</v>
      </c>
      <c r="D512" s="406">
        <v>4680115883109</v>
      </c>
      <c r="E512" s="407"/>
      <c r="F512" s="401">
        <v>0.88</v>
      </c>
      <c r="G512" s="32">
        <v>6</v>
      </c>
      <c r="H512" s="401">
        <v>5.28</v>
      </c>
      <c r="I512" s="401">
        <v>5.64</v>
      </c>
      <c r="J512" s="32">
        <v>104</v>
      </c>
      <c r="K512" s="32" t="s">
        <v>109</v>
      </c>
      <c r="L512" s="33" t="s">
        <v>65</v>
      </c>
      <c r="M512" s="33"/>
      <c r="N512" s="32">
        <v>60</v>
      </c>
      <c r="O512" s="6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2" s="409"/>
      <c r="Q512" s="409"/>
      <c r="R512" s="409"/>
      <c r="S512" s="407"/>
      <c r="T512" s="34"/>
      <c r="U512" s="34"/>
      <c r="V512" s="35" t="s">
        <v>66</v>
      </c>
      <c r="W512" s="402">
        <v>37</v>
      </c>
      <c r="X512" s="403">
        <f t="shared" si="94"/>
        <v>42.24</v>
      </c>
      <c r="Y512" s="36">
        <f>IFERROR(IF(X512=0,"",ROUNDUP(X512/H512,0)*0.01196),"")</f>
        <v>9.5680000000000001E-2</v>
      </c>
      <c r="Z512" s="56"/>
      <c r="AA512" s="57"/>
      <c r="AE512" s="64"/>
      <c r="BB512" s="357" t="s">
        <v>1</v>
      </c>
      <c r="BL512" s="64">
        <f t="shared" si="95"/>
        <v>39.522727272727266</v>
      </c>
      <c r="BM512" s="64">
        <f t="shared" si="96"/>
        <v>45.12</v>
      </c>
      <c r="BN512" s="64">
        <f t="shared" si="97"/>
        <v>6.7380536130536128E-2</v>
      </c>
      <c r="BO512" s="64">
        <f t="shared" si="98"/>
        <v>7.6923076923076927E-2</v>
      </c>
    </row>
    <row r="513" spans="1:67" ht="27" customHeight="1" x14ac:dyDescent="0.25">
      <c r="A513" s="54" t="s">
        <v>724</v>
      </c>
      <c r="B513" s="54" t="s">
        <v>725</v>
      </c>
      <c r="C513" s="31">
        <v>4301031249</v>
      </c>
      <c r="D513" s="406">
        <v>4680115882072</v>
      </c>
      <c r="E513" s="407"/>
      <c r="F513" s="401">
        <v>0.6</v>
      </c>
      <c r="G513" s="32">
        <v>6</v>
      </c>
      <c r="H513" s="401">
        <v>3.6</v>
      </c>
      <c r="I513" s="401">
        <v>3.84</v>
      </c>
      <c r="J513" s="32">
        <v>120</v>
      </c>
      <c r="K513" s="32" t="s">
        <v>64</v>
      </c>
      <c r="L513" s="33" t="s">
        <v>110</v>
      </c>
      <c r="M513" s="33"/>
      <c r="N513" s="32">
        <v>60</v>
      </c>
      <c r="O513" s="63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3" s="409"/>
      <c r="Q513" s="409"/>
      <c r="R513" s="409"/>
      <c r="S513" s="407"/>
      <c r="T513" s="34"/>
      <c r="U513" s="34"/>
      <c r="V513" s="35" t="s">
        <v>66</v>
      </c>
      <c r="W513" s="402">
        <v>0</v>
      </c>
      <c r="X513" s="403">
        <f t="shared" si="94"/>
        <v>0</v>
      </c>
      <c r="Y513" s="36" t="str">
        <f>IFERROR(IF(X513=0,"",ROUNDUP(X513/H513,0)*0.00937),"")</f>
        <v/>
      </c>
      <c r="Z513" s="56"/>
      <c r="AA513" s="57"/>
      <c r="AE513" s="64"/>
      <c r="BB513" s="358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726</v>
      </c>
      <c r="B514" s="54" t="s">
        <v>727</v>
      </c>
      <c r="C514" s="31">
        <v>4301031251</v>
      </c>
      <c r="D514" s="406">
        <v>4680115882102</v>
      </c>
      <c r="E514" s="407"/>
      <c r="F514" s="401">
        <v>0.6</v>
      </c>
      <c r="G514" s="32">
        <v>6</v>
      </c>
      <c r="H514" s="401">
        <v>3.6</v>
      </c>
      <c r="I514" s="401">
        <v>3.81</v>
      </c>
      <c r="J514" s="32">
        <v>120</v>
      </c>
      <c r="K514" s="32" t="s">
        <v>64</v>
      </c>
      <c r="L514" s="33" t="s">
        <v>65</v>
      </c>
      <c r="M514" s="33"/>
      <c r="N514" s="32">
        <v>60</v>
      </c>
      <c r="O514" s="6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4" s="409"/>
      <c r="Q514" s="409"/>
      <c r="R514" s="409"/>
      <c r="S514" s="407"/>
      <c r="T514" s="34"/>
      <c r="U514" s="34"/>
      <c r="V514" s="35" t="s">
        <v>66</v>
      </c>
      <c r="W514" s="402">
        <v>0</v>
      </c>
      <c r="X514" s="403">
        <f t="shared" si="94"/>
        <v>0</v>
      </c>
      <c r="Y514" s="36" t="str">
        <f>IFERROR(IF(X514=0,"",ROUNDUP(X514/H514,0)*0.00937),"")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728</v>
      </c>
      <c r="B515" s="54" t="s">
        <v>729</v>
      </c>
      <c r="C515" s="31">
        <v>4301031253</v>
      </c>
      <c r="D515" s="406">
        <v>4680115882096</v>
      </c>
      <c r="E515" s="407"/>
      <c r="F515" s="401">
        <v>0.6</v>
      </c>
      <c r="G515" s="32">
        <v>6</v>
      </c>
      <c r="H515" s="401">
        <v>3.6</v>
      </c>
      <c r="I515" s="401">
        <v>3.81</v>
      </c>
      <c r="J515" s="32">
        <v>120</v>
      </c>
      <c r="K515" s="32" t="s">
        <v>64</v>
      </c>
      <c r="L515" s="33" t="s">
        <v>65</v>
      </c>
      <c r="M515" s="33"/>
      <c r="N515" s="32">
        <v>60</v>
      </c>
      <c r="O515" s="73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5" s="409"/>
      <c r="Q515" s="409"/>
      <c r="R515" s="409"/>
      <c r="S515" s="407"/>
      <c r="T515" s="34"/>
      <c r="U515" s="34"/>
      <c r="V515" s="35" t="s">
        <v>66</v>
      </c>
      <c r="W515" s="402">
        <v>0</v>
      </c>
      <c r="X515" s="403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x14ac:dyDescent="0.2">
      <c r="A516" s="414"/>
      <c r="B516" s="412"/>
      <c r="C516" s="412"/>
      <c r="D516" s="412"/>
      <c r="E516" s="412"/>
      <c r="F516" s="412"/>
      <c r="G516" s="412"/>
      <c r="H516" s="412"/>
      <c r="I516" s="412"/>
      <c r="J516" s="412"/>
      <c r="K516" s="412"/>
      <c r="L516" s="412"/>
      <c r="M516" s="412"/>
      <c r="N516" s="415"/>
      <c r="O516" s="432" t="s">
        <v>70</v>
      </c>
      <c r="P516" s="433"/>
      <c r="Q516" s="433"/>
      <c r="R516" s="433"/>
      <c r="S516" s="433"/>
      <c r="T516" s="433"/>
      <c r="U516" s="434"/>
      <c r="V516" s="37" t="s">
        <v>71</v>
      </c>
      <c r="W516" s="404">
        <f>IFERROR(W510/H510,"0")+IFERROR(W511/H511,"0")+IFERROR(W512/H512,"0")+IFERROR(W513/H513,"0")+IFERROR(W514/H514,"0")+IFERROR(W515/H515,"0")</f>
        <v>36.174242424242422</v>
      </c>
      <c r="X516" s="404">
        <f>IFERROR(X510/H510,"0")+IFERROR(X511/H511,"0")+IFERROR(X512/H512,"0")+IFERROR(X513/H513,"0")+IFERROR(X514/H514,"0")+IFERROR(X515/H515,"0")</f>
        <v>38</v>
      </c>
      <c r="Y516" s="404">
        <f>IFERROR(IF(Y510="",0,Y510),"0")+IFERROR(IF(Y511="",0,Y511),"0")+IFERROR(IF(Y512="",0,Y512),"0")+IFERROR(IF(Y513="",0,Y513),"0")+IFERROR(IF(Y514="",0,Y514),"0")+IFERROR(IF(Y515="",0,Y515),"0")</f>
        <v>0.45448</v>
      </c>
      <c r="Z516" s="405"/>
      <c r="AA516" s="405"/>
    </row>
    <row r="517" spans="1:67" x14ac:dyDescent="0.2">
      <c r="A517" s="412"/>
      <c r="B517" s="412"/>
      <c r="C517" s="412"/>
      <c r="D517" s="412"/>
      <c r="E517" s="412"/>
      <c r="F517" s="412"/>
      <c r="G517" s="412"/>
      <c r="H517" s="412"/>
      <c r="I517" s="412"/>
      <c r="J517" s="412"/>
      <c r="K517" s="412"/>
      <c r="L517" s="412"/>
      <c r="M517" s="412"/>
      <c r="N517" s="415"/>
      <c r="O517" s="432" t="s">
        <v>70</v>
      </c>
      <c r="P517" s="433"/>
      <c r="Q517" s="433"/>
      <c r="R517" s="433"/>
      <c r="S517" s="433"/>
      <c r="T517" s="433"/>
      <c r="U517" s="434"/>
      <c r="V517" s="37" t="s">
        <v>66</v>
      </c>
      <c r="W517" s="404">
        <f>IFERROR(SUM(W510:W515),"0")</f>
        <v>191</v>
      </c>
      <c r="X517" s="404">
        <f>IFERROR(SUM(X510:X515),"0")</f>
        <v>200.64000000000001</v>
      </c>
      <c r="Y517" s="37"/>
      <c r="Z517" s="405"/>
      <c r="AA517" s="405"/>
    </row>
    <row r="518" spans="1:67" ht="14.25" customHeight="1" x14ac:dyDescent="0.25">
      <c r="A518" s="411" t="s">
        <v>72</v>
      </c>
      <c r="B518" s="412"/>
      <c r="C518" s="412"/>
      <c r="D518" s="412"/>
      <c r="E518" s="412"/>
      <c r="F518" s="412"/>
      <c r="G518" s="412"/>
      <c r="H518" s="412"/>
      <c r="I518" s="412"/>
      <c r="J518" s="412"/>
      <c r="K518" s="412"/>
      <c r="L518" s="412"/>
      <c r="M518" s="412"/>
      <c r="N518" s="412"/>
      <c r="O518" s="412"/>
      <c r="P518" s="412"/>
      <c r="Q518" s="412"/>
      <c r="R518" s="412"/>
      <c r="S518" s="412"/>
      <c r="T518" s="412"/>
      <c r="U518" s="412"/>
      <c r="V518" s="412"/>
      <c r="W518" s="412"/>
      <c r="X518" s="412"/>
      <c r="Y518" s="412"/>
      <c r="Z518" s="395"/>
      <c r="AA518" s="395"/>
    </row>
    <row r="519" spans="1:67" ht="16.5" customHeight="1" x14ac:dyDescent="0.25">
      <c r="A519" s="54" t="s">
        <v>730</v>
      </c>
      <c r="B519" s="54" t="s">
        <v>731</v>
      </c>
      <c r="C519" s="31">
        <v>4301051230</v>
      </c>
      <c r="D519" s="406">
        <v>4607091383409</v>
      </c>
      <c r="E519" s="407"/>
      <c r="F519" s="401">
        <v>1.3</v>
      </c>
      <c r="G519" s="32">
        <v>6</v>
      </c>
      <c r="H519" s="401">
        <v>7.8</v>
      </c>
      <c r="I519" s="401">
        <v>8.3460000000000001</v>
      </c>
      <c r="J519" s="32">
        <v>56</v>
      </c>
      <c r="K519" s="32" t="s">
        <v>109</v>
      </c>
      <c r="L519" s="33" t="s">
        <v>65</v>
      </c>
      <c r="M519" s="33"/>
      <c r="N519" s="32">
        <v>45</v>
      </c>
      <c r="O519" s="5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19" s="409"/>
      <c r="Q519" s="409"/>
      <c r="R519" s="409"/>
      <c r="S519" s="407"/>
      <c r="T519" s="34"/>
      <c r="U519" s="34"/>
      <c r="V519" s="35" t="s">
        <v>66</v>
      </c>
      <c r="W519" s="402">
        <v>0</v>
      </c>
      <c r="X519" s="403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64"/>
      <c r="BB519" s="361" t="s">
        <v>1</v>
      </c>
      <c r="BL519" s="64">
        <f>IFERROR(W519*I519/H519,"0")</f>
        <v>0</v>
      </c>
      <c r="BM519" s="64">
        <f>IFERROR(X519*I519/H519,"0")</f>
        <v>0</v>
      </c>
      <c r="BN519" s="64">
        <f>IFERROR(1/J519*(W519/H519),"0")</f>
        <v>0</v>
      </c>
      <c r="BO519" s="64">
        <f>IFERROR(1/J519*(X519/H519),"0")</f>
        <v>0</v>
      </c>
    </row>
    <row r="520" spans="1:67" ht="16.5" customHeight="1" x14ac:dyDescent="0.25">
      <c r="A520" s="54" t="s">
        <v>732</v>
      </c>
      <c r="B520" s="54" t="s">
        <v>733</v>
      </c>
      <c r="C520" s="31">
        <v>4301051231</v>
      </c>
      <c r="D520" s="406">
        <v>4607091383416</v>
      </c>
      <c r="E520" s="407"/>
      <c r="F520" s="401">
        <v>1.3</v>
      </c>
      <c r="G520" s="32">
        <v>6</v>
      </c>
      <c r="H520" s="401">
        <v>7.8</v>
      </c>
      <c r="I520" s="401">
        <v>8.3460000000000001</v>
      </c>
      <c r="J520" s="32">
        <v>56</v>
      </c>
      <c r="K520" s="32" t="s">
        <v>109</v>
      </c>
      <c r="L520" s="33" t="s">
        <v>65</v>
      </c>
      <c r="M520" s="33"/>
      <c r="N520" s="32">
        <v>45</v>
      </c>
      <c r="O520" s="4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0" s="409"/>
      <c r="Q520" s="409"/>
      <c r="R520" s="409"/>
      <c r="S520" s="407"/>
      <c r="T520" s="34"/>
      <c r="U520" s="34"/>
      <c r="V520" s="35" t="s">
        <v>66</v>
      </c>
      <c r="W520" s="402">
        <v>10</v>
      </c>
      <c r="X520" s="403">
        <f>IFERROR(IF(W520="",0,CEILING((W520/$H520),1)*$H520),"")</f>
        <v>15.6</v>
      </c>
      <c r="Y520" s="36">
        <f>IFERROR(IF(X520=0,"",ROUNDUP(X520/H520,0)*0.02175),"")</f>
        <v>4.3499999999999997E-2</v>
      </c>
      <c r="Z520" s="56"/>
      <c r="AA520" s="57"/>
      <c r="AE520" s="64"/>
      <c r="BB520" s="362" t="s">
        <v>1</v>
      </c>
      <c r="BL520" s="64">
        <f>IFERROR(W520*I520/H520,"0")</f>
        <v>10.700000000000001</v>
      </c>
      <c r="BM520" s="64">
        <f>IFERROR(X520*I520/H520,"0")</f>
        <v>16.692</v>
      </c>
      <c r="BN520" s="64">
        <f>IFERROR(1/J520*(W520/H520),"0")</f>
        <v>2.2893772893772896E-2</v>
      </c>
      <c r="BO520" s="64">
        <f>IFERROR(1/J520*(X520/H520),"0")</f>
        <v>3.5714285714285712E-2</v>
      </c>
    </row>
    <row r="521" spans="1:67" ht="27" customHeight="1" x14ac:dyDescent="0.25">
      <c r="A521" s="54" t="s">
        <v>734</v>
      </c>
      <c r="B521" s="54" t="s">
        <v>735</v>
      </c>
      <c r="C521" s="31">
        <v>4301051058</v>
      </c>
      <c r="D521" s="406">
        <v>4680115883536</v>
      </c>
      <c r="E521" s="407"/>
      <c r="F521" s="401">
        <v>0.3</v>
      </c>
      <c r="G521" s="32">
        <v>6</v>
      </c>
      <c r="H521" s="401">
        <v>1.8</v>
      </c>
      <c r="I521" s="401">
        <v>2.0659999999999998</v>
      </c>
      <c r="J521" s="32">
        <v>156</v>
      </c>
      <c r="K521" s="32" t="s">
        <v>64</v>
      </c>
      <c r="L521" s="33" t="s">
        <v>65</v>
      </c>
      <c r="M521" s="33"/>
      <c r="N521" s="32">
        <v>45</v>
      </c>
      <c r="O521" s="50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1" s="409"/>
      <c r="Q521" s="409"/>
      <c r="R521" s="409"/>
      <c r="S521" s="407"/>
      <c r="T521" s="34"/>
      <c r="U521" s="34"/>
      <c r="V521" s="35" t="s">
        <v>66</v>
      </c>
      <c r="W521" s="402">
        <v>0</v>
      </c>
      <c r="X521" s="403">
        <f>IFERROR(IF(W521="",0,CEILING((W521/$H521),1)*$H521),"")</f>
        <v>0</v>
      </c>
      <c r="Y521" s="36" t="str">
        <f>IFERROR(IF(X521=0,"",ROUNDUP(X521/H521,0)*0.00753),"")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x14ac:dyDescent="0.2">
      <c r="A522" s="414"/>
      <c r="B522" s="412"/>
      <c r="C522" s="412"/>
      <c r="D522" s="412"/>
      <c r="E522" s="412"/>
      <c r="F522" s="412"/>
      <c r="G522" s="412"/>
      <c r="H522" s="412"/>
      <c r="I522" s="412"/>
      <c r="J522" s="412"/>
      <c r="K522" s="412"/>
      <c r="L522" s="412"/>
      <c r="M522" s="412"/>
      <c r="N522" s="415"/>
      <c r="O522" s="432" t="s">
        <v>70</v>
      </c>
      <c r="P522" s="433"/>
      <c r="Q522" s="433"/>
      <c r="R522" s="433"/>
      <c r="S522" s="433"/>
      <c r="T522" s="433"/>
      <c r="U522" s="434"/>
      <c r="V522" s="37" t="s">
        <v>71</v>
      </c>
      <c r="W522" s="404">
        <f>IFERROR(W519/H519,"0")+IFERROR(W520/H520,"0")+IFERROR(W521/H521,"0")</f>
        <v>1.2820512820512822</v>
      </c>
      <c r="X522" s="404">
        <f>IFERROR(X519/H519,"0")+IFERROR(X520/H520,"0")+IFERROR(X521/H521,"0")</f>
        <v>2</v>
      </c>
      <c r="Y522" s="404">
        <f>IFERROR(IF(Y519="",0,Y519),"0")+IFERROR(IF(Y520="",0,Y520),"0")+IFERROR(IF(Y521="",0,Y521),"0")</f>
        <v>4.3499999999999997E-2</v>
      </c>
      <c r="Z522" s="405"/>
      <c r="AA522" s="405"/>
    </row>
    <row r="523" spans="1:67" x14ac:dyDescent="0.2">
      <c r="A523" s="412"/>
      <c r="B523" s="412"/>
      <c r="C523" s="412"/>
      <c r="D523" s="412"/>
      <c r="E523" s="412"/>
      <c r="F523" s="412"/>
      <c r="G523" s="412"/>
      <c r="H523" s="412"/>
      <c r="I523" s="412"/>
      <c r="J523" s="412"/>
      <c r="K523" s="412"/>
      <c r="L523" s="412"/>
      <c r="M523" s="412"/>
      <c r="N523" s="415"/>
      <c r="O523" s="432" t="s">
        <v>70</v>
      </c>
      <c r="P523" s="433"/>
      <c r="Q523" s="433"/>
      <c r="R523" s="433"/>
      <c r="S523" s="433"/>
      <c r="T523" s="433"/>
      <c r="U523" s="434"/>
      <c r="V523" s="37" t="s">
        <v>66</v>
      </c>
      <c r="W523" s="404">
        <f>IFERROR(SUM(W519:W521),"0")</f>
        <v>10</v>
      </c>
      <c r="X523" s="404">
        <f>IFERROR(SUM(X519:X521),"0")</f>
        <v>15.6</v>
      </c>
      <c r="Y523" s="37"/>
      <c r="Z523" s="405"/>
      <c r="AA523" s="405"/>
    </row>
    <row r="524" spans="1:67" ht="14.25" customHeight="1" x14ac:dyDescent="0.25">
      <c r="A524" s="411" t="s">
        <v>217</v>
      </c>
      <c r="B524" s="412"/>
      <c r="C524" s="412"/>
      <c r="D524" s="412"/>
      <c r="E524" s="412"/>
      <c r="F524" s="412"/>
      <c r="G524" s="412"/>
      <c r="H524" s="412"/>
      <c r="I524" s="412"/>
      <c r="J524" s="412"/>
      <c r="K524" s="412"/>
      <c r="L524" s="412"/>
      <c r="M524" s="412"/>
      <c r="N524" s="412"/>
      <c r="O524" s="412"/>
      <c r="P524" s="412"/>
      <c r="Q524" s="412"/>
      <c r="R524" s="412"/>
      <c r="S524" s="412"/>
      <c r="T524" s="412"/>
      <c r="U524" s="412"/>
      <c r="V524" s="412"/>
      <c r="W524" s="412"/>
      <c r="X524" s="412"/>
      <c r="Y524" s="412"/>
      <c r="Z524" s="395"/>
      <c r="AA524" s="395"/>
    </row>
    <row r="525" spans="1:67" ht="16.5" customHeight="1" x14ac:dyDescent="0.25">
      <c r="A525" s="54" t="s">
        <v>736</v>
      </c>
      <c r="B525" s="54" t="s">
        <v>737</v>
      </c>
      <c r="C525" s="31">
        <v>4301060363</v>
      </c>
      <c r="D525" s="406">
        <v>4680115885035</v>
      </c>
      <c r="E525" s="407"/>
      <c r="F525" s="401">
        <v>1</v>
      </c>
      <c r="G525" s="32">
        <v>4</v>
      </c>
      <c r="H525" s="401">
        <v>4</v>
      </c>
      <c r="I525" s="401">
        <v>4.4160000000000004</v>
      </c>
      <c r="J525" s="32">
        <v>104</v>
      </c>
      <c r="K525" s="32" t="s">
        <v>109</v>
      </c>
      <c r="L525" s="33" t="s">
        <v>65</v>
      </c>
      <c r="M525" s="33"/>
      <c r="N525" s="32">
        <v>35</v>
      </c>
      <c r="O525" s="7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5" s="409"/>
      <c r="Q525" s="409"/>
      <c r="R525" s="409"/>
      <c r="S525" s="407"/>
      <c r="T525" s="34"/>
      <c r="U525" s="34"/>
      <c r="V525" s="35" t="s">
        <v>66</v>
      </c>
      <c r="W525" s="402">
        <v>0</v>
      </c>
      <c r="X525" s="403">
        <f>IFERROR(IF(W525="",0,CEILING((W525/$H525),1)*$H525),"")</f>
        <v>0</v>
      </c>
      <c r="Y525" s="36" t="str">
        <f>IFERROR(IF(X525=0,"",ROUNDUP(X525/H525,0)*0.01196),"")</f>
        <v/>
      </c>
      <c r="Z525" s="56"/>
      <c r="AA525" s="57"/>
      <c r="AE525" s="64"/>
      <c r="BB525" s="36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x14ac:dyDescent="0.2">
      <c r="A526" s="414"/>
      <c r="B526" s="412"/>
      <c r="C526" s="412"/>
      <c r="D526" s="412"/>
      <c r="E526" s="412"/>
      <c r="F526" s="412"/>
      <c r="G526" s="412"/>
      <c r="H526" s="412"/>
      <c r="I526" s="412"/>
      <c r="J526" s="412"/>
      <c r="K526" s="412"/>
      <c r="L526" s="412"/>
      <c r="M526" s="412"/>
      <c r="N526" s="415"/>
      <c r="O526" s="432" t="s">
        <v>70</v>
      </c>
      <c r="P526" s="433"/>
      <c r="Q526" s="433"/>
      <c r="R526" s="433"/>
      <c r="S526" s="433"/>
      <c r="T526" s="433"/>
      <c r="U526" s="434"/>
      <c r="V526" s="37" t="s">
        <v>71</v>
      </c>
      <c r="W526" s="404">
        <f>IFERROR(W525/H525,"0")</f>
        <v>0</v>
      </c>
      <c r="X526" s="404">
        <f>IFERROR(X525/H525,"0")</f>
        <v>0</v>
      </c>
      <c r="Y526" s="404">
        <f>IFERROR(IF(Y525="",0,Y525),"0")</f>
        <v>0</v>
      </c>
      <c r="Z526" s="405"/>
      <c r="AA526" s="405"/>
    </row>
    <row r="527" spans="1:67" x14ac:dyDescent="0.2">
      <c r="A527" s="412"/>
      <c r="B527" s="412"/>
      <c r="C527" s="412"/>
      <c r="D527" s="412"/>
      <c r="E527" s="412"/>
      <c r="F527" s="412"/>
      <c r="G527" s="412"/>
      <c r="H527" s="412"/>
      <c r="I527" s="412"/>
      <c r="J527" s="412"/>
      <c r="K527" s="412"/>
      <c r="L527" s="412"/>
      <c r="M527" s="412"/>
      <c r="N527" s="415"/>
      <c r="O527" s="432" t="s">
        <v>70</v>
      </c>
      <c r="P527" s="433"/>
      <c r="Q527" s="433"/>
      <c r="R527" s="433"/>
      <c r="S527" s="433"/>
      <c r="T527" s="433"/>
      <c r="U527" s="434"/>
      <c r="V527" s="37" t="s">
        <v>66</v>
      </c>
      <c r="W527" s="404">
        <f>IFERROR(SUM(W525:W525),"0")</f>
        <v>0</v>
      </c>
      <c r="X527" s="404">
        <f>IFERROR(SUM(X525:X525),"0")</f>
        <v>0</v>
      </c>
      <c r="Y527" s="37"/>
      <c r="Z527" s="405"/>
      <c r="AA527" s="405"/>
    </row>
    <row r="528" spans="1:67" ht="27.75" customHeight="1" x14ac:dyDescent="0.2">
      <c r="A528" s="453" t="s">
        <v>738</v>
      </c>
      <c r="B528" s="454"/>
      <c r="C528" s="454"/>
      <c r="D528" s="454"/>
      <c r="E528" s="454"/>
      <c r="F528" s="454"/>
      <c r="G528" s="454"/>
      <c r="H528" s="454"/>
      <c r="I528" s="454"/>
      <c r="J528" s="454"/>
      <c r="K528" s="454"/>
      <c r="L528" s="454"/>
      <c r="M528" s="454"/>
      <c r="N528" s="454"/>
      <c r="O528" s="454"/>
      <c r="P528" s="454"/>
      <c r="Q528" s="454"/>
      <c r="R528" s="454"/>
      <c r="S528" s="454"/>
      <c r="T528" s="454"/>
      <c r="U528" s="454"/>
      <c r="V528" s="454"/>
      <c r="W528" s="454"/>
      <c r="X528" s="454"/>
      <c r="Y528" s="454"/>
      <c r="Z528" s="48"/>
      <c r="AA528" s="48"/>
    </row>
    <row r="529" spans="1:67" ht="16.5" customHeight="1" x14ac:dyDescent="0.25">
      <c r="A529" s="421" t="s">
        <v>738</v>
      </c>
      <c r="B529" s="412"/>
      <c r="C529" s="412"/>
      <c r="D529" s="412"/>
      <c r="E529" s="412"/>
      <c r="F529" s="412"/>
      <c r="G529" s="412"/>
      <c r="H529" s="412"/>
      <c r="I529" s="412"/>
      <c r="J529" s="412"/>
      <c r="K529" s="412"/>
      <c r="L529" s="412"/>
      <c r="M529" s="412"/>
      <c r="N529" s="412"/>
      <c r="O529" s="412"/>
      <c r="P529" s="412"/>
      <c r="Q529" s="412"/>
      <c r="R529" s="412"/>
      <c r="S529" s="412"/>
      <c r="T529" s="412"/>
      <c r="U529" s="412"/>
      <c r="V529" s="412"/>
      <c r="W529" s="412"/>
      <c r="X529" s="412"/>
      <c r="Y529" s="412"/>
      <c r="Z529" s="396"/>
      <c r="AA529" s="396"/>
    </row>
    <row r="530" spans="1:67" ht="14.25" customHeight="1" x14ac:dyDescent="0.25">
      <c r="A530" s="411" t="s">
        <v>114</v>
      </c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2"/>
      <c r="O530" s="412"/>
      <c r="P530" s="412"/>
      <c r="Q530" s="412"/>
      <c r="R530" s="412"/>
      <c r="S530" s="412"/>
      <c r="T530" s="412"/>
      <c r="U530" s="412"/>
      <c r="V530" s="412"/>
      <c r="W530" s="412"/>
      <c r="X530" s="412"/>
      <c r="Y530" s="412"/>
      <c r="Z530" s="395"/>
      <c r="AA530" s="395"/>
    </row>
    <row r="531" spans="1:67" ht="27" customHeight="1" x14ac:dyDescent="0.25">
      <c r="A531" s="54" t="s">
        <v>739</v>
      </c>
      <c r="B531" s="54" t="s">
        <v>740</v>
      </c>
      <c r="C531" s="31">
        <v>4301011763</v>
      </c>
      <c r="D531" s="406">
        <v>4640242181011</v>
      </c>
      <c r="E531" s="407"/>
      <c r="F531" s="401">
        <v>1.35</v>
      </c>
      <c r="G531" s="32">
        <v>8</v>
      </c>
      <c r="H531" s="401">
        <v>10.8</v>
      </c>
      <c r="I531" s="401">
        <v>11.28</v>
      </c>
      <c r="J531" s="32">
        <v>56</v>
      </c>
      <c r="K531" s="32" t="s">
        <v>109</v>
      </c>
      <c r="L531" s="33" t="s">
        <v>129</v>
      </c>
      <c r="M531" s="33"/>
      <c r="N531" s="32">
        <v>55</v>
      </c>
      <c r="O531" s="737" t="s">
        <v>741</v>
      </c>
      <c r="P531" s="409"/>
      <c r="Q531" s="409"/>
      <c r="R531" s="409"/>
      <c r="S531" s="407"/>
      <c r="T531" s="34"/>
      <c r="U531" s="34"/>
      <c r="V531" s="35" t="s">
        <v>66</v>
      </c>
      <c r="W531" s="402">
        <v>0</v>
      </c>
      <c r="X531" s="403">
        <f t="shared" ref="X531:X539" si="99">IFERROR(IF(W531="",0,CEILING((W531/$H531),1)*$H531),"")</f>
        <v>0</v>
      </c>
      <c r="Y531" s="36" t="str">
        <f t="shared" ref="Y531:Y536" si="100">IFERROR(IF(X531=0,"",ROUNDUP(X531/H531,0)*0.02175),"")</f>
        <v/>
      </c>
      <c r="Z531" s="56"/>
      <c r="AA531" s="57"/>
      <c r="AE531" s="64"/>
      <c r="BB531" s="365" t="s">
        <v>1</v>
      </c>
      <c r="BL531" s="64">
        <f t="shared" ref="BL531:BL539" si="101">IFERROR(W531*I531/H531,"0")</f>
        <v>0</v>
      </c>
      <c r="BM531" s="64">
        <f t="shared" ref="BM531:BM539" si="102">IFERROR(X531*I531/H531,"0")</f>
        <v>0</v>
      </c>
      <c r="BN531" s="64">
        <f t="shared" ref="BN531:BN539" si="103">IFERROR(1/J531*(W531/H531),"0")</f>
        <v>0</v>
      </c>
      <c r="BO531" s="64">
        <f t="shared" ref="BO531:BO539" si="104">IFERROR(1/J531*(X531/H531),"0")</f>
        <v>0</v>
      </c>
    </row>
    <row r="532" spans="1:67" ht="27" customHeight="1" x14ac:dyDescent="0.25">
      <c r="A532" s="54" t="s">
        <v>742</v>
      </c>
      <c r="B532" s="54" t="s">
        <v>743</v>
      </c>
      <c r="C532" s="31">
        <v>4301011951</v>
      </c>
      <c r="D532" s="406">
        <v>4640242180045</v>
      </c>
      <c r="E532" s="407"/>
      <c r="F532" s="401">
        <v>1.35</v>
      </c>
      <c r="G532" s="32">
        <v>8</v>
      </c>
      <c r="H532" s="401">
        <v>10.8</v>
      </c>
      <c r="I532" s="401">
        <v>11.28</v>
      </c>
      <c r="J532" s="32">
        <v>56</v>
      </c>
      <c r="K532" s="32" t="s">
        <v>109</v>
      </c>
      <c r="L532" s="33" t="s">
        <v>110</v>
      </c>
      <c r="M532" s="33"/>
      <c r="N532" s="32">
        <v>55</v>
      </c>
      <c r="O532" s="704" t="s">
        <v>744</v>
      </c>
      <c r="P532" s="409"/>
      <c r="Q532" s="409"/>
      <c r="R532" s="409"/>
      <c r="S532" s="407"/>
      <c r="T532" s="34"/>
      <c r="U532" s="34"/>
      <c r="V532" s="35" t="s">
        <v>66</v>
      </c>
      <c r="W532" s="402">
        <v>0</v>
      </c>
      <c r="X532" s="403">
        <f t="shared" si="99"/>
        <v>0</v>
      </c>
      <c r="Y532" s="36" t="str">
        <f t="shared" si="100"/>
        <v/>
      </c>
      <c r="Z532" s="56"/>
      <c r="AA532" s="57"/>
      <c r="AE532" s="64"/>
      <c r="BB532" s="366" t="s">
        <v>1</v>
      </c>
      <c r="BL532" s="64">
        <f t="shared" si="101"/>
        <v>0</v>
      </c>
      <c r="BM532" s="64">
        <f t="shared" si="102"/>
        <v>0</v>
      </c>
      <c r="BN532" s="64">
        <f t="shared" si="103"/>
        <v>0</v>
      </c>
      <c r="BO532" s="64">
        <f t="shared" si="104"/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4301011585</v>
      </c>
      <c r="D533" s="406">
        <v>4640242180441</v>
      </c>
      <c r="E533" s="407"/>
      <c r="F533" s="401">
        <v>1.5</v>
      </c>
      <c r="G533" s="32">
        <v>8</v>
      </c>
      <c r="H533" s="401">
        <v>12</v>
      </c>
      <c r="I533" s="401">
        <v>12.48</v>
      </c>
      <c r="J533" s="32">
        <v>56</v>
      </c>
      <c r="K533" s="32" t="s">
        <v>109</v>
      </c>
      <c r="L533" s="33" t="s">
        <v>110</v>
      </c>
      <c r="M533" s="33"/>
      <c r="N533" s="32">
        <v>50</v>
      </c>
      <c r="O533" s="744" t="s">
        <v>747</v>
      </c>
      <c r="P533" s="409"/>
      <c r="Q533" s="409"/>
      <c r="R533" s="409"/>
      <c r="S533" s="407"/>
      <c r="T533" s="34"/>
      <c r="U533" s="34"/>
      <c r="V533" s="35" t="s">
        <v>66</v>
      </c>
      <c r="W533" s="402">
        <v>0</v>
      </c>
      <c r="X533" s="403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customHeight="1" x14ac:dyDescent="0.25">
      <c r="A534" s="54" t="s">
        <v>748</v>
      </c>
      <c r="B534" s="54" t="s">
        <v>749</v>
      </c>
      <c r="C534" s="31">
        <v>4301011950</v>
      </c>
      <c r="D534" s="406">
        <v>4640242180601</v>
      </c>
      <c r="E534" s="407"/>
      <c r="F534" s="401">
        <v>1.35</v>
      </c>
      <c r="G534" s="32">
        <v>8</v>
      </c>
      <c r="H534" s="401">
        <v>10.8</v>
      </c>
      <c r="I534" s="401">
        <v>11.28</v>
      </c>
      <c r="J534" s="32">
        <v>56</v>
      </c>
      <c r="K534" s="32" t="s">
        <v>109</v>
      </c>
      <c r="L534" s="33" t="s">
        <v>110</v>
      </c>
      <c r="M534" s="33"/>
      <c r="N534" s="32">
        <v>55</v>
      </c>
      <c r="O534" s="780" t="s">
        <v>750</v>
      </c>
      <c r="P534" s="409"/>
      <c r="Q534" s="409"/>
      <c r="R534" s="409"/>
      <c r="S534" s="407"/>
      <c r="T534" s="34"/>
      <c r="U534" s="34"/>
      <c r="V534" s="35" t="s">
        <v>66</v>
      </c>
      <c r="W534" s="402">
        <v>0</v>
      </c>
      <c r="X534" s="403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customHeight="1" x14ac:dyDescent="0.25">
      <c r="A535" s="54" t="s">
        <v>751</v>
      </c>
      <c r="B535" s="54" t="s">
        <v>752</v>
      </c>
      <c r="C535" s="31">
        <v>4301011584</v>
      </c>
      <c r="D535" s="406">
        <v>4640242180564</v>
      </c>
      <c r="E535" s="407"/>
      <c r="F535" s="401">
        <v>1.5</v>
      </c>
      <c r="G535" s="32">
        <v>8</v>
      </c>
      <c r="H535" s="401">
        <v>12</v>
      </c>
      <c r="I535" s="401">
        <v>12.48</v>
      </c>
      <c r="J535" s="32">
        <v>56</v>
      </c>
      <c r="K535" s="32" t="s">
        <v>109</v>
      </c>
      <c r="L535" s="33" t="s">
        <v>110</v>
      </c>
      <c r="M535" s="33"/>
      <c r="N535" s="32">
        <v>50</v>
      </c>
      <c r="O535" s="691" t="s">
        <v>753</v>
      </c>
      <c r="P535" s="409"/>
      <c r="Q535" s="409"/>
      <c r="R535" s="409"/>
      <c r="S535" s="407"/>
      <c r="T535" s="34"/>
      <c r="U535" s="34"/>
      <c r="V535" s="35" t="s">
        <v>66</v>
      </c>
      <c r="W535" s="402">
        <v>0</v>
      </c>
      <c r="X535" s="403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754</v>
      </c>
      <c r="B536" s="54" t="s">
        <v>755</v>
      </c>
      <c r="C536" s="31">
        <v>4301011762</v>
      </c>
      <c r="D536" s="406">
        <v>4640242180922</v>
      </c>
      <c r="E536" s="407"/>
      <c r="F536" s="401">
        <v>1.35</v>
      </c>
      <c r="G536" s="32">
        <v>8</v>
      </c>
      <c r="H536" s="401">
        <v>10.8</v>
      </c>
      <c r="I536" s="401">
        <v>11.28</v>
      </c>
      <c r="J536" s="32">
        <v>56</v>
      </c>
      <c r="K536" s="32" t="s">
        <v>109</v>
      </c>
      <c r="L536" s="33" t="s">
        <v>110</v>
      </c>
      <c r="M536" s="33"/>
      <c r="N536" s="32">
        <v>55</v>
      </c>
      <c r="O536" s="784" t="s">
        <v>756</v>
      </c>
      <c r="P536" s="409"/>
      <c r="Q536" s="409"/>
      <c r="R536" s="409"/>
      <c r="S536" s="407"/>
      <c r="T536" s="34"/>
      <c r="U536" s="34"/>
      <c r="V536" s="35" t="s">
        <v>66</v>
      </c>
      <c r="W536" s="402">
        <v>0</v>
      </c>
      <c r="X536" s="403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757</v>
      </c>
      <c r="B537" s="54" t="s">
        <v>758</v>
      </c>
      <c r="C537" s="31">
        <v>4301011764</v>
      </c>
      <c r="D537" s="406">
        <v>4640242181189</v>
      </c>
      <c r="E537" s="407"/>
      <c r="F537" s="401">
        <v>0.4</v>
      </c>
      <c r="G537" s="32">
        <v>10</v>
      </c>
      <c r="H537" s="401">
        <v>4</v>
      </c>
      <c r="I537" s="401">
        <v>4.24</v>
      </c>
      <c r="J537" s="32">
        <v>120</v>
      </c>
      <c r="K537" s="32" t="s">
        <v>64</v>
      </c>
      <c r="L537" s="33" t="s">
        <v>129</v>
      </c>
      <c r="M537" s="33"/>
      <c r="N537" s="32">
        <v>55</v>
      </c>
      <c r="O537" s="716" t="s">
        <v>759</v>
      </c>
      <c r="P537" s="409"/>
      <c r="Q537" s="409"/>
      <c r="R537" s="409"/>
      <c r="S537" s="407"/>
      <c r="T537" s="34"/>
      <c r="U537" s="34"/>
      <c r="V537" s="35" t="s">
        <v>66</v>
      </c>
      <c r="W537" s="402">
        <v>0</v>
      </c>
      <c r="X537" s="403">
        <f t="shared" si="99"/>
        <v>0</v>
      </c>
      <c r="Y537" s="36" t="str">
        <f>IFERROR(IF(X537=0,"",ROUNDUP(X537/H537,0)*0.00937),"")</f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760</v>
      </c>
      <c r="B538" s="54" t="s">
        <v>761</v>
      </c>
      <c r="C538" s="31">
        <v>4301011551</v>
      </c>
      <c r="D538" s="406">
        <v>4640242180038</v>
      </c>
      <c r="E538" s="407"/>
      <c r="F538" s="401">
        <v>0.4</v>
      </c>
      <c r="G538" s="32">
        <v>10</v>
      </c>
      <c r="H538" s="401">
        <v>4</v>
      </c>
      <c r="I538" s="401">
        <v>4.24</v>
      </c>
      <c r="J538" s="32">
        <v>120</v>
      </c>
      <c r="K538" s="32" t="s">
        <v>64</v>
      </c>
      <c r="L538" s="33" t="s">
        <v>110</v>
      </c>
      <c r="M538" s="33"/>
      <c r="N538" s="32">
        <v>50</v>
      </c>
      <c r="O538" s="615" t="s">
        <v>762</v>
      </c>
      <c r="P538" s="409"/>
      <c r="Q538" s="409"/>
      <c r="R538" s="409"/>
      <c r="S538" s="407"/>
      <c r="T538" s="34"/>
      <c r="U538" s="34"/>
      <c r="V538" s="35" t="s">
        <v>66</v>
      </c>
      <c r="W538" s="402">
        <v>0</v>
      </c>
      <c r="X538" s="403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763</v>
      </c>
      <c r="B539" s="54" t="s">
        <v>764</v>
      </c>
      <c r="C539" s="31">
        <v>4301011765</v>
      </c>
      <c r="D539" s="406">
        <v>4640242181172</v>
      </c>
      <c r="E539" s="407"/>
      <c r="F539" s="401">
        <v>0.4</v>
      </c>
      <c r="G539" s="32">
        <v>10</v>
      </c>
      <c r="H539" s="401">
        <v>4</v>
      </c>
      <c r="I539" s="401">
        <v>4.24</v>
      </c>
      <c r="J539" s="32">
        <v>120</v>
      </c>
      <c r="K539" s="32" t="s">
        <v>64</v>
      </c>
      <c r="L539" s="33" t="s">
        <v>110</v>
      </c>
      <c r="M539" s="33"/>
      <c r="N539" s="32">
        <v>55</v>
      </c>
      <c r="O539" s="519" t="s">
        <v>765</v>
      </c>
      <c r="P539" s="409"/>
      <c r="Q539" s="409"/>
      <c r="R539" s="409"/>
      <c r="S539" s="407"/>
      <c r="T539" s="34"/>
      <c r="U539" s="34"/>
      <c r="V539" s="35" t="s">
        <v>66</v>
      </c>
      <c r="W539" s="402">
        <v>0</v>
      </c>
      <c r="X539" s="403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x14ac:dyDescent="0.2">
      <c r="A540" s="414"/>
      <c r="B540" s="412"/>
      <c r="C540" s="412"/>
      <c r="D540" s="412"/>
      <c r="E540" s="412"/>
      <c r="F540" s="412"/>
      <c r="G540" s="412"/>
      <c r="H540" s="412"/>
      <c r="I540" s="412"/>
      <c r="J540" s="412"/>
      <c r="K540" s="412"/>
      <c r="L540" s="412"/>
      <c r="M540" s="412"/>
      <c r="N540" s="415"/>
      <c r="O540" s="432" t="s">
        <v>70</v>
      </c>
      <c r="P540" s="433"/>
      <c r="Q540" s="433"/>
      <c r="R540" s="433"/>
      <c r="S540" s="433"/>
      <c r="T540" s="433"/>
      <c r="U540" s="434"/>
      <c r="V540" s="37" t="s">
        <v>71</v>
      </c>
      <c r="W540" s="404">
        <f>IFERROR(W531/H531,"0")+IFERROR(W532/H532,"0")+IFERROR(W533/H533,"0")+IFERROR(W534/H534,"0")+IFERROR(W535/H535,"0")+IFERROR(W536/H536,"0")+IFERROR(W537/H537,"0")+IFERROR(W538/H538,"0")+IFERROR(W539/H539,"0")</f>
        <v>0</v>
      </c>
      <c r="X540" s="404">
        <f>IFERROR(X531/H531,"0")+IFERROR(X532/H532,"0")+IFERROR(X533/H533,"0")+IFERROR(X534/H534,"0")+IFERROR(X535/H535,"0")+IFERROR(X536/H536,"0")+IFERROR(X537/H537,"0")+IFERROR(X538/H538,"0")+IFERROR(X539/H539,"0")</f>
        <v>0</v>
      </c>
      <c r="Y540" s="404">
        <f>IFERROR(IF(Y531="",0,Y531),"0")+IFERROR(IF(Y532="",0,Y532),"0")+IFERROR(IF(Y533="",0,Y533),"0")+IFERROR(IF(Y534="",0,Y534),"0")+IFERROR(IF(Y535="",0,Y535),"0")+IFERROR(IF(Y536="",0,Y536),"0")+IFERROR(IF(Y537="",0,Y537),"0")+IFERROR(IF(Y538="",0,Y538),"0")+IFERROR(IF(Y539="",0,Y539),"0")</f>
        <v>0</v>
      </c>
      <c r="Z540" s="405"/>
      <c r="AA540" s="405"/>
    </row>
    <row r="541" spans="1:67" x14ac:dyDescent="0.2">
      <c r="A541" s="412"/>
      <c r="B541" s="412"/>
      <c r="C541" s="412"/>
      <c r="D541" s="412"/>
      <c r="E541" s="412"/>
      <c r="F541" s="412"/>
      <c r="G541" s="412"/>
      <c r="H541" s="412"/>
      <c r="I541" s="412"/>
      <c r="J541" s="412"/>
      <c r="K541" s="412"/>
      <c r="L541" s="412"/>
      <c r="M541" s="412"/>
      <c r="N541" s="415"/>
      <c r="O541" s="432" t="s">
        <v>70</v>
      </c>
      <c r="P541" s="433"/>
      <c r="Q541" s="433"/>
      <c r="R541" s="433"/>
      <c r="S541" s="433"/>
      <c r="T541" s="433"/>
      <c r="U541" s="434"/>
      <c r="V541" s="37" t="s">
        <v>66</v>
      </c>
      <c r="W541" s="404">
        <f>IFERROR(SUM(W531:W539),"0")</f>
        <v>0</v>
      </c>
      <c r="X541" s="404">
        <f>IFERROR(SUM(X531:X539),"0")</f>
        <v>0</v>
      </c>
      <c r="Y541" s="37"/>
      <c r="Z541" s="405"/>
      <c r="AA541" s="405"/>
    </row>
    <row r="542" spans="1:67" ht="14.25" customHeight="1" x14ac:dyDescent="0.25">
      <c r="A542" s="411" t="s">
        <v>106</v>
      </c>
      <c r="B542" s="412"/>
      <c r="C542" s="412"/>
      <c r="D542" s="412"/>
      <c r="E542" s="412"/>
      <c r="F542" s="412"/>
      <c r="G542" s="412"/>
      <c r="H542" s="412"/>
      <c r="I542" s="412"/>
      <c r="J542" s="412"/>
      <c r="K542" s="412"/>
      <c r="L542" s="412"/>
      <c r="M542" s="412"/>
      <c r="N542" s="412"/>
      <c r="O542" s="412"/>
      <c r="P542" s="412"/>
      <c r="Q542" s="412"/>
      <c r="R542" s="412"/>
      <c r="S542" s="412"/>
      <c r="T542" s="412"/>
      <c r="U542" s="412"/>
      <c r="V542" s="412"/>
      <c r="W542" s="412"/>
      <c r="X542" s="412"/>
      <c r="Y542" s="412"/>
      <c r="Z542" s="395"/>
      <c r="AA542" s="395"/>
    </row>
    <row r="543" spans="1:67" ht="27" customHeight="1" x14ac:dyDescent="0.25">
      <c r="A543" s="54" t="s">
        <v>766</v>
      </c>
      <c r="B543" s="54" t="s">
        <v>767</v>
      </c>
      <c r="C543" s="31">
        <v>4301020260</v>
      </c>
      <c r="D543" s="406">
        <v>4640242180526</v>
      </c>
      <c r="E543" s="407"/>
      <c r="F543" s="401">
        <v>1.8</v>
      </c>
      <c r="G543" s="32">
        <v>6</v>
      </c>
      <c r="H543" s="401">
        <v>10.8</v>
      </c>
      <c r="I543" s="401">
        <v>11.28</v>
      </c>
      <c r="J543" s="32">
        <v>56</v>
      </c>
      <c r="K543" s="32" t="s">
        <v>109</v>
      </c>
      <c r="L543" s="33" t="s">
        <v>110</v>
      </c>
      <c r="M543" s="33"/>
      <c r="N543" s="32">
        <v>50</v>
      </c>
      <c r="O543" s="602" t="s">
        <v>768</v>
      </c>
      <c r="P543" s="409"/>
      <c r="Q543" s="409"/>
      <c r="R543" s="409"/>
      <c r="S543" s="407"/>
      <c r="T543" s="34"/>
      <c r="U543" s="34"/>
      <c r="V543" s="35" t="s">
        <v>66</v>
      </c>
      <c r="W543" s="402">
        <v>0</v>
      </c>
      <c r="X543" s="403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4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16.5" customHeight="1" x14ac:dyDescent="0.25">
      <c r="A544" s="54" t="s">
        <v>769</v>
      </c>
      <c r="B544" s="54" t="s">
        <v>770</v>
      </c>
      <c r="C544" s="31">
        <v>4301020269</v>
      </c>
      <c r="D544" s="406">
        <v>4640242180519</v>
      </c>
      <c r="E544" s="407"/>
      <c r="F544" s="401">
        <v>1.35</v>
      </c>
      <c r="G544" s="32">
        <v>8</v>
      </c>
      <c r="H544" s="401">
        <v>10.8</v>
      </c>
      <c r="I544" s="401">
        <v>11.28</v>
      </c>
      <c r="J544" s="32">
        <v>56</v>
      </c>
      <c r="K544" s="32" t="s">
        <v>109</v>
      </c>
      <c r="L544" s="33" t="s">
        <v>129</v>
      </c>
      <c r="M544" s="33"/>
      <c r="N544" s="32">
        <v>50</v>
      </c>
      <c r="O544" s="569" t="s">
        <v>771</v>
      </c>
      <c r="P544" s="409"/>
      <c r="Q544" s="409"/>
      <c r="R544" s="409"/>
      <c r="S544" s="407"/>
      <c r="T544" s="34"/>
      <c r="U544" s="34"/>
      <c r="V544" s="35" t="s">
        <v>66</v>
      </c>
      <c r="W544" s="402">
        <v>0</v>
      </c>
      <c r="X544" s="403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772</v>
      </c>
      <c r="B545" s="54" t="s">
        <v>773</v>
      </c>
      <c r="C545" s="31">
        <v>4301020309</v>
      </c>
      <c r="D545" s="406">
        <v>4640242180090</v>
      </c>
      <c r="E545" s="407"/>
      <c r="F545" s="401">
        <v>1.35</v>
      </c>
      <c r="G545" s="32">
        <v>8</v>
      </c>
      <c r="H545" s="401">
        <v>10.8</v>
      </c>
      <c r="I545" s="401">
        <v>11.28</v>
      </c>
      <c r="J545" s="32">
        <v>56</v>
      </c>
      <c r="K545" s="32" t="s">
        <v>109</v>
      </c>
      <c r="L545" s="33" t="s">
        <v>110</v>
      </c>
      <c r="M545" s="33"/>
      <c r="N545" s="32">
        <v>50</v>
      </c>
      <c r="O545" s="585" t="s">
        <v>774</v>
      </c>
      <c r="P545" s="409"/>
      <c r="Q545" s="409"/>
      <c r="R545" s="409"/>
      <c r="S545" s="407"/>
      <c r="T545" s="34"/>
      <c r="U545" s="34"/>
      <c r="V545" s="35" t="s">
        <v>66</v>
      </c>
      <c r="W545" s="402">
        <v>0</v>
      </c>
      <c r="X545" s="40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775</v>
      </c>
      <c r="B546" s="54" t="s">
        <v>776</v>
      </c>
      <c r="C546" s="31">
        <v>4301020314</v>
      </c>
      <c r="D546" s="406">
        <v>4640242180090</v>
      </c>
      <c r="E546" s="407"/>
      <c r="F546" s="401">
        <v>1.35</v>
      </c>
      <c r="G546" s="32">
        <v>8</v>
      </c>
      <c r="H546" s="401">
        <v>10.8</v>
      </c>
      <c r="I546" s="401">
        <v>11.28</v>
      </c>
      <c r="J546" s="32">
        <v>56</v>
      </c>
      <c r="K546" s="32" t="s">
        <v>109</v>
      </c>
      <c r="L546" s="33" t="s">
        <v>110</v>
      </c>
      <c r="M546" s="33"/>
      <c r="N546" s="32">
        <v>50</v>
      </c>
      <c r="O546" s="755" t="s">
        <v>777</v>
      </c>
      <c r="P546" s="409"/>
      <c r="Q546" s="409"/>
      <c r="R546" s="409"/>
      <c r="S546" s="407"/>
      <c r="T546" s="34"/>
      <c r="U546" s="34"/>
      <c r="V546" s="35" t="s">
        <v>66</v>
      </c>
      <c r="W546" s="402">
        <v>0</v>
      </c>
      <c r="X546" s="40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778</v>
      </c>
      <c r="B547" s="54" t="s">
        <v>779</v>
      </c>
      <c r="C547" s="31">
        <v>4301020295</v>
      </c>
      <c r="D547" s="406">
        <v>4640242181363</v>
      </c>
      <c r="E547" s="407"/>
      <c r="F547" s="401">
        <v>0.4</v>
      </c>
      <c r="G547" s="32">
        <v>10</v>
      </c>
      <c r="H547" s="401">
        <v>4</v>
      </c>
      <c r="I547" s="401">
        <v>4.24</v>
      </c>
      <c r="J547" s="32">
        <v>120</v>
      </c>
      <c r="K547" s="32" t="s">
        <v>64</v>
      </c>
      <c r="L547" s="33" t="s">
        <v>110</v>
      </c>
      <c r="M547" s="33"/>
      <c r="N547" s="32">
        <v>50</v>
      </c>
      <c r="O547" s="779" t="s">
        <v>780</v>
      </c>
      <c r="P547" s="409"/>
      <c r="Q547" s="409"/>
      <c r="R547" s="409"/>
      <c r="S547" s="407"/>
      <c r="T547" s="34"/>
      <c r="U547" s="34"/>
      <c r="V547" s="35" t="s">
        <v>66</v>
      </c>
      <c r="W547" s="402">
        <v>0</v>
      </c>
      <c r="X547" s="403">
        <f>IFERROR(IF(W547="",0,CEILING((W547/$H547),1)*$H547),"")</f>
        <v>0</v>
      </c>
      <c r="Y547" s="36" t="str">
        <f>IFERROR(IF(X547=0,"",ROUNDUP(X547/H547,0)*0.00937),"")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x14ac:dyDescent="0.2">
      <c r="A548" s="414"/>
      <c r="B548" s="412"/>
      <c r="C548" s="412"/>
      <c r="D548" s="412"/>
      <c r="E548" s="412"/>
      <c r="F548" s="412"/>
      <c r="G548" s="412"/>
      <c r="H548" s="412"/>
      <c r="I548" s="412"/>
      <c r="J548" s="412"/>
      <c r="K548" s="412"/>
      <c r="L548" s="412"/>
      <c r="M548" s="412"/>
      <c r="N548" s="415"/>
      <c r="O548" s="432" t="s">
        <v>70</v>
      </c>
      <c r="P548" s="433"/>
      <c r="Q548" s="433"/>
      <c r="R548" s="433"/>
      <c r="S548" s="433"/>
      <c r="T548" s="433"/>
      <c r="U548" s="434"/>
      <c r="V548" s="37" t="s">
        <v>71</v>
      </c>
      <c r="W548" s="404">
        <f>IFERROR(W543/H543,"0")+IFERROR(W544/H544,"0")+IFERROR(W545/H545,"0")+IFERROR(W546/H546,"0")+IFERROR(W547/H547,"0")</f>
        <v>0</v>
      </c>
      <c r="X548" s="404">
        <f>IFERROR(X543/H543,"0")+IFERROR(X544/H544,"0")+IFERROR(X545/H545,"0")+IFERROR(X546/H546,"0")+IFERROR(X547/H547,"0")</f>
        <v>0</v>
      </c>
      <c r="Y548" s="404">
        <f>IFERROR(IF(Y543="",0,Y543),"0")+IFERROR(IF(Y544="",0,Y544),"0")+IFERROR(IF(Y545="",0,Y545),"0")+IFERROR(IF(Y546="",0,Y546),"0")+IFERROR(IF(Y547="",0,Y547),"0")</f>
        <v>0</v>
      </c>
      <c r="Z548" s="405"/>
      <c r="AA548" s="405"/>
    </row>
    <row r="549" spans="1:67" x14ac:dyDescent="0.2">
      <c r="A549" s="412"/>
      <c r="B549" s="412"/>
      <c r="C549" s="412"/>
      <c r="D549" s="412"/>
      <c r="E549" s="412"/>
      <c r="F549" s="412"/>
      <c r="G549" s="412"/>
      <c r="H549" s="412"/>
      <c r="I549" s="412"/>
      <c r="J549" s="412"/>
      <c r="K549" s="412"/>
      <c r="L549" s="412"/>
      <c r="M549" s="412"/>
      <c r="N549" s="415"/>
      <c r="O549" s="432" t="s">
        <v>70</v>
      </c>
      <c r="P549" s="433"/>
      <c r="Q549" s="433"/>
      <c r="R549" s="433"/>
      <c r="S549" s="433"/>
      <c r="T549" s="433"/>
      <c r="U549" s="434"/>
      <c r="V549" s="37" t="s">
        <v>66</v>
      </c>
      <c r="W549" s="404">
        <f>IFERROR(SUM(W543:W547),"0")</f>
        <v>0</v>
      </c>
      <c r="X549" s="404">
        <f>IFERROR(SUM(X543:X547),"0")</f>
        <v>0</v>
      </c>
      <c r="Y549" s="37"/>
      <c r="Z549" s="405"/>
      <c r="AA549" s="405"/>
    </row>
    <row r="550" spans="1:67" ht="14.25" customHeight="1" x14ac:dyDescent="0.25">
      <c r="A550" s="411" t="s">
        <v>61</v>
      </c>
      <c r="B550" s="412"/>
      <c r="C550" s="412"/>
      <c r="D550" s="412"/>
      <c r="E550" s="412"/>
      <c r="F550" s="412"/>
      <c r="G550" s="412"/>
      <c r="H550" s="412"/>
      <c r="I550" s="412"/>
      <c r="J550" s="412"/>
      <c r="K550" s="412"/>
      <c r="L550" s="412"/>
      <c r="M550" s="412"/>
      <c r="N550" s="412"/>
      <c r="O550" s="412"/>
      <c r="P550" s="412"/>
      <c r="Q550" s="412"/>
      <c r="R550" s="412"/>
      <c r="S550" s="412"/>
      <c r="T550" s="412"/>
      <c r="U550" s="412"/>
      <c r="V550" s="412"/>
      <c r="W550" s="412"/>
      <c r="X550" s="412"/>
      <c r="Y550" s="412"/>
      <c r="Z550" s="395"/>
      <c r="AA550" s="395"/>
    </row>
    <row r="551" spans="1:67" ht="27" customHeight="1" x14ac:dyDescent="0.25">
      <c r="A551" s="54" t="s">
        <v>781</v>
      </c>
      <c r="B551" s="54" t="s">
        <v>782</v>
      </c>
      <c r="C551" s="31">
        <v>4301031280</v>
      </c>
      <c r="D551" s="406">
        <v>4640242180816</v>
      </c>
      <c r="E551" s="407"/>
      <c r="F551" s="401">
        <v>0.7</v>
      </c>
      <c r="G551" s="32">
        <v>6</v>
      </c>
      <c r="H551" s="401">
        <v>4.2</v>
      </c>
      <c r="I551" s="401">
        <v>4.46</v>
      </c>
      <c r="J551" s="32">
        <v>156</v>
      </c>
      <c r="K551" s="32" t="s">
        <v>64</v>
      </c>
      <c r="L551" s="33" t="s">
        <v>65</v>
      </c>
      <c r="M551" s="33"/>
      <c r="N551" s="32">
        <v>40</v>
      </c>
      <c r="O551" s="726" t="s">
        <v>783</v>
      </c>
      <c r="P551" s="409"/>
      <c r="Q551" s="409"/>
      <c r="R551" s="409"/>
      <c r="S551" s="407"/>
      <c r="T551" s="34"/>
      <c r="U551" s="34"/>
      <c r="V551" s="35" t="s">
        <v>66</v>
      </c>
      <c r="W551" s="402">
        <v>87</v>
      </c>
      <c r="X551" s="403">
        <f>IFERROR(IF(W551="",0,CEILING((W551/$H551),1)*$H551),"")</f>
        <v>88.2</v>
      </c>
      <c r="Y551" s="36">
        <f>IFERROR(IF(X551=0,"",ROUNDUP(X551/H551,0)*0.00753),"")</f>
        <v>0.15812999999999999</v>
      </c>
      <c r="Z551" s="56"/>
      <c r="AA551" s="57"/>
      <c r="AE551" s="64"/>
      <c r="BB551" s="379" t="s">
        <v>1</v>
      </c>
      <c r="BL551" s="64">
        <f>IFERROR(W551*I551/H551,"0")</f>
        <v>92.385714285714272</v>
      </c>
      <c r="BM551" s="64">
        <f>IFERROR(X551*I551/H551,"0")</f>
        <v>93.66</v>
      </c>
      <c r="BN551" s="64">
        <f>IFERROR(1/J551*(W551/H551),"0")</f>
        <v>0.13278388278388276</v>
      </c>
      <c r="BO551" s="64">
        <f>IFERROR(1/J551*(X551/H551),"0")</f>
        <v>0.13461538461538461</v>
      </c>
    </row>
    <row r="552" spans="1:67" ht="27" customHeight="1" x14ac:dyDescent="0.25">
      <c r="A552" s="54" t="s">
        <v>784</v>
      </c>
      <c r="B552" s="54" t="s">
        <v>785</v>
      </c>
      <c r="C552" s="31">
        <v>4301031244</v>
      </c>
      <c r="D552" s="406">
        <v>4640242180595</v>
      </c>
      <c r="E552" s="407"/>
      <c r="F552" s="401">
        <v>0.7</v>
      </c>
      <c r="G552" s="32">
        <v>6</v>
      </c>
      <c r="H552" s="401">
        <v>4.2</v>
      </c>
      <c r="I552" s="401">
        <v>4.46</v>
      </c>
      <c r="J552" s="32">
        <v>156</v>
      </c>
      <c r="K552" s="32" t="s">
        <v>64</v>
      </c>
      <c r="L552" s="33" t="s">
        <v>65</v>
      </c>
      <c r="M552" s="33"/>
      <c r="N552" s="32">
        <v>40</v>
      </c>
      <c r="O552" s="821" t="s">
        <v>786</v>
      </c>
      <c r="P552" s="409"/>
      <c r="Q552" s="409"/>
      <c r="R552" s="409"/>
      <c r="S552" s="407"/>
      <c r="T552" s="34"/>
      <c r="U552" s="34"/>
      <c r="V552" s="35" t="s">
        <v>66</v>
      </c>
      <c r="W552" s="402">
        <v>0</v>
      </c>
      <c r="X552" s="403">
        <f>IFERROR(IF(W552="",0,CEILING((W552/$H552),1)*$H552),"")</f>
        <v>0</v>
      </c>
      <c r="Y552" s="36" t="str">
        <f>IFERROR(IF(X552=0,"",ROUNDUP(X552/H552,0)*0.00753),"")</f>
        <v/>
      </c>
      <c r="Z552" s="56"/>
      <c r="AA552" s="57"/>
      <c r="AE552" s="64"/>
      <c r="BB552" s="380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787</v>
      </c>
      <c r="B553" s="54" t="s">
        <v>788</v>
      </c>
      <c r="C553" s="31">
        <v>4301031321</v>
      </c>
      <c r="D553" s="406">
        <v>4640242180076</v>
      </c>
      <c r="E553" s="407"/>
      <c r="F553" s="401">
        <v>0.7</v>
      </c>
      <c r="G553" s="32">
        <v>6</v>
      </c>
      <c r="H553" s="401">
        <v>4.2</v>
      </c>
      <c r="I553" s="401">
        <v>4.4000000000000004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29" t="s">
        <v>789</v>
      </c>
      <c r="P553" s="409"/>
      <c r="Q553" s="409"/>
      <c r="R553" s="409"/>
      <c r="S553" s="407"/>
      <c r="T553" s="34"/>
      <c r="U553" s="34"/>
      <c r="V553" s="35" t="s">
        <v>66</v>
      </c>
      <c r="W553" s="402">
        <v>0</v>
      </c>
      <c r="X553" s="403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790</v>
      </c>
      <c r="B554" s="54" t="s">
        <v>791</v>
      </c>
      <c r="C554" s="31">
        <v>4301031203</v>
      </c>
      <c r="D554" s="406">
        <v>4640242180908</v>
      </c>
      <c r="E554" s="407"/>
      <c r="F554" s="401">
        <v>0.28000000000000003</v>
      </c>
      <c r="G554" s="32">
        <v>6</v>
      </c>
      <c r="H554" s="401">
        <v>1.68</v>
      </c>
      <c r="I554" s="401">
        <v>1.81</v>
      </c>
      <c r="J554" s="32">
        <v>234</v>
      </c>
      <c r="K554" s="32" t="s">
        <v>69</v>
      </c>
      <c r="L554" s="33" t="s">
        <v>65</v>
      </c>
      <c r="M554" s="33"/>
      <c r="N554" s="32">
        <v>40</v>
      </c>
      <c r="O554" s="648" t="s">
        <v>792</v>
      </c>
      <c r="P554" s="409"/>
      <c r="Q554" s="409"/>
      <c r="R554" s="409"/>
      <c r="S554" s="407"/>
      <c r="T554" s="34"/>
      <c r="U554" s="34"/>
      <c r="V554" s="35" t="s">
        <v>66</v>
      </c>
      <c r="W554" s="402">
        <v>0</v>
      </c>
      <c r="X554" s="403">
        <f>IFERROR(IF(W554="",0,CEILING((W554/$H554),1)*$H554),"")</f>
        <v>0</v>
      </c>
      <c r="Y554" s="36" t="str">
        <f>IFERROR(IF(X554=0,"",ROUNDUP(X554/H554,0)*0.00502),"")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793</v>
      </c>
      <c r="B555" s="54" t="s">
        <v>794</v>
      </c>
      <c r="C555" s="31">
        <v>4301031200</v>
      </c>
      <c r="D555" s="406">
        <v>4640242180489</v>
      </c>
      <c r="E555" s="407"/>
      <c r="F555" s="401">
        <v>0.28000000000000003</v>
      </c>
      <c r="G555" s="32">
        <v>6</v>
      </c>
      <c r="H555" s="401">
        <v>1.68</v>
      </c>
      <c r="I555" s="401">
        <v>1.84</v>
      </c>
      <c r="J555" s="32">
        <v>234</v>
      </c>
      <c r="K555" s="32" t="s">
        <v>69</v>
      </c>
      <c r="L555" s="33" t="s">
        <v>65</v>
      </c>
      <c r="M555" s="33"/>
      <c r="N555" s="32">
        <v>40</v>
      </c>
      <c r="O555" s="420" t="s">
        <v>795</v>
      </c>
      <c r="P555" s="409"/>
      <c r="Q555" s="409"/>
      <c r="R555" s="409"/>
      <c r="S555" s="407"/>
      <c r="T555" s="34"/>
      <c r="U555" s="34"/>
      <c r="V555" s="35" t="s">
        <v>66</v>
      </c>
      <c r="W555" s="402">
        <v>0</v>
      </c>
      <c r="X555" s="403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x14ac:dyDescent="0.2">
      <c r="A556" s="414"/>
      <c r="B556" s="412"/>
      <c r="C556" s="412"/>
      <c r="D556" s="412"/>
      <c r="E556" s="412"/>
      <c r="F556" s="412"/>
      <c r="G556" s="412"/>
      <c r="H556" s="412"/>
      <c r="I556" s="412"/>
      <c r="J556" s="412"/>
      <c r="K556" s="412"/>
      <c r="L556" s="412"/>
      <c r="M556" s="412"/>
      <c r="N556" s="415"/>
      <c r="O556" s="432" t="s">
        <v>70</v>
      </c>
      <c r="P556" s="433"/>
      <c r="Q556" s="433"/>
      <c r="R556" s="433"/>
      <c r="S556" s="433"/>
      <c r="T556" s="433"/>
      <c r="U556" s="434"/>
      <c r="V556" s="37" t="s">
        <v>71</v>
      </c>
      <c r="W556" s="404">
        <f>IFERROR(W551/H551,"0")+IFERROR(W552/H552,"0")+IFERROR(W553/H553,"0")+IFERROR(W554/H554,"0")+IFERROR(W555/H555,"0")</f>
        <v>20.714285714285712</v>
      </c>
      <c r="X556" s="404">
        <f>IFERROR(X551/H551,"0")+IFERROR(X552/H552,"0")+IFERROR(X553/H553,"0")+IFERROR(X554/H554,"0")+IFERROR(X555/H555,"0")</f>
        <v>21</v>
      </c>
      <c r="Y556" s="404">
        <f>IFERROR(IF(Y551="",0,Y551),"0")+IFERROR(IF(Y552="",0,Y552),"0")+IFERROR(IF(Y553="",0,Y553),"0")+IFERROR(IF(Y554="",0,Y554),"0")+IFERROR(IF(Y555="",0,Y555),"0")</f>
        <v>0.15812999999999999</v>
      </c>
      <c r="Z556" s="405"/>
      <c r="AA556" s="405"/>
    </row>
    <row r="557" spans="1:67" x14ac:dyDescent="0.2">
      <c r="A557" s="412"/>
      <c r="B557" s="412"/>
      <c r="C557" s="412"/>
      <c r="D557" s="412"/>
      <c r="E557" s="412"/>
      <c r="F557" s="412"/>
      <c r="G557" s="412"/>
      <c r="H557" s="412"/>
      <c r="I557" s="412"/>
      <c r="J557" s="412"/>
      <c r="K557" s="412"/>
      <c r="L557" s="412"/>
      <c r="M557" s="412"/>
      <c r="N557" s="415"/>
      <c r="O557" s="432" t="s">
        <v>70</v>
      </c>
      <c r="P557" s="433"/>
      <c r="Q557" s="433"/>
      <c r="R557" s="433"/>
      <c r="S557" s="433"/>
      <c r="T557" s="433"/>
      <c r="U557" s="434"/>
      <c r="V557" s="37" t="s">
        <v>66</v>
      </c>
      <c r="W557" s="404">
        <f>IFERROR(SUM(W551:W555),"0")</f>
        <v>87</v>
      </c>
      <c r="X557" s="404">
        <f>IFERROR(SUM(X551:X555),"0")</f>
        <v>88.2</v>
      </c>
      <c r="Y557" s="37"/>
      <c r="Z557" s="405"/>
      <c r="AA557" s="405"/>
    </row>
    <row r="558" spans="1:67" ht="14.25" customHeight="1" x14ac:dyDescent="0.25">
      <c r="A558" s="411" t="s">
        <v>72</v>
      </c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412"/>
      <c r="N558" s="412"/>
      <c r="O558" s="412"/>
      <c r="P558" s="412"/>
      <c r="Q558" s="412"/>
      <c r="R558" s="412"/>
      <c r="S558" s="412"/>
      <c r="T558" s="412"/>
      <c r="U558" s="412"/>
      <c r="V558" s="412"/>
      <c r="W558" s="412"/>
      <c r="X558" s="412"/>
      <c r="Y558" s="412"/>
      <c r="Z558" s="395"/>
      <c r="AA558" s="395"/>
    </row>
    <row r="559" spans="1:67" ht="27" customHeight="1" x14ac:dyDescent="0.25">
      <c r="A559" s="54" t="s">
        <v>796</v>
      </c>
      <c r="B559" s="54" t="s">
        <v>797</v>
      </c>
      <c r="C559" s="31">
        <v>4301051746</v>
      </c>
      <c r="D559" s="406">
        <v>4640242180533</v>
      </c>
      <c r="E559" s="407"/>
      <c r="F559" s="401">
        <v>1.3</v>
      </c>
      <c r="G559" s="32">
        <v>6</v>
      </c>
      <c r="H559" s="401">
        <v>7.8</v>
      </c>
      <c r="I559" s="401">
        <v>8.3640000000000008</v>
      </c>
      <c r="J559" s="32">
        <v>56</v>
      </c>
      <c r="K559" s="32" t="s">
        <v>109</v>
      </c>
      <c r="L559" s="33" t="s">
        <v>129</v>
      </c>
      <c r="M559" s="33"/>
      <c r="N559" s="32">
        <v>40</v>
      </c>
      <c r="O559" s="754" t="s">
        <v>798</v>
      </c>
      <c r="P559" s="409"/>
      <c r="Q559" s="409"/>
      <c r="R559" s="409"/>
      <c r="S559" s="407"/>
      <c r="T559" s="34"/>
      <c r="U559" s="34"/>
      <c r="V559" s="35" t="s">
        <v>66</v>
      </c>
      <c r="W559" s="402">
        <v>0</v>
      </c>
      <c r="X559" s="403">
        <f>IFERROR(IF(W559="",0,CEILING((W559/$H559),1)*$H559),"")</f>
        <v>0</v>
      </c>
      <c r="Y559" s="36" t="str">
        <f>IFERROR(IF(X559=0,"",ROUNDUP(X559/H559,0)*0.02175),"")</f>
        <v/>
      </c>
      <c r="Z559" s="56"/>
      <c r="AA559" s="57"/>
      <c r="AE559" s="64"/>
      <c r="BB559" s="384" t="s">
        <v>1</v>
      </c>
      <c r="BL559" s="64">
        <f>IFERROR(W559*I559/H559,"0")</f>
        <v>0</v>
      </c>
      <c r="BM559" s="64">
        <f>IFERROR(X559*I559/H559,"0")</f>
        <v>0</v>
      </c>
      <c r="BN559" s="64">
        <f>IFERROR(1/J559*(W559/H559),"0")</f>
        <v>0</v>
      </c>
      <c r="BO559" s="64">
        <f>IFERROR(1/J559*(X559/H559),"0")</f>
        <v>0</v>
      </c>
    </row>
    <row r="560" spans="1:67" ht="27" customHeight="1" x14ac:dyDescent="0.25">
      <c r="A560" s="54" t="s">
        <v>799</v>
      </c>
      <c r="B560" s="54" t="s">
        <v>800</v>
      </c>
      <c r="C560" s="31">
        <v>4301051780</v>
      </c>
      <c r="D560" s="406">
        <v>4640242180106</v>
      </c>
      <c r="E560" s="407"/>
      <c r="F560" s="401">
        <v>1.3</v>
      </c>
      <c r="G560" s="32">
        <v>6</v>
      </c>
      <c r="H560" s="401">
        <v>7.8</v>
      </c>
      <c r="I560" s="401">
        <v>8.2799999999999994</v>
      </c>
      <c r="J560" s="32">
        <v>56</v>
      </c>
      <c r="K560" s="32" t="s">
        <v>109</v>
      </c>
      <c r="L560" s="33" t="s">
        <v>65</v>
      </c>
      <c r="M560" s="33"/>
      <c r="N560" s="32">
        <v>45</v>
      </c>
      <c r="O560" s="789" t="s">
        <v>801</v>
      </c>
      <c r="P560" s="409"/>
      <c r="Q560" s="409"/>
      <c r="R560" s="409"/>
      <c r="S560" s="407"/>
      <c r="T560" s="34"/>
      <c r="U560" s="34"/>
      <c r="V560" s="35" t="s">
        <v>66</v>
      </c>
      <c r="W560" s="402">
        <v>0</v>
      </c>
      <c r="X560" s="403">
        <f>IFERROR(IF(W560="",0,CEILING((W560/$H560),1)*$H560),"")</f>
        <v>0</v>
      </c>
      <c r="Y560" s="36" t="str">
        <f>IFERROR(IF(X560=0,"",ROUNDUP(X560/H560,0)*0.02175),"")</f>
        <v/>
      </c>
      <c r="Z560" s="56"/>
      <c r="AA560" s="57"/>
      <c r="AE560" s="64"/>
      <c r="BB560" s="385" t="s">
        <v>1</v>
      </c>
      <c r="BL560" s="64">
        <f>IFERROR(W560*I560/H560,"0")</f>
        <v>0</v>
      </c>
      <c r="BM560" s="64">
        <f>IFERROR(X560*I560/H560,"0")</f>
        <v>0</v>
      </c>
      <c r="BN560" s="64">
        <f>IFERROR(1/J560*(W560/H560),"0")</f>
        <v>0</v>
      </c>
      <c r="BO560" s="64">
        <f>IFERROR(1/J560*(X560/H560),"0")</f>
        <v>0</v>
      </c>
    </row>
    <row r="561" spans="1:67" ht="27" customHeight="1" x14ac:dyDescent="0.25">
      <c r="A561" s="54" t="s">
        <v>802</v>
      </c>
      <c r="B561" s="54" t="s">
        <v>803</v>
      </c>
      <c r="C561" s="31">
        <v>4301051510</v>
      </c>
      <c r="D561" s="406">
        <v>4640242180540</v>
      </c>
      <c r="E561" s="407"/>
      <c r="F561" s="401">
        <v>1.3</v>
      </c>
      <c r="G561" s="32">
        <v>6</v>
      </c>
      <c r="H561" s="401">
        <v>7.8</v>
      </c>
      <c r="I561" s="401">
        <v>8.3640000000000008</v>
      </c>
      <c r="J561" s="32">
        <v>56</v>
      </c>
      <c r="K561" s="32" t="s">
        <v>109</v>
      </c>
      <c r="L561" s="33" t="s">
        <v>65</v>
      </c>
      <c r="M561" s="33"/>
      <c r="N561" s="32">
        <v>30</v>
      </c>
      <c r="O561" s="762" t="s">
        <v>804</v>
      </c>
      <c r="P561" s="409"/>
      <c r="Q561" s="409"/>
      <c r="R561" s="409"/>
      <c r="S561" s="407"/>
      <c r="T561" s="34"/>
      <c r="U561" s="34"/>
      <c r="V561" s="35" t="s">
        <v>66</v>
      </c>
      <c r="W561" s="402">
        <v>0</v>
      </c>
      <c r="X561" s="403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customHeight="1" x14ac:dyDescent="0.25">
      <c r="A562" s="54" t="s">
        <v>805</v>
      </c>
      <c r="B562" s="54" t="s">
        <v>806</v>
      </c>
      <c r="C562" s="31">
        <v>4301051390</v>
      </c>
      <c r="D562" s="406">
        <v>4640242181233</v>
      </c>
      <c r="E562" s="407"/>
      <c r="F562" s="401">
        <v>0.3</v>
      </c>
      <c r="G562" s="32">
        <v>6</v>
      </c>
      <c r="H562" s="401">
        <v>1.8</v>
      </c>
      <c r="I562" s="401">
        <v>1.984</v>
      </c>
      <c r="J562" s="32">
        <v>234</v>
      </c>
      <c r="K562" s="32" t="s">
        <v>69</v>
      </c>
      <c r="L562" s="33" t="s">
        <v>65</v>
      </c>
      <c r="M562" s="33"/>
      <c r="N562" s="32">
        <v>40</v>
      </c>
      <c r="O562" s="797" t="s">
        <v>807</v>
      </c>
      <c r="P562" s="409"/>
      <c r="Q562" s="409"/>
      <c r="R562" s="409"/>
      <c r="S562" s="407"/>
      <c r="T562" s="34"/>
      <c r="U562" s="34"/>
      <c r="V562" s="35" t="s">
        <v>66</v>
      </c>
      <c r="W562" s="402">
        <v>0</v>
      </c>
      <c r="X562" s="403">
        <f>IFERROR(IF(W562="",0,CEILING((W562/$H562),1)*$H562),"")</f>
        <v>0</v>
      </c>
      <c r="Y562" s="36" t="str">
        <f>IFERROR(IF(X562=0,"",ROUNDUP(X562/H562,0)*0.00502),"")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customHeight="1" x14ac:dyDescent="0.25">
      <c r="A563" s="54" t="s">
        <v>808</v>
      </c>
      <c r="B563" s="54" t="s">
        <v>809</v>
      </c>
      <c r="C563" s="31">
        <v>4301051448</v>
      </c>
      <c r="D563" s="406">
        <v>4640242181226</v>
      </c>
      <c r="E563" s="407"/>
      <c r="F563" s="401">
        <v>0.3</v>
      </c>
      <c r="G563" s="32">
        <v>6</v>
      </c>
      <c r="H563" s="401">
        <v>1.8</v>
      </c>
      <c r="I563" s="401">
        <v>1.972</v>
      </c>
      <c r="J563" s="32">
        <v>234</v>
      </c>
      <c r="K563" s="32" t="s">
        <v>69</v>
      </c>
      <c r="L563" s="33" t="s">
        <v>65</v>
      </c>
      <c r="M563" s="33"/>
      <c r="N563" s="32">
        <v>30</v>
      </c>
      <c r="O563" s="598" t="s">
        <v>810</v>
      </c>
      <c r="P563" s="409"/>
      <c r="Q563" s="409"/>
      <c r="R563" s="409"/>
      <c r="S563" s="407"/>
      <c r="T563" s="34"/>
      <c r="U563" s="34"/>
      <c r="V563" s="35" t="s">
        <v>66</v>
      </c>
      <c r="W563" s="402">
        <v>0</v>
      </c>
      <c r="X563" s="403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x14ac:dyDescent="0.2">
      <c r="A564" s="414"/>
      <c r="B564" s="412"/>
      <c r="C564" s="412"/>
      <c r="D564" s="412"/>
      <c r="E564" s="412"/>
      <c r="F564" s="412"/>
      <c r="G564" s="412"/>
      <c r="H564" s="412"/>
      <c r="I564" s="412"/>
      <c r="J564" s="412"/>
      <c r="K564" s="412"/>
      <c r="L564" s="412"/>
      <c r="M564" s="412"/>
      <c r="N564" s="415"/>
      <c r="O564" s="432" t="s">
        <v>70</v>
      </c>
      <c r="P564" s="433"/>
      <c r="Q564" s="433"/>
      <c r="R564" s="433"/>
      <c r="S564" s="433"/>
      <c r="T564" s="433"/>
      <c r="U564" s="434"/>
      <c r="V564" s="37" t="s">
        <v>71</v>
      </c>
      <c r="W564" s="404">
        <f>IFERROR(W559/H559,"0")+IFERROR(W560/H560,"0")+IFERROR(W561/H561,"0")+IFERROR(W562/H562,"0")+IFERROR(W563/H563,"0")</f>
        <v>0</v>
      </c>
      <c r="X564" s="404">
        <f>IFERROR(X559/H559,"0")+IFERROR(X560/H560,"0")+IFERROR(X561/H561,"0")+IFERROR(X562/H562,"0")+IFERROR(X563/H563,"0")</f>
        <v>0</v>
      </c>
      <c r="Y564" s="404">
        <f>IFERROR(IF(Y559="",0,Y559),"0")+IFERROR(IF(Y560="",0,Y560),"0")+IFERROR(IF(Y561="",0,Y561),"0")+IFERROR(IF(Y562="",0,Y562),"0")+IFERROR(IF(Y563="",0,Y563),"0")</f>
        <v>0</v>
      </c>
      <c r="Z564" s="405"/>
      <c r="AA564" s="405"/>
    </row>
    <row r="565" spans="1:67" x14ac:dyDescent="0.2">
      <c r="A565" s="412"/>
      <c r="B565" s="412"/>
      <c r="C565" s="412"/>
      <c r="D565" s="412"/>
      <c r="E565" s="412"/>
      <c r="F565" s="412"/>
      <c r="G565" s="412"/>
      <c r="H565" s="412"/>
      <c r="I565" s="412"/>
      <c r="J565" s="412"/>
      <c r="K565" s="412"/>
      <c r="L565" s="412"/>
      <c r="M565" s="412"/>
      <c r="N565" s="415"/>
      <c r="O565" s="432" t="s">
        <v>70</v>
      </c>
      <c r="P565" s="433"/>
      <c r="Q565" s="433"/>
      <c r="R565" s="433"/>
      <c r="S565" s="433"/>
      <c r="T565" s="433"/>
      <c r="U565" s="434"/>
      <c r="V565" s="37" t="s">
        <v>66</v>
      </c>
      <c r="W565" s="404">
        <f>IFERROR(SUM(W559:W563),"0")</f>
        <v>0</v>
      </c>
      <c r="X565" s="404">
        <f>IFERROR(SUM(X559:X563),"0")</f>
        <v>0</v>
      </c>
      <c r="Y565" s="37"/>
      <c r="Z565" s="405"/>
      <c r="AA565" s="405"/>
    </row>
    <row r="566" spans="1:67" ht="14.25" customHeight="1" x14ac:dyDescent="0.25">
      <c r="A566" s="411" t="s">
        <v>217</v>
      </c>
      <c r="B566" s="412"/>
      <c r="C566" s="412"/>
      <c r="D566" s="412"/>
      <c r="E566" s="412"/>
      <c r="F566" s="412"/>
      <c r="G566" s="412"/>
      <c r="H566" s="412"/>
      <c r="I566" s="412"/>
      <c r="J566" s="412"/>
      <c r="K566" s="412"/>
      <c r="L566" s="412"/>
      <c r="M566" s="412"/>
      <c r="N566" s="412"/>
      <c r="O566" s="412"/>
      <c r="P566" s="412"/>
      <c r="Q566" s="412"/>
      <c r="R566" s="412"/>
      <c r="S566" s="412"/>
      <c r="T566" s="412"/>
      <c r="U566" s="412"/>
      <c r="V566" s="412"/>
      <c r="W566" s="412"/>
      <c r="X566" s="412"/>
      <c r="Y566" s="412"/>
      <c r="Z566" s="395"/>
      <c r="AA566" s="395"/>
    </row>
    <row r="567" spans="1:67" ht="27" customHeight="1" x14ac:dyDescent="0.25">
      <c r="A567" s="54" t="s">
        <v>811</v>
      </c>
      <c r="B567" s="54" t="s">
        <v>812</v>
      </c>
      <c r="C567" s="31">
        <v>4301060354</v>
      </c>
      <c r="D567" s="406">
        <v>4640242180120</v>
      </c>
      <c r="E567" s="407"/>
      <c r="F567" s="401">
        <v>1.3</v>
      </c>
      <c r="G567" s="32">
        <v>6</v>
      </c>
      <c r="H567" s="401">
        <v>7.8</v>
      </c>
      <c r="I567" s="401">
        <v>8.2799999999999994</v>
      </c>
      <c r="J567" s="32">
        <v>56</v>
      </c>
      <c r="K567" s="32" t="s">
        <v>109</v>
      </c>
      <c r="L567" s="33" t="s">
        <v>65</v>
      </c>
      <c r="M567" s="33"/>
      <c r="N567" s="32">
        <v>40</v>
      </c>
      <c r="O567" s="661" t="s">
        <v>813</v>
      </c>
      <c r="P567" s="409"/>
      <c r="Q567" s="409"/>
      <c r="R567" s="409"/>
      <c r="S567" s="407"/>
      <c r="T567" s="34"/>
      <c r="U567" s="34"/>
      <c r="V567" s="35" t="s">
        <v>66</v>
      </c>
      <c r="W567" s="402">
        <v>0</v>
      </c>
      <c r="X567" s="403">
        <f>IFERROR(IF(W567="",0,CEILING((W567/$H567),1)*$H567),"")</f>
        <v>0</v>
      </c>
      <c r="Y567" s="36" t="str">
        <f>IFERROR(IF(X567=0,"",ROUNDUP(X567/H567,0)*0.02175),"")</f>
        <v/>
      </c>
      <c r="Z567" s="56"/>
      <c r="AA567" s="57"/>
      <c r="AE567" s="64"/>
      <c r="BB567" s="389" t="s">
        <v>1</v>
      </c>
      <c r="BL567" s="64">
        <f>IFERROR(W567*I567/H567,"0")</f>
        <v>0</v>
      </c>
      <c r="BM567" s="64">
        <f>IFERROR(X567*I567/H567,"0")</f>
        <v>0</v>
      </c>
      <c r="BN567" s="64">
        <f>IFERROR(1/J567*(W567/H567),"0")</f>
        <v>0</v>
      </c>
      <c r="BO567" s="64">
        <f>IFERROR(1/J567*(X567/H567),"0")</f>
        <v>0</v>
      </c>
    </row>
    <row r="568" spans="1:67" ht="27" customHeight="1" x14ac:dyDescent="0.25">
      <c r="A568" s="54" t="s">
        <v>811</v>
      </c>
      <c r="B568" s="54" t="s">
        <v>814</v>
      </c>
      <c r="C568" s="31">
        <v>4301060408</v>
      </c>
      <c r="D568" s="406">
        <v>4640242180120</v>
      </c>
      <c r="E568" s="407"/>
      <c r="F568" s="401">
        <v>1.3</v>
      </c>
      <c r="G568" s="32">
        <v>6</v>
      </c>
      <c r="H568" s="401">
        <v>7.8</v>
      </c>
      <c r="I568" s="401">
        <v>8.2799999999999994</v>
      </c>
      <c r="J568" s="32">
        <v>56</v>
      </c>
      <c r="K568" s="32" t="s">
        <v>109</v>
      </c>
      <c r="L568" s="33" t="s">
        <v>65</v>
      </c>
      <c r="M568" s="33"/>
      <c r="N568" s="32">
        <v>40</v>
      </c>
      <c r="O568" s="419" t="s">
        <v>815</v>
      </c>
      <c r="P568" s="409"/>
      <c r="Q568" s="409"/>
      <c r="R568" s="409"/>
      <c r="S568" s="407"/>
      <c r="T568" s="34"/>
      <c r="U568" s="34"/>
      <c r="V568" s="35" t="s">
        <v>66</v>
      </c>
      <c r="W568" s="402">
        <v>0</v>
      </c>
      <c r="X568" s="403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customHeight="1" x14ac:dyDescent="0.25">
      <c r="A569" s="54" t="s">
        <v>816</v>
      </c>
      <c r="B569" s="54" t="s">
        <v>817</v>
      </c>
      <c r="C569" s="31">
        <v>4301060355</v>
      </c>
      <c r="D569" s="406">
        <v>4640242180137</v>
      </c>
      <c r="E569" s="407"/>
      <c r="F569" s="401">
        <v>1.3</v>
      </c>
      <c r="G569" s="32">
        <v>6</v>
      </c>
      <c r="H569" s="401">
        <v>7.8</v>
      </c>
      <c r="I569" s="401">
        <v>8.2799999999999994</v>
      </c>
      <c r="J569" s="32">
        <v>56</v>
      </c>
      <c r="K569" s="32" t="s">
        <v>109</v>
      </c>
      <c r="L569" s="33" t="s">
        <v>65</v>
      </c>
      <c r="M569" s="33"/>
      <c r="N569" s="32">
        <v>40</v>
      </c>
      <c r="O569" s="663" t="s">
        <v>818</v>
      </c>
      <c r="P569" s="409"/>
      <c r="Q569" s="409"/>
      <c r="R569" s="409"/>
      <c r="S569" s="407"/>
      <c r="T569" s="34"/>
      <c r="U569" s="34"/>
      <c r="V569" s="35" t="s">
        <v>66</v>
      </c>
      <c r="W569" s="402">
        <v>0</v>
      </c>
      <c r="X569" s="403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customHeight="1" x14ac:dyDescent="0.25">
      <c r="A570" s="54" t="s">
        <v>816</v>
      </c>
      <c r="B570" s="54" t="s">
        <v>819</v>
      </c>
      <c r="C570" s="31">
        <v>4301060407</v>
      </c>
      <c r="D570" s="406">
        <v>4640242180137</v>
      </c>
      <c r="E570" s="407"/>
      <c r="F570" s="401">
        <v>1.3</v>
      </c>
      <c r="G570" s="32">
        <v>6</v>
      </c>
      <c r="H570" s="401">
        <v>7.8</v>
      </c>
      <c r="I570" s="401">
        <v>8.2799999999999994</v>
      </c>
      <c r="J570" s="32">
        <v>56</v>
      </c>
      <c r="K570" s="32" t="s">
        <v>109</v>
      </c>
      <c r="L570" s="33" t="s">
        <v>65</v>
      </c>
      <c r="M570" s="33"/>
      <c r="N570" s="32">
        <v>40</v>
      </c>
      <c r="O570" s="438" t="s">
        <v>820</v>
      </c>
      <c r="P570" s="409"/>
      <c r="Q570" s="409"/>
      <c r="R570" s="409"/>
      <c r="S570" s="407"/>
      <c r="T570" s="34"/>
      <c r="U570" s="34"/>
      <c r="V570" s="35" t="s">
        <v>66</v>
      </c>
      <c r="W570" s="402">
        <v>0</v>
      </c>
      <c r="X570" s="403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x14ac:dyDescent="0.2">
      <c r="A571" s="414"/>
      <c r="B571" s="412"/>
      <c r="C571" s="412"/>
      <c r="D571" s="412"/>
      <c r="E571" s="412"/>
      <c r="F571" s="412"/>
      <c r="G571" s="412"/>
      <c r="H571" s="412"/>
      <c r="I571" s="412"/>
      <c r="J571" s="412"/>
      <c r="K571" s="412"/>
      <c r="L571" s="412"/>
      <c r="M571" s="412"/>
      <c r="N571" s="415"/>
      <c r="O571" s="432" t="s">
        <v>70</v>
      </c>
      <c r="P571" s="433"/>
      <c r="Q571" s="433"/>
      <c r="R571" s="433"/>
      <c r="S571" s="433"/>
      <c r="T571" s="433"/>
      <c r="U571" s="434"/>
      <c r="V571" s="37" t="s">
        <v>71</v>
      </c>
      <c r="W571" s="404">
        <f>IFERROR(W567/H567,"0")+IFERROR(W568/H568,"0")+IFERROR(W569/H569,"0")+IFERROR(W570/H570,"0")</f>
        <v>0</v>
      </c>
      <c r="X571" s="404">
        <f>IFERROR(X567/H567,"0")+IFERROR(X568/H568,"0")+IFERROR(X569/H569,"0")+IFERROR(X570/H570,"0")</f>
        <v>0</v>
      </c>
      <c r="Y571" s="404">
        <f>IFERROR(IF(Y567="",0,Y567),"0")+IFERROR(IF(Y568="",0,Y568),"0")+IFERROR(IF(Y569="",0,Y569),"0")+IFERROR(IF(Y570="",0,Y570),"0")</f>
        <v>0</v>
      </c>
      <c r="Z571" s="405"/>
      <c r="AA571" s="405"/>
    </row>
    <row r="572" spans="1:67" x14ac:dyDescent="0.2">
      <c r="A572" s="412"/>
      <c r="B572" s="412"/>
      <c r="C572" s="412"/>
      <c r="D572" s="412"/>
      <c r="E572" s="412"/>
      <c r="F572" s="412"/>
      <c r="G572" s="412"/>
      <c r="H572" s="412"/>
      <c r="I572" s="412"/>
      <c r="J572" s="412"/>
      <c r="K572" s="412"/>
      <c r="L572" s="412"/>
      <c r="M572" s="412"/>
      <c r="N572" s="415"/>
      <c r="O572" s="432" t="s">
        <v>70</v>
      </c>
      <c r="P572" s="433"/>
      <c r="Q572" s="433"/>
      <c r="R572" s="433"/>
      <c r="S572" s="433"/>
      <c r="T572" s="433"/>
      <c r="U572" s="434"/>
      <c r="V572" s="37" t="s">
        <v>66</v>
      </c>
      <c r="W572" s="404">
        <f>IFERROR(SUM(W567:W570),"0")</f>
        <v>0</v>
      </c>
      <c r="X572" s="404">
        <f>IFERROR(SUM(X567:X570),"0")</f>
        <v>0</v>
      </c>
      <c r="Y572" s="37"/>
      <c r="Z572" s="405"/>
      <c r="AA572" s="405"/>
    </row>
    <row r="573" spans="1:67" ht="15" customHeight="1" x14ac:dyDescent="0.2">
      <c r="A573" s="500"/>
      <c r="B573" s="412"/>
      <c r="C573" s="412"/>
      <c r="D573" s="412"/>
      <c r="E573" s="412"/>
      <c r="F573" s="412"/>
      <c r="G573" s="412"/>
      <c r="H573" s="412"/>
      <c r="I573" s="412"/>
      <c r="J573" s="412"/>
      <c r="K573" s="412"/>
      <c r="L573" s="412"/>
      <c r="M573" s="412"/>
      <c r="N573" s="472"/>
      <c r="O573" s="636" t="s">
        <v>821</v>
      </c>
      <c r="P573" s="565"/>
      <c r="Q573" s="565"/>
      <c r="R573" s="565"/>
      <c r="S573" s="565"/>
      <c r="T573" s="565"/>
      <c r="U573" s="566"/>
      <c r="V573" s="37" t="s">
        <v>66</v>
      </c>
      <c r="W573" s="404">
        <f>IFERROR(W25+W37+W41+W45+W49+W56+W64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3590</v>
      </c>
      <c r="X573" s="404">
        <f>IFERROR(X25+X37+X41+X45+X49+X56+X64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3686.0399999999995</v>
      </c>
      <c r="Y573" s="37"/>
      <c r="Z573" s="405"/>
      <c r="AA573" s="405"/>
    </row>
    <row r="574" spans="1:67" x14ac:dyDescent="0.2">
      <c r="A574" s="412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72"/>
      <c r="O574" s="636" t="s">
        <v>822</v>
      </c>
      <c r="P574" s="565"/>
      <c r="Q574" s="565"/>
      <c r="R574" s="565"/>
      <c r="S574" s="565"/>
      <c r="T574" s="565"/>
      <c r="U574" s="566"/>
      <c r="V574" s="37" t="s">
        <v>66</v>
      </c>
      <c r="W574" s="404">
        <f>IFERROR(SUM(BL22:BL570),"0")</f>
        <v>3780.8772674987845</v>
      </c>
      <c r="X574" s="404">
        <f>IFERROR(SUM(BM22:BM570),"0")</f>
        <v>3882.7560000000003</v>
      </c>
      <c r="Y574" s="37"/>
      <c r="Z574" s="405"/>
      <c r="AA574" s="405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472"/>
      <c r="O575" s="636" t="s">
        <v>823</v>
      </c>
      <c r="P575" s="565"/>
      <c r="Q575" s="565"/>
      <c r="R575" s="565"/>
      <c r="S575" s="565"/>
      <c r="T575" s="565"/>
      <c r="U575" s="566"/>
      <c r="V575" s="37" t="s">
        <v>824</v>
      </c>
      <c r="W575" s="38">
        <f>ROUNDUP(SUM(BN22:BN570),0)</f>
        <v>7</v>
      </c>
      <c r="X575" s="38">
        <f>ROUNDUP(SUM(BO22:BO570),0)</f>
        <v>7</v>
      </c>
      <c r="Y575" s="37"/>
      <c r="Z575" s="405"/>
      <c r="AA575" s="405"/>
    </row>
    <row r="576" spans="1:67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472"/>
      <c r="O576" s="636" t="s">
        <v>825</v>
      </c>
      <c r="P576" s="565"/>
      <c r="Q576" s="565"/>
      <c r="R576" s="565"/>
      <c r="S576" s="565"/>
      <c r="T576" s="565"/>
      <c r="U576" s="566"/>
      <c r="V576" s="37" t="s">
        <v>66</v>
      </c>
      <c r="W576" s="404">
        <f>GrossWeightTotal+PalletQtyTotal*25</f>
        <v>3955.8772674987845</v>
      </c>
      <c r="X576" s="404">
        <f>GrossWeightTotalR+PalletQtyTotalR*25</f>
        <v>4057.7560000000003</v>
      </c>
      <c r="Y576" s="37"/>
      <c r="Z576" s="405"/>
      <c r="AA576" s="405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472"/>
      <c r="O577" s="636" t="s">
        <v>826</v>
      </c>
      <c r="P577" s="565"/>
      <c r="Q577" s="565"/>
      <c r="R577" s="565"/>
      <c r="S577" s="565"/>
      <c r="T577" s="565"/>
      <c r="U577" s="566"/>
      <c r="V577" s="37" t="s">
        <v>824</v>
      </c>
      <c r="W577" s="404">
        <f>IFERROR(W24+W36+W40+W44+W48+W55+W63+W87+W94+W104+W122+W131+W140+W150+W163+W169+W174+W185+W203+W210+W221+W227+W237+W251+W258+W271+W277+W283+W289+W300+W305+W310+W316+W320+W324+W341+W348+W354+W359+W367+W373+W381+W386+W393+W421+W427+W431+W437+W443+W455+W460+W464+W468+W475+W481+W485+W502+W507+W516+W522+W526+W540+W548+W556+W564+W571,"0")</f>
        <v>514.89200681183434</v>
      </c>
      <c r="X577" s="404">
        <f>IFERROR(X24+X36+X40+X44+X48+X55+X63+X87+X94+X104+X122+X131+X140+X150+X163+X169+X174+X185+X203+X210+X221+X227+X237+X251+X258+X271+X277+X283+X289+X300+X305+X310+X316+X320+X324+X341+X348+X354+X359+X367+X373+X381+X386+X393+X421+X427+X431+X437+X443+X455+X460+X464+X468+X475+X481+X485+X502+X507+X516+X522+X526+X540+X548+X556+X564+X571,"0")</f>
        <v>529</v>
      </c>
      <c r="Y577" s="37"/>
      <c r="Z577" s="405"/>
      <c r="AA577" s="405"/>
    </row>
    <row r="578" spans="1:30" ht="14.25" customHeight="1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472"/>
      <c r="O578" s="636" t="s">
        <v>827</v>
      </c>
      <c r="P578" s="565"/>
      <c r="Q578" s="565"/>
      <c r="R578" s="565"/>
      <c r="S578" s="565"/>
      <c r="T578" s="565"/>
      <c r="U578" s="566"/>
      <c r="V578" s="39" t="s">
        <v>828</v>
      </c>
      <c r="W578" s="37"/>
      <c r="X578" s="37"/>
      <c r="Y578" s="37">
        <f>IFERROR(Y24+Y36+Y40+Y44+Y48+Y55+Y63+Y87+Y94+Y104+Y122+Y131+Y140+Y150+Y163+Y169+Y174+Y185+Y203+Y210+Y221+Y227+Y237+Y251+Y258+Y271+Y277+Y283+Y289+Y300+Y305+Y310+Y316+Y320+Y324+Y341+Y348+Y354+Y359+Y367+Y373+Y381+Y386+Y393+Y421+Y427+Y431+Y437+Y443+Y455+Y460+Y464+Y468+Y475+Y481+Y485+Y502+Y507+Y516+Y522+Y526+Y540+Y548+Y556+Y564+Y571,"0")</f>
        <v>7.3757099999999989</v>
      </c>
      <c r="Z578" s="405"/>
      <c r="AA578" s="405"/>
    </row>
    <row r="579" spans="1:30" ht="13.5" customHeight="1" thickBot="1" x14ac:dyDescent="0.25"/>
    <row r="580" spans="1:30" ht="27" customHeight="1" thickTop="1" thickBot="1" x14ac:dyDescent="0.25">
      <c r="A580" s="40" t="s">
        <v>829</v>
      </c>
      <c r="B580" s="393" t="s">
        <v>60</v>
      </c>
      <c r="C580" s="444" t="s">
        <v>104</v>
      </c>
      <c r="D580" s="634"/>
      <c r="E580" s="634"/>
      <c r="F580" s="551"/>
      <c r="G580" s="444" t="s">
        <v>239</v>
      </c>
      <c r="H580" s="634"/>
      <c r="I580" s="634"/>
      <c r="J580" s="634"/>
      <c r="K580" s="634"/>
      <c r="L580" s="634"/>
      <c r="M580" s="634"/>
      <c r="N580" s="634"/>
      <c r="O580" s="551"/>
      <c r="P580" s="444" t="s">
        <v>486</v>
      </c>
      <c r="Q580" s="551"/>
      <c r="R580" s="444" t="s">
        <v>567</v>
      </c>
      <c r="S580" s="634"/>
      <c r="T580" s="634"/>
      <c r="U580" s="551"/>
      <c r="V580" s="393" t="s">
        <v>687</v>
      </c>
      <c r="W580" s="393" t="s">
        <v>738</v>
      </c>
      <c r="AA580" s="52"/>
      <c r="AD580" s="394"/>
    </row>
    <row r="581" spans="1:30" ht="14.25" customHeight="1" thickTop="1" x14ac:dyDescent="0.2">
      <c r="A581" s="547" t="s">
        <v>830</v>
      </c>
      <c r="B581" s="444" t="s">
        <v>60</v>
      </c>
      <c r="C581" s="444" t="s">
        <v>105</v>
      </c>
      <c r="D581" s="444" t="s">
        <v>113</v>
      </c>
      <c r="E581" s="444" t="s">
        <v>104</v>
      </c>
      <c r="F581" s="444" t="s">
        <v>229</v>
      </c>
      <c r="G581" s="444" t="s">
        <v>240</v>
      </c>
      <c r="H581" s="444" t="s">
        <v>254</v>
      </c>
      <c r="I581" s="444" t="s">
        <v>273</v>
      </c>
      <c r="J581" s="444" t="s">
        <v>346</v>
      </c>
      <c r="K581" s="444" t="s">
        <v>367</v>
      </c>
      <c r="L581" s="444" t="s">
        <v>380</v>
      </c>
      <c r="M581" s="394"/>
      <c r="N581" s="444" t="s">
        <v>456</v>
      </c>
      <c r="O581" s="444" t="s">
        <v>473</v>
      </c>
      <c r="P581" s="444" t="s">
        <v>487</v>
      </c>
      <c r="Q581" s="444" t="s">
        <v>536</v>
      </c>
      <c r="R581" s="444" t="s">
        <v>568</v>
      </c>
      <c r="S581" s="444" t="s">
        <v>639</v>
      </c>
      <c r="T581" s="444" t="s">
        <v>671</v>
      </c>
      <c r="U581" s="444" t="s">
        <v>678</v>
      </c>
      <c r="V581" s="444" t="s">
        <v>687</v>
      </c>
      <c r="W581" s="444" t="s">
        <v>738</v>
      </c>
      <c r="AA581" s="52"/>
      <c r="AD581" s="394"/>
    </row>
    <row r="582" spans="1:30" ht="13.5" customHeight="1" thickBot="1" x14ac:dyDescent="0.25">
      <c r="A582" s="548"/>
      <c r="B582" s="445"/>
      <c r="C582" s="445"/>
      <c r="D582" s="445"/>
      <c r="E582" s="445"/>
      <c r="F582" s="445"/>
      <c r="G582" s="445"/>
      <c r="H582" s="445"/>
      <c r="I582" s="445"/>
      <c r="J582" s="445"/>
      <c r="K582" s="445"/>
      <c r="L582" s="445"/>
      <c r="M582" s="394"/>
      <c r="N582" s="445"/>
      <c r="O582" s="445"/>
      <c r="P582" s="445"/>
      <c r="Q582" s="445"/>
      <c r="R582" s="445"/>
      <c r="S582" s="445"/>
      <c r="T582" s="445"/>
      <c r="U582" s="445"/>
      <c r="V582" s="445"/>
      <c r="W582" s="445"/>
      <c r="AA582" s="52"/>
      <c r="AD582" s="394"/>
    </row>
    <row r="583" spans="1:30" ht="18" customHeight="1" thickTop="1" thickBot="1" x14ac:dyDescent="0.25">
      <c r="A583" s="40" t="s">
        <v>831</v>
      </c>
      <c r="B583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3" s="46">
        <f>IFERROR(X53*1,"0")+IFERROR(X54*1,"0")</f>
        <v>75.600000000000009</v>
      </c>
      <c r="D583" s="46">
        <f>IFERROR(X59*1,"0")+IFERROR(X60*1,"0")+IFERROR(X61*1,"0")+IFERROR(X62*1,"0")</f>
        <v>0</v>
      </c>
      <c r="E583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+IFERROR(X130*1,"0")</f>
        <v>310.39999999999998</v>
      </c>
      <c r="F583" s="46">
        <f>IFERROR(X135*1,"0")+IFERROR(X136*1,"0")+IFERROR(X137*1,"0")+IFERROR(X138*1,"0")+IFERROR(X139*1,"0")</f>
        <v>0</v>
      </c>
      <c r="G583" s="46">
        <f>IFERROR(X145*1,"0")+IFERROR(X146*1,"0")+IFERROR(X147*1,"0")+IFERROR(X148*1,"0")+IFERROR(X149*1,"0")</f>
        <v>0</v>
      </c>
      <c r="H583" s="46">
        <f>IFERROR(X154*1,"0")+IFERROR(X155*1,"0")+IFERROR(X156*1,"0")+IFERROR(X157*1,"0")+IFERROR(X158*1,"0")+IFERROR(X159*1,"0")+IFERROR(X160*1,"0")+IFERROR(X161*1,"0")+IFERROR(X162*1,"0")</f>
        <v>0</v>
      </c>
      <c r="I583" s="46">
        <f>IFERROR(X167*1,"0")+IFERROR(X168*1,"0")+IFERROR(X172*1,"0")+IFERROR(X173*1,"0")+IFERROR(X177*1,"0")+IFERROR(X178*1,"0")+IFERROR(X179*1,"0")+IFERROR(X180*1,"0")+IFERROR(X181*1,"0")+IFERROR(X182*1,"0")+IFERROR(X183*1,"0")+IFERROR(X184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206*1,"0")+IFERROR(X207*1,"0")+IFERROR(X208*1,"0")+IFERROR(X209*1,"0")</f>
        <v>608.40000000000009</v>
      </c>
      <c r="J583" s="46">
        <f>IFERROR(X214*1,"0")+IFERROR(X215*1,"0")+IFERROR(X216*1,"0")+IFERROR(X217*1,"0")+IFERROR(X218*1,"0")+IFERROR(X219*1,"0")+IFERROR(X220*1,"0")+IFERROR(X224*1,"0")+IFERROR(X225*1,"0")+IFERROR(X226*1,"0")</f>
        <v>39.200000000000003</v>
      </c>
      <c r="K583" s="46">
        <f>IFERROR(X231*1,"0")+IFERROR(X232*1,"0")+IFERROR(X233*1,"0")+IFERROR(X234*1,"0")+IFERROR(X235*1,"0")+IFERROR(X236*1,"0")</f>
        <v>34.799999999999997</v>
      </c>
      <c r="L583" s="46">
        <f>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115.2</v>
      </c>
      <c r="M583" s="394"/>
      <c r="N583" s="46">
        <f>IFERROR(X293*1,"0")+IFERROR(X294*1,"0")+IFERROR(X295*1,"0")+IFERROR(X296*1,"0")+IFERROR(X297*1,"0")+IFERROR(X298*1,"0")+IFERROR(X299*1,"0")+IFERROR(X303*1,"0")+IFERROR(X304*1,"0")</f>
        <v>0</v>
      </c>
      <c r="O583" s="46">
        <f>IFERROR(X309*1,"0")+IFERROR(X313*1,"0")+IFERROR(X314*1,"0")+IFERROR(X315*1,"0")+IFERROR(X319*1,"0")+IFERROR(X323*1,"0")</f>
        <v>0</v>
      </c>
      <c r="P583" s="46">
        <f>IFERROR(X329*1,"0")+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+IFERROR(X358*1,"0")</f>
        <v>1545</v>
      </c>
      <c r="Q583" s="46">
        <f>IFERROR(X363*1,"0")+IFERROR(X364*1,"0")+IFERROR(X365*1,"0")+IFERROR(X366*1,"0")+IFERROR(X370*1,"0")+IFERROR(X371*1,"0")+IFERROR(X372*1,"0")+IFERROR(X376*1,"0")+IFERROR(X377*1,"0")+IFERROR(X378*1,"0")+IFERROR(X379*1,"0")+IFERROR(X380*1,"0")+IFERROR(X384*1,"0")+IFERROR(X385*1,"0")</f>
        <v>210.6</v>
      </c>
      <c r="R583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424*1,"0")+IFERROR(X425*1,"0")+IFERROR(X426*1,"0")+IFERROR(X430*1,"0")+IFERROR(X434*1,"0")+IFERROR(X435*1,"0")+IFERROR(X436*1,"0")</f>
        <v>92.4</v>
      </c>
      <c r="S583" s="46">
        <f>IFERROR(X441*1,"0")+IFERROR(X442*1,"0")+IFERROR(X446*1,"0")+IFERROR(X447*1,"0")+IFERROR(X448*1,"0")+IFERROR(X449*1,"0")+IFERROR(X450*1,"0")+IFERROR(X451*1,"0")+IFERROR(X452*1,"0")+IFERROR(X453*1,"0")+IFERROR(X454*1,"0")+IFERROR(X458*1,"0")+IFERROR(X459*1,"0")+IFERROR(X463*1,"0")+IFERROR(X467*1,"0")</f>
        <v>86</v>
      </c>
      <c r="T583" s="46">
        <f>IFERROR(X472*1,"0")+IFERROR(X473*1,"0")+IFERROR(X474*1,"0")</f>
        <v>0</v>
      </c>
      <c r="U583" s="46">
        <f>IFERROR(X479*1,"0")+IFERROR(X480*1,"0")+IFERROR(X484*1,"0")</f>
        <v>0</v>
      </c>
      <c r="V583" s="46">
        <f>IFERROR(X490*1,"0")+IFERROR(X491*1,"0")+IFERROR(X492*1,"0")+IFERROR(X493*1,"0")+IFERROR(X494*1,"0")+IFERROR(X495*1,"0")+IFERROR(X496*1,"0")+IFERROR(X497*1,"0")+IFERROR(X498*1,"0")+IFERROR(X499*1,"0")+IFERROR(X500*1,"0")+IFERROR(X501*1,"0")+IFERROR(X505*1,"0")+IFERROR(X506*1,"0")+IFERROR(X510*1,"0")+IFERROR(X511*1,"0")+IFERROR(X512*1,"0")+IFERROR(X513*1,"0")+IFERROR(X514*1,"0")+IFERROR(X515*1,"0")+IFERROR(X519*1,"0")+IFERROR(X520*1,"0")+IFERROR(X521*1,"0")+IFERROR(X525*1,"0")</f>
        <v>480.24000000000007</v>
      </c>
      <c r="W583" s="46">
        <f>IFERROR(X531*1,"0")+IFERROR(X532*1,"0")+IFERROR(X533*1,"0")+IFERROR(X534*1,"0")+IFERROR(X535*1,"0")+IFERROR(X536*1,"0")+IFERROR(X537*1,"0")+IFERROR(X538*1,"0")+IFERROR(X539*1,"0")+IFERROR(X543*1,"0")+IFERROR(X544*1,"0")+IFERROR(X545*1,"0")+IFERROR(X546*1,"0")+IFERROR(X547*1,"0")+IFERROR(X551*1,"0")+IFERROR(X552*1,"0")+IFERROR(X553*1,"0")+IFERROR(X554*1,"0")+IFERROR(X555*1,"0")+IFERROR(X559*1,"0")+IFERROR(X560*1,"0")+IFERROR(X561*1,"0")+IFERROR(X562*1,"0")+IFERROR(X563*1,"0")+IFERROR(X567*1,"0")+IFERROR(X568*1,"0")+IFERROR(X569*1,"0")+IFERROR(X570*1,"0")</f>
        <v>88.2</v>
      </c>
      <c r="AA583" s="52"/>
      <c r="AD583" s="394"/>
    </row>
  </sheetData>
  <sheetProtection algorithmName="SHA-512" hashValue="yJTXxQ4sDT8kYug7Mcj1fmghbrHOHZTl9XK1+8UXt+cW0DK3WJCX1FdcKptGBySQKziYKVMz9z2BzxSUoZ79WA==" saltValue="Szo1K5PuuJEG3dEQcYurS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47">
    <mergeCell ref="D553:E553"/>
    <mergeCell ref="A431:N432"/>
    <mergeCell ref="A51:Y51"/>
    <mergeCell ref="O344:S344"/>
    <mergeCell ref="O415:S415"/>
    <mergeCell ref="D184:E184"/>
    <mergeCell ref="O393:U393"/>
    <mergeCell ref="O564:U564"/>
    <mergeCell ref="O355:U355"/>
    <mergeCell ref="O110:S110"/>
    <mergeCell ref="O552:S552"/>
    <mergeCell ref="T581:T582"/>
    <mergeCell ref="D121:E121"/>
    <mergeCell ref="O88:U88"/>
    <mergeCell ref="D192:E192"/>
    <mergeCell ref="O259:U259"/>
    <mergeCell ref="O60:S60"/>
    <mergeCell ref="O324:U324"/>
    <mergeCell ref="D173:E173"/>
    <mergeCell ref="D344:E344"/>
    <mergeCell ref="O360:U360"/>
    <mergeCell ref="O422:U422"/>
    <mergeCell ref="D515:E515"/>
    <mergeCell ref="O410:S410"/>
    <mergeCell ref="O432:U432"/>
    <mergeCell ref="D250:E250"/>
    <mergeCell ref="O503:U503"/>
    <mergeCell ref="O55:U55"/>
    <mergeCell ref="D408:E408"/>
    <mergeCell ref="E581:E582"/>
    <mergeCell ref="D196:E196"/>
    <mergeCell ref="G581:G582"/>
    <mergeCell ref="A15:L15"/>
    <mergeCell ref="O135:S135"/>
    <mergeCell ref="O262:S262"/>
    <mergeCell ref="A36:N37"/>
    <mergeCell ref="A133:Y133"/>
    <mergeCell ref="O420:S420"/>
    <mergeCell ref="O72:S72"/>
    <mergeCell ref="D54:E54"/>
    <mergeCell ref="P5:Q5"/>
    <mergeCell ref="J9:L9"/>
    <mergeCell ref="O199:S199"/>
    <mergeCell ref="A369:Y369"/>
    <mergeCell ref="O370:S370"/>
    <mergeCell ref="O435:S435"/>
    <mergeCell ref="O311:U311"/>
    <mergeCell ref="O484:S484"/>
    <mergeCell ref="D191:E191"/>
    <mergeCell ref="D458:E458"/>
    <mergeCell ref="D262:E262"/>
    <mergeCell ref="O169:U169"/>
    <mergeCell ref="A20:Y20"/>
    <mergeCell ref="O338:S338"/>
    <mergeCell ref="A318:Y318"/>
    <mergeCell ref="D552:E552"/>
    <mergeCell ref="A38:Y38"/>
    <mergeCell ref="D266:E266"/>
    <mergeCell ref="D537:E537"/>
    <mergeCell ref="O548:U548"/>
    <mergeCell ref="O37:U37"/>
    <mergeCell ref="O560:S560"/>
    <mergeCell ref="O498:S498"/>
    <mergeCell ref="D336:E336"/>
    <mergeCell ref="O183:S183"/>
    <mergeCell ref="A310:N311"/>
    <mergeCell ref="D407:E407"/>
    <mergeCell ref="A481:N482"/>
    <mergeCell ref="A13:L13"/>
    <mergeCell ref="BB17:BB18"/>
    <mergeCell ref="D102:E102"/>
    <mergeCell ref="O198:S198"/>
    <mergeCell ref="O49:U49"/>
    <mergeCell ref="T17:U17"/>
    <mergeCell ref="O264:S264"/>
    <mergeCell ref="O418:S418"/>
    <mergeCell ref="A488:Y488"/>
    <mergeCell ref="O562:S562"/>
    <mergeCell ref="Y17:Y18"/>
    <mergeCell ref="D331:E331"/>
    <mergeCell ref="O469:U469"/>
    <mergeCell ref="A131:N132"/>
    <mergeCell ref="A258:N259"/>
    <mergeCell ref="O275:S275"/>
    <mergeCell ref="D293:E293"/>
    <mergeCell ref="O340:S340"/>
    <mergeCell ref="D32:E32"/>
    <mergeCell ref="O54:S54"/>
    <mergeCell ref="O511:S511"/>
    <mergeCell ref="D97:E97"/>
    <mergeCell ref="D268:E268"/>
    <mergeCell ref="O315:S315"/>
    <mergeCell ref="O146:S146"/>
    <mergeCell ref="C580:F580"/>
    <mergeCell ref="D29:E29"/>
    <mergeCell ref="O247:S247"/>
    <mergeCell ref="D23:E23"/>
    <mergeCell ref="D216:E216"/>
    <mergeCell ref="D265:E265"/>
    <mergeCell ref="D452:E452"/>
    <mergeCell ref="O299:S299"/>
    <mergeCell ref="O274:S274"/>
    <mergeCell ref="O178:S178"/>
    <mergeCell ref="O249:S249"/>
    <mergeCell ref="O547:S547"/>
    <mergeCell ref="D218:E218"/>
    <mergeCell ref="D247:E247"/>
    <mergeCell ref="O534:S534"/>
    <mergeCell ref="A312:Y312"/>
    <mergeCell ref="A483:Y483"/>
    <mergeCell ref="O313:S313"/>
    <mergeCell ref="A106:Y106"/>
    <mergeCell ref="A470:Y470"/>
    <mergeCell ref="O107:S107"/>
    <mergeCell ref="O405:S405"/>
    <mergeCell ref="D249:E249"/>
    <mergeCell ref="O536:S536"/>
    <mergeCell ref="D276:E276"/>
    <mergeCell ref="D547:E547"/>
    <mergeCell ref="O231:S231"/>
    <mergeCell ref="O131:U131"/>
    <mergeCell ref="D120:E120"/>
    <mergeCell ref="O87:U87"/>
    <mergeCell ref="D242:E242"/>
    <mergeCell ref="O258:U258"/>
    <mergeCell ref="D570:E570"/>
    <mergeCell ref="D76:E76"/>
    <mergeCell ref="F5:G5"/>
    <mergeCell ref="O294:S294"/>
    <mergeCell ref="O125:S125"/>
    <mergeCell ref="O392:S392"/>
    <mergeCell ref="A14:L14"/>
    <mergeCell ref="O112:S112"/>
    <mergeCell ref="A328:Y328"/>
    <mergeCell ref="O419:S419"/>
    <mergeCell ref="D430:E430"/>
    <mergeCell ref="O127:S127"/>
    <mergeCell ref="A320:N321"/>
    <mergeCell ref="O114:S114"/>
    <mergeCell ref="O310:U310"/>
    <mergeCell ref="O412:S412"/>
    <mergeCell ref="D392:E392"/>
    <mergeCell ref="A457:Y457"/>
    <mergeCell ref="O493:S493"/>
    <mergeCell ref="D323:E323"/>
    <mergeCell ref="O290:U290"/>
    <mergeCell ref="D450:E450"/>
    <mergeCell ref="D521:E521"/>
    <mergeCell ref="N17:N18"/>
    <mergeCell ref="F17:F18"/>
    <mergeCell ref="O407:S407"/>
    <mergeCell ref="D107:E107"/>
    <mergeCell ref="O556:U556"/>
    <mergeCell ref="D234:E234"/>
    <mergeCell ref="D405:E405"/>
    <mergeCell ref="O421:U421"/>
    <mergeCell ref="O481:U481"/>
    <mergeCell ref="D562:E562"/>
    <mergeCell ref="F10:G10"/>
    <mergeCell ref="O123:U123"/>
    <mergeCell ref="D34:E34"/>
    <mergeCell ref="O130:S130"/>
    <mergeCell ref="O190:S190"/>
    <mergeCell ref="D243:E243"/>
    <mergeCell ref="A322:Y322"/>
    <mergeCell ref="D99:E99"/>
    <mergeCell ref="O117:S117"/>
    <mergeCell ref="D270:E270"/>
    <mergeCell ref="D397:E397"/>
    <mergeCell ref="D544:E544"/>
    <mergeCell ref="A558:Y558"/>
    <mergeCell ref="O559:S559"/>
    <mergeCell ref="O546:S546"/>
    <mergeCell ref="O480:S480"/>
    <mergeCell ref="A253:Y253"/>
    <mergeCell ref="A12:L12"/>
    <mergeCell ref="O83:S83"/>
    <mergeCell ref="O430:S430"/>
    <mergeCell ref="D101:E101"/>
    <mergeCell ref="O319:S319"/>
    <mergeCell ref="O490:S490"/>
    <mergeCell ref="O561:S561"/>
    <mergeCell ref="O417:S417"/>
    <mergeCell ref="O24:U24"/>
    <mergeCell ref="O69:S69"/>
    <mergeCell ref="D244:E244"/>
    <mergeCell ref="O456:U456"/>
    <mergeCell ref="O196:S196"/>
    <mergeCell ref="O431:U431"/>
    <mergeCell ref="A530:Y530"/>
    <mergeCell ref="O531:S531"/>
    <mergeCell ref="P581:P582"/>
    <mergeCell ref="O525:S525"/>
    <mergeCell ref="M17:M18"/>
    <mergeCell ref="O177:S177"/>
    <mergeCell ref="O248:S248"/>
    <mergeCell ref="O226:S226"/>
    <mergeCell ref="O297:S297"/>
    <mergeCell ref="O335:S335"/>
    <mergeCell ref="O533:S533"/>
    <mergeCell ref="O349:U349"/>
    <mergeCell ref="O70:S70"/>
    <mergeCell ref="O241:S241"/>
    <mergeCell ref="O476:U476"/>
    <mergeCell ref="D531:E531"/>
    <mergeCell ref="O399:S399"/>
    <mergeCell ref="O321:U321"/>
    <mergeCell ref="D177:E177"/>
    <mergeCell ref="D33:E33"/>
    <mergeCell ref="D226:E226"/>
    <mergeCell ref="O557:U557"/>
    <mergeCell ref="O243:S243"/>
    <mergeCell ref="D560:E560"/>
    <mergeCell ref="D241:E241"/>
    <mergeCell ref="O428:U428"/>
    <mergeCell ref="D539:E539"/>
    <mergeCell ref="D35:E35"/>
    <mergeCell ref="F581:F582"/>
    <mergeCell ref="D333:E333"/>
    <mergeCell ref="O180:S180"/>
    <mergeCell ref="D404:E404"/>
    <mergeCell ref="O515:S515"/>
    <mergeCell ref="D84:E84"/>
    <mergeCell ref="O300:U300"/>
    <mergeCell ref="D22:E22"/>
    <mergeCell ref="D155:E155"/>
    <mergeCell ref="D149:E149"/>
    <mergeCell ref="D447:E447"/>
    <mergeCell ref="D385:E385"/>
    <mergeCell ref="A185:N186"/>
    <mergeCell ref="O523:U523"/>
    <mergeCell ref="O237:U237"/>
    <mergeCell ref="D86:E86"/>
    <mergeCell ref="A230:Y230"/>
    <mergeCell ref="D257:E257"/>
    <mergeCell ref="D384:E384"/>
    <mergeCell ref="A466:Y466"/>
    <mergeCell ref="O289:U289"/>
    <mergeCell ref="D449:E449"/>
    <mergeCell ref="O467:S467"/>
    <mergeCell ref="O246:S246"/>
    <mergeCell ref="O162:S162"/>
    <mergeCell ref="D215:E215"/>
    <mergeCell ref="O233:S233"/>
    <mergeCell ref="A289:N290"/>
    <mergeCell ref="D513:E513"/>
    <mergeCell ref="O101:S101"/>
    <mergeCell ref="O35:S35"/>
    <mergeCell ref="O40:U40"/>
    <mergeCell ref="O572:U572"/>
    <mergeCell ref="D154:E154"/>
    <mergeCell ref="O170:U170"/>
    <mergeCell ref="D225:E225"/>
    <mergeCell ref="A348:N349"/>
    <mergeCell ref="O468:U468"/>
    <mergeCell ref="D200:E200"/>
    <mergeCell ref="O387:U387"/>
    <mergeCell ref="O381:U381"/>
    <mergeCell ref="D436:E436"/>
    <mergeCell ref="O574:U574"/>
    <mergeCell ref="D534:E534"/>
    <mergeCell ref="O472:S472"/>
    <mergeCell ref="D525:E525"/>
    <mergeCell ref="A9:C9"/>
    <mergeCell ref="A455:N456"/>
    <mergeCell ref="O537:S537"/>
    <mergeCell ref="D202:E202"/>
    <mergeCell ref="D500:E500"/>
    <mergeCell ref="O189:S189"/>
    <mergeCell ref="D294:E294"/>
    <mergeCell ref="O414:S414"/>
    <mergeCell ref="A212:Y212"/>
    <mergeCell ref="O474:S474"/>
    <mergeCell ref="U6:V9"/>
    <mergeCell ref="D231:E231"/>
    <mergeCell ref="O82:S82"/>
    <mergeCell ref="A375:Y375"/>
    <mergeCell ref="D358:E358"/>
    <mergeCell ref="O551:S551"/>
    <mergeCell ref="O25:U25"/>
    <mergeCell ref="A285:Y285"/>
    <mergeCell ref="Q581:Q582"/>
    <mergeCell ref="D319:E319"/>
    <mergeCell ref="D441:E441"/>
    <mergeCell ref="D512:E512"/>
    <mergeCell ref="S581:S582"/>
    <mergeCell ref="A271:N272"/>
    <mergeCell ref="D506:E506"/>
    <mergeCell ref="A66:Y66"/>
    <mergeCell ref="A507:N508"/>
    <mergeCell ref="O67:S67"/>
    <mergeCell ref="A221:N222"/>
    <mergeCell ref="D85:E85"/>
    <mergeCell ref="D207:E207"/>
    <mergeCell ref="O159:S159"/>
    <mergeCell ref="D256:E256"/>
    <mergeCell ref="O303:S303"/>
    <mergeCell ref="O394:U394"/>
    <mergeCell ref="D299:E299"/>
    <mergeCell ref="D370:E370"/>
    <mergeCell ref="A239:Y239"/>
    <mergeCell ref="A571:N572"/>
    <mergeCell ref="O94:U94"/>
    <mergeCell ref="D314:E314"/>
    <mergeCell ref="O161:S161"/>
    <mergeCell ref="A524:Y524"/>
    <mergeCell ref="O532:S532"/>
    <mergeCell ref="O288:S288"/>
    <mergeCell ref="O459:S459"/>
    <mergeCell ref="D159:E159"/>
    <mergeCell ref="O304:S304"/>
    <mergeCell ref="D80:E80"/>
    <mergeCell ref="O98:S98"/>
    <mergeCell ref="O573:U573"/>
    <mergeCell ref="R581:R582"/>
    <mergeCell ref="O148:S148"/>
    <mergeCell ref="A445:Y445"/>
    <mergeCell ref="O179:S179"/>
    <mergeCell ref="O446:S446"/>
    <mergeCell ref="O250:S250"/>
    <mergeCell ref="D415:E415"/>
    <mergeCell ref="O535:S535"/>
    <mergeCell ref="D194:E194"/>
    <mergeCell ref="Z17:Z18"/>
    <mergeCell ref="A509:Y509"/>
    <mergeCell ref="O206:S206"/>
    <mergeCell ref="O510:S510"/>
    <mergeCell ref="O448:S448"/>
    <mergeCell ref="D446:E446"/>
    <mergeCell ref="U12:V12"/>
    <mergeCell ref="O276:S276"/>
    <mergeCell ref="O43:S43"/>
    <mergeCell ref="O214:S214"/>
    <mergeCell ref="O512:S512"/>
    <mergeCell ref="O506:S506"/>
    <mergeCell ref="D146:E146"/>
    <mergeCell ref="O284:U284"/>
    <mergeCell ref="O455:U455"/>
    <mergeCell ref="O222:U222"/>
    <mergeCell ref="D510:E510"/>
    <mergeCell ref="D304:E304"/>
    <mergeCell ref="O526:U526"/>
    <mergeCell ref="O63:U63"/>
    <mergeCell ref="D83:E83"/>
    <mergeCell ref="O221:U221"/>
    <mergeCell ref="AA17:AA18"/>
    <mergeCell ref="O346:S346"/>
    <mergeCell ref="O271:U271"/>
    <mergeCell ref="A169:N170"/>
    <mergeCell ref="O507:U507"/>
    <mergeCell ref="D418:E418"/>
    <mergeCell ref="A89:Y89"/>
    <mergeCell ref="A356:Y356"/>
    <mergeCell ref="O90:S90"/>
    <mergeCell ref="A283:N284"/>
    <mergeCell ref="O444:U444"/>
    <mergeCell ref="O104:U104"/>
    <mergeCell ref="O571:U571"/>
    <mergeCell ref="A227:N228"/>
    <mergeCell ref="D420:E420"/>
    <mergeCell ref="D128:E128"/>
    <mergeCell ref="D199:E199"/>
    <mergeCell ref="O508:U508"/>
    <mergeCell ref="D364:E364"/>
    <mergeCell ref="D497:E497"/>
    <mergeCell ref="D435:E435"/>
    <mergeCell ref="O502:U502"/>
    <mergeCell ref="D413:E413"/>
    <mergeCell ref="D217:E217"/>
    <mergeCell ref="D484:E484"/>
    <mergeCell ref="G17:G18"/>
    <mergeCell ref="O298:S298"/>
    <mergeCell ref="A395:Y395"/>
    <mergeCell ref="O225:S225"/>
    <mergeCell ref="O396:S396"/>
    <mergeCell ref="A104:N105"/>
    <mergeCell ref="D288:E288"/>
    <mergeCell ref="O576:U576"/>
    <mergeCell ref="I581:I582"/>
    <mergeCell ref="K581:K582"/>
    <mergeCell ref="O377:S377"/>
    <mergeCell ref="D425:E425"/>
    <mergeCell ref="R580:U580"/>
    <mergeCell ref="H17:H18"/>
    <mergeCell ref="O342:U342"/>
    <mergeCell ref="D198:E198"/>
    <mergeCell ref="D269:E269"/>
    <mergeCell ref="D296:E296"/>
    <mergeCell ref="O578:U578"/>
    <mergeCell ref="D75:E75"/>
    <mergeCell ref="A279:Y279"/>
    <mergeCell ref="O151:U151"/>
    <mergeCell ref="D206:E206"/>
    <mergeCell ref="O158:S158"/>
    <mergeCell ref="O280:S280"/>
    <mergeCell ref="O218:S218"/>
    <mergeCell ref="A350:Y350"/>
    <mergeCell ref="O351:S351"/>
    <mergeCell ref="D298:E298"/>
    <mergeCell ref="D181:E181"/>
    <mergeCell ref="O345:S345"/>
    <mergeCell ref="O59:S59"/>
    <mergeCell ref="O295:S295"/>
    <mergeCell ref="A343:Y343"/>
    <mergeCell ref="O482:U482"/>
    <mergeCell ref="O282:S282"/>
    <mergeCell ref="O380:S380"/>
    <mergeCell ref="D39:E39"/>
    <mergeCell ref="O61:S61"/>
    <mergeCell ref="A566:Y566"/>
    <mergeCell ref="O567:S567"/>
    <mergeCell ref="O565:U565"/>
    <mergeCell ref="O267:S267"/>
    <mergeCell ref="O56:U56"/>
    <mergeCell ref="O569:S569"/>
    <mergeCell ref="D138:E138"/>
    <mergeCell ref="O425:S425"/>
    <mergeCell ref="O496:S496"/>
    <mergeCell ref="O77:S77"/>
    <mergeCell ref="P10:Q10"/>
    <mergeCell ref="O33:S33"/>
    <mergeCell ref="A361:Y361"/>
    <mergeCell ref="O269:S269"/>
    <mergeCell ref="A464:N465"/>
    <mergeCell ref="O278:U278"/>
    <mergeCell ref="D267:E267"/>
    <mergeCell ref="A341:N342"/>
    <mergeCell ref="O232:S232"/>
    <mergeCell ref="O257:S257"/>
    <mergeCell ref="A359:N360"/>
    <mergeCell ref="H10:L10"/>
    <mergeCell ref="D459:E459"/>
    <mergeCell ref="O156:S156"/>
    <mergeCell ref="D136:E136"/>
    <mergeCell ref="O398:S398"/>
    <mergeCell ref="A460:N461"/>
    <mergeCell ref="D434:E434"/>
    <mergeCell ref="O105:U105"/>
    <mergeCell ref="O111:S111"/>
    <mergeCell ref="O409:S409"/>
    <mergeCell ref="O86:S86"/>
    <mergeCell ref="D62:E62"/>
    <mergeCell ref="O109:S109"/>
    <mergeCell ref="O47:S47"/>
    <mergeCell ref="P13:Q13"/>
    <mergeCell ref="D193:E193"/>
    <mergeCell ref="D127:E127"/>
    <mergeCell ref="D491:E491"/>
    <mergeCell ref="D347:E347"/>
    <mergeCell ref="D114:E114"/>
    <mergeCell ref="O332:S332"/>
    <mergeCell ref="A429:Y429"/>
    <mergeCell ref="D412:E412"/>
    <mergeCell ref="O44:U44"/>
    <mergeCell ref="H1:P1"/>
    <mergeCell ref="O138:S138"/>
    <mergeCell ref="S5:T5"/>
    <mergeCell ref="O76:S76"/>
    <mergeCell ref="O209:S209"/>
    <mergeCell ref="U5:V5"/>
    <mergeCell ref="O373:U373"/>
    <mergeCell ref="D6:L6"/>
    <mergeCell ref="D10:E10"/>
    <mergeCell ref="Q1:S1"/>
    <mergeCell ref="U11:V11"/>
    <mergeCell ref="A8:C8"/>
    <mergeCell ref="P8:Q8"/>
    <mergeCell ref="A10:C10"/>
    <mergeCell ref="D17:E18"/>
    <mergeCell ref="V17:V18"/>
    <mergeCell ref="X17:X18"/>
    <mergeCell ref="D172:E172"/>
    <mergeCell ref="O577:U577"/>
    <mergeCell ref="A42:Y42"/>
    <mergeCell ref="A213:Y213"/>
    <mergeCell ref="D463:E463"/>
    <mergeCell ref="O352:S352"/>
    <mergeCell ref="O450:S450"/>
    <mergeCell ref="D555:E555"/>
    <mergeCell ref="O254:S254"/>
    <mergeCell ref="A240:Y240"/>
    <mergeCell ref="O216:S216"/>
    <mergeCell ref="D7:L7"/>
    <mergeCell ref="O514:S514"/>
    <mergeCell ref="A19:Y19"/>
    <mergeCell ref="O281:S281"/>
    <mergeCell ref="O452:S452"/>
    <mergeCell ref="O256:S256"/>
    <mergeCell ref="O554:S554"/>
    <mergeCell ref="D61:E61"/>
    <mergeCell ref="D254:E254"/>
    <mergeCell ref="D490:E490"/>
    <mergeCell ref="O22:S22"/>
    <mergeCell ref="O193:S193"/>
    <mergeCell ref="D346:E346"/>
    <mergeCell ref="O491:S491"/>
    <mergeCell ref="A477:Y477"/>
    <mergeCell ref="A142:Y142"/>
    <mergeCell ref="D125:E125"/>
    <mergeCell ref="O36:U36"/>
    <mergeCell ref="D112:E112"/>
    <mergeCell ref="D554:E554"/>
    <mergeCell ref="D519:E519"/>
    <mergeCell ref="H581:H582"/>
    <mergeCell ref="J581:J582"/>
    <mergeCell ref="O211:U211"/>
    <mergeCell ref="D371:E371"/>
    <mergeCell ref="O74:S74"/>
    <mergeCell ref="O553:S553"/>
    <mergeCell ref="A260:Y260"/>
    <mergeCell ref="O201:S201"/>
    <mergeCell ref="D43:E43"/>
    <mergeCell ref="O139:S139"/>
    <mergeCell ref="O261:S261"/>
    <mergeCell ref="A40:N41"/>
    <mergeCell ref="D137:E137"/>
    <mergeCell ref="O424:S424"/>
    <mergeCell ref="G580:O580"/>
    <mergeCell ref="O27:S27"/>
    <mergeCell ref="A124:Y124"/>
    <mergeCell ref="A94:N95"/>
    <mergeCell ref="D74:E74"/>
    <mergeCell ref="D130:E130"/>
    <mergeCell ref="O41:U41"/>
    <mergeCell ref="D68:E68"/>
    <mergeCell ref="D201:E201"/>
    <mergeCell ref="D335:E335"/>
    <mergeCell ref="D372:E372"/>
    <mergeCell ref="O277:U277"/>
    <mergeCell ref="O486:U486"/>
    <mergeCell ref="D188:E188"/>
    <mergeCell ref="A367:N368"/>
    <mergeCell ref="O575:U575"/>
    <mergeCell ref="D424:E424"/>
    <mergeCell ref="O252:U252"/>
    <mergeCell ref="D338:E338"/>
    <mergeCell ref="D409:E409"/>
    <mergeCell ref="O500:S500"/>
    <mergeCell ref="A134:Y134"/>
    <mergeCell ref="O108:S108"/>
    <mergeCell ref="D183:E183"/>
    <mergeCell ref="D248:E248"/>
    <mergeCell ref="A122:N123"/>
    <mergeCell ref="D219:E219"/>
    <mergeCell ref="O266:S266"/>
    <mergeCell ref="D275:E275"/>
    <mergeCell ref="D419:E419"/>
    <mergeCell ref="D340:E340"/>
    <mergeCell ref="A550:Y550"/>
    <mergeCell ref="D533:E533"/>
    <mergeCell ref="A58:Y58"/>
    <mergeCell ref="O32:S32"/>
    <mergeCell ref="O137:S137"/>
    <mergeCell ref="A63:N64"/>
    <mergeCell ref="O197:S197"/>
    <mergeCell ref="O330:S330"/>
    <mergeCell ref="O501:S501"/>
    <mergeCell ref="O495:S495"/>
    <mergeCell ref="D286:E286"/>
    <mergeCell ref="D399:E399"/>
    <mergeCell ref="A277:N278"/>
    <mergeCell ref="D59:E59"/>
    <mergeCell ref="O341:U341"/>
    <mergeCell ref="D295:E295"/>
    <mergeCell ref="D178:E178"/>
    <mergeCell ref="O513:S513"/>
    <mergeCell ref="O316:U316"/>
    <mergeCell ref="D569:E569"/>
    <mergeCell ref="D416:E416"/>
    <mergeCell ref="D93:E93"/>
    <mergeCell ref="D264:E264"/>
    <mergeCell ref="D220:E220"/>
    <mergeCell ref="D391:E391"/>
    <mergeCell ref="A187:Y187"/>
    <mergeCell ref="O188:S188"/>
    <mergeCell ref="O126:S126"/>
    <mergeCell ref="O182:S182"/>
    <mergeCell ref="A423:Y423"/>
    <mergeCell ref="D157:E157"/>
    <mergeCell ref="P12:Q12"/>
    <mergeCell ref="O411:S411"/>
    <mergeCell ref="O538:S538"/>
    <mergeCell ref="O119:S119"/>
    <mergeCell ref="A487:Y487"/>
    <mergeCell ref="A548:N549"/>
    <mergeCell ref="D182:E182"/>
    <mergeCell ref="A87:N88"/>
    <mergeCell ref="D109:E109"/>
    <mergeCell ref="D280:E280"/>
    <mergeCell ref="A354:N355"/>
    <mergeCell ref="D480:E480"/>
    <mergeCell ref="D551:E551"/>
    <mergeCell ref="D345:E345"/>
    <mergeCell ref="D467:E467"/>
    <mergeCell ref="D538:E538"/>
    <mergeCell ref="A443:N444"/>
    <mergeCell ref="O64:U64"/>
    <mergeCell ref="D119:E119"/>
    <mergeCell ref="D190:E190"/>
    <mergeCell ref="B581:B582"/>
    <mergeCell ref="O479:S479"/>
    <mergeCell ref="A21:Y21"/>
    <mergeCell ref="D532:E532"/>
    <mergeCell ref="A57:Y57"/>
    <mergeCell ref="A556:N557"/>
    <mergeCell ref="O494:S494"/>
    <mergeCell ref="D330:E330"/>
    <mergeCell ref="O543:S543"/>
    <mergeCell ref="O272:U272"/>
    <mergeCell ref="O443:U443"/>
    <mergeCell ref="D492:E492"/>
    <mergeCell ref="O185:U185"/>
    <mergeCell ref="O116:S116"/>
    <mergeCell ref="A96:Y96"/>
    <mergeCell ref="O235:S235"/>
    <mergeCell ref="O203:U203"/>
    <mergeCell ref="A52:Y52"/>
    <mergeCell ref="A324:N325"/>
    <mergeCell ref="D27:E27"/>
    <mergeCell ref="A203:N204"/>
    <mergeCell ref="D396:E396"/>
    <mergeCell ref="D567:E567"/>
    <mergeCell ref="O93:S93"/>
    <mergeCell ref="D116:E116"/>
    <mergeCell ref="O186:U186"/>
    <mergeCell ref="D414:E414"/>
    <mergeCell ref="D352:E352"/>
    <mergeCell ref="D91:E91"/>
    <mergeCell ref="O113:S113"/>
    <mergeCell ref="D162:E162"/>
    <mergeCell ref="O549:U549"/>
    <mergeCell ref="D9:E9"/>
    <mergeCell ref="D180:E180"/>
    <mergeCell ref="D118:E118"/>
    <mergeCell ref="F9:G9"/>
    <mergeCell ref="A48:N49"/>
    <mergeCell ref="D167:E167"/>
    <mergeCell ref="O354:U354"/>
    <mergeCell ref="D161:E161"/>
    <mergeCell ref="D232:E232"/>
    <mergeCell ref="O348:U348"/>
    <mergeCell ref="D403:E403"/>
    <mergeCell ref="O129:S129"/>
    <mergeCell ref="A326:Y326"/>
    <mergeCell ref="O320:U320"/>
    <mergeCell ref="O23:S23"/>
    <mergeCell ref="O194:S194"/>
    <mergeCell ref="O492:S492"/>
    <mergeCell ref="O121:S121"/>
    <mergeCell ref="O181:S181"/>
    <mergeCell ref="D156:E156"/>
    <mergeCell ref="D398:E398"/>
    <mergeCell ref="D454:E454"/>
    <mergeCell ref="O465:U465"/>
    <mergeCell ref="O447:S447"/>
    <mergeCell ref="O336:S336"/>
    <mergeCell ref="A210:N211"/>
    <mergeCell ref="D246:E246"/>
    <mergeCell ref="A381:N382"/>
    <mergeCell ref="O406:S406"/>
    <mergeCell ref="O122:U122"/>
    <mergeCell ref="D111:E111"/>
    <mergeCell ref="D233:E233"/>
    <mergeCell ref="P9:Q9"/>
    <mergeCell ref="A165:Y165"/>
    <mergeCell ref="A529:Y529"/>
    <mergeCell ref="D561:E561"/>
    <mergeCell ref="O408:S408"/>
    <mergeCell ref="U581:U582"/>
    <mergeCell ref="O402:S402"/>
    <mergeCell ref="A5:C5"/>
    <mergeCell ref="W581:W582"/>
    <mergeCell ref="A308:Y308"/>
    <mergeCell ref="O309:S309"/>
    <mergeCell ref="O103:S103"/>
    <mergeCell ref="A229:Y229"/>
    <mergeCell ref="A471:Y471"/>
    <mergeCell ref="P11:Q11"/>
    <mergeCell ref="O401:S401"/>
    <mergeCell ref="O168:S168"/>
    <mergeCell ref="O339:S339"/>
    <mergeCell ref="O545:S545"/>
    <mergeCell ref="D179:E179"/>
    <mergeCell ref="O317:U317"/>
    <mergeCell ref="O118:S118"/>
    <mergeCell ref="A44:N45"/>
    <mergeCell ref="A166:Y166"/>
    <mergeCell ref="D337:E337"/>
    <mergeCell ref="O167:S167"/>
    <mergeCell ref="D402:E402"/>
    <mergeCell ref="O416:S416"/>
    <mergeCell ref="A17:A18"/>
    <mergeCell ref="K17:K18"/>
    <mergeCell ref="O132:U132"/>
    <mergeCell ref="C17:C18"/>
    <mergeCell ref="O15:S16"/>
    <mergeCell ref="O173:S173"/>
    <mergeCell ref="D451:E451"/>
    <mergeCell ref="D255:E255"/>
    <mergeCell ref="V581:V582"/>
    <mergeCell ref="O219:S219"/>
    <mergeCell ref="A421:N422"/>
    <mergeCell ref="O175:U175"/>
    <mergeCell ref="O485:U485"/>
    <mergeCell ref="O368:U368"/>
    <mergeCell ref="O306:U306"/>
    <mergeCell ref="A24:N25"/>
    <mergeCell ref="A478:Y478"/>
    <mergeCell ref="A46:Y46"/>
    <mergeCell ref="O460:U460"/>
    <mergeCell ref="D453:E453"/>
    <mergeCell ref="A6:C6"/>
    <mergeCell ref="D309:E309"/>
    <mergeCell ref="D113:E113"/>
    <mergeCell ref="A485:N486"/>
    <mergeCell ref="D545:E545"/>
    <mergeCell ref="O519:S519"/>
    <mergeCell ref="O475:U475"/>
    <mergeCell ref="D148:E148"/>
    <mergeCell ref="A26:Y26"/>
    <mergeCell ref="O164:U164"/>
    <mergeCell ref="A251:N252"/>
    <mergeCell ref="D115:E115"/>
    <mergeCell ref="O333:S333"/>
    <mergeCell ref="A307:Y307"/>
    <mergeCell ref="D90:E90"/>
    <mergeCell ref="D261:E261"/>
    <mergeCell ref="D1:F1"/>
    <mergeCell ref="O227:U227"/>
    <mergeCell ref="J17:J18"/>
    <mergeCell ref="O73:S73"/>
    <mergeCell ref="D82:E82"/>
    <mergeCell ref="L17:L18"/>
    <mergeCell ref="O100:S100"/>
    <mergeCell ref="O244:S244"/>
    <mergeCell ref="A292:Y292"/>
    <mergeCell ref="O287:S287"/>
    <mergeCell ref="O371:S371"/>
    <mergeCell ref="O358:S358"/>
    <mergeCell ref="O458:S458"/>
    <mergeCell ref="D511:E511"/>
    <mergeCell ref="A528:Y528"/>
    <mergeCell ref="O174:U174"/>
    <mergeCell ref="D334:E334"/>
    <mergeCell ref="A237:N238"/>
    <mergeCell ref="O115:S115"/>
    <mergeCell ref="O301:U301"/>
    <mergeCell ref="A223:Y223"/>
    <mergeCell ref="O473:S473"/>
    <mergeCell ref="O102:S102"/>
    <mergeCell ref="O400:S400"/>
    <mergeCell ref="O251:U251"/>
    <mergeCell ref="D100:E100"/>
    <mergeCell ref="A174:N175"/>
    <mergeCell ref="O238:U238"/>
    <mergeCell ref="O68:S68"/>
    <mergeCell ref="A393:N394"/>
    <mergeCell ref="O160:S160"/>
    <mergeCell ref="D31:E31"/>
    <mergeCell ref="AE17:AE18"/>
    <mergeCell ref="O378:S378"/>
    <mergeCell ref="A152:Y152"/>
    <mergeCell ref="O353:S353"/>
    <mergeCell ref="O147:S147"/>
    <mergeCell ref="O367:U367"/>
    <mergeCell ref="D145:E145"/>
    <mergeCell ref="O283:U283"/>
    <mergeCell ref="D514:E514"/>
    <mergeCell ref="D8:L8"/>
    <mergeCell ref="D209:E209"/>
    <mergeCell ref="D380:E380"/>
    <mergeCell ref="D147:E147"/>
    <mergeCell ref="A291:Y291"/>
    <mergeCell ref="A462:Y462"/>
    <mergeCell ref="D274:E274"/>
    <mergeCell ref="D245:E245"/>
    <mergeCell ref="O461:U461"/>
    <mergeCell ref="O463:S463"/>
    <mergeCell ref="D224:E224"/>
    <mergeCell ref="O71:S71"/>
    <mergeCell ref="D158:E158"/>
    <mergeCell ref="D329:E329"/>
    <mergeCell ref="D400:E400"/>
    <mergeCell ref="O97:S97"/>
    <mergeCell ref="D77:E77"/>
    <mergeCell ref="D108:E108"/>
    <mergeCell ref="O191:S191"/>
    <mergeCell ref="D160:E160"/>
    <mergeCell ref="I17:I18"/>
    <mergeCell ref="D135:E135"/>
    <mergeCell ref="O128:S128"/>
    <mergeCell ref="AB17:AD18"/>
    <mergeCell ref="D236:E236"/>
    <mergeCell ref="D117:E117"/>
    <mergeCell ref="D92:E92"/>
    <mergeCell ref="D559:E559"/>
    <mergeCell ref="D30:E30"/>
    <mergeCell ref="D353:E353"/>
    <mergeCell ref="D67:E67"/>
    <mergeCell ref="D5:E5"/>
    <mergeCell ref="A522:N523"/>
    <mergeCell ref="D303:E303"/>
    <mergeCell ref="D496:E496"/>
    <mergeCell ref="A50:Y50"/>
    <mergeCell ref="D417:E417"/>
    <mergeCell ref="O404:S404"/>
    <mergeCell ref="D69:E69"/>
    <mergeCell ref="O323:S323"/>
    <mergeCell ref="O78:S78"/>
    <mergeCell ref="D498:E498"/>
    <mergeCell ref="O376:S376"/>
    <mergeCell ref="O314:S314"/>
    <mergeCell ref="O53:S53"/>
    <mergeCell ref="A144:Y144"/>
    <mergeCell ref="O539:S539"/>
    <mergeCell ref="O145:S145"/>
    <mergeCell ref="O120:S120"/>
    <mergeCell ref="O527:U527"/>
    <mergeCell ref="O540:U540"/>
    <mergeCell ref="A176:Y176"/>
    <mergeCell ref="O451:S451"/>
    <mergeCell ref="O255:S255"/>
    <mergeCell ref="D377:E377"/>
    <mergeCell ref="O17:S18"/>
    <mergeCell ref="O520:S520"/>
    <mergeCell ref="A573:N578"/>
    <mergeCell ref="O234:S234"/>
    <mergeCell ref="O172:S172"/>
    <mergeCell ref="O99:S99"/>
    <mergeCell ref="A518:Y518"/>
    <mergeCell ref="O286:S286"/>
    <mergeCell ref="D214:E214"/>
    <mergeCell ref="O236:S236"/>
    <mergeCell ref="D520:E520"/>
    <mergeCell ref="O521:S521"/>
    <mergeCell ref="D501:E501"/>
    <mergeCell ref="D28:E28"/>
    <mergeCell ref="D495:E495"/>
    <mergeCell ref="A300:N301"/>
    <mergeCell ref="O464:U464"/>
    <mergeCell ref="D313:E313"/>
    <mergeCell ref="O141:U141"/>
    <mergeCell ref="O184:S184"/>
    <mergeCell ref="O242:S242"/>
    <mergeCell ref="O413:S413"/>
    <mergeCell ref="D72:E72"/>
    <mergeCell ref="O192:S192"/>
    <mergeCell ref="D235:E235"/>
    <mergeCell ref="O453:S453"/>
    <mergeCell ref="O228:U228"/>
    <mergeCell ref="D448:E448"/>
    <mergeCell ref="O544:S544"/>
    <mergeCell ref="D546:E546"/>
    <mergeCell ref="O397:S397"/>
    <mergeCell ref="O245:S245"/>
    <mergeCell ref="L581:L582"/>
    <mergeCell ref="D315:E315"/>
    <mergeCell ref="N581:N582"/>
    <mergeCell ref="D442:E442"/>
    <mergeCell ref="A316:N317"/>
    <mergeCell ref="A516:N517"/>
    <mergeCell ref="A302:Y302"/>
    <mergeCell ref="O359:U359"/>
    <mergeCell ref="D81:E81"/>
    <mergeCell ref="O48:U48"/>
    <mergeCell ref="O155:S155"/>
    <mergeCell ref="D208:E208"/>
    <mergeCell ref="D379:E379"/>
    <mergeCell ref="O517:U517"/>
    <mergeCell ref="D366:E366"/>
    <mergeCell ref="A389:Y389"/>
    <mergeCell ref="O363:S363"/>
    <mergeCell ref="A327:Y327"/>
    <mergeCell ref="D139:E139"/>
    <mergeCell ref="O157:S157"/>
    <mergeCell ref="D406:E406"/>
    <mergeCell ref="A140:N141"/>
    <mergeCell ref="A581:A582"/>
    <mergeCell ref="C581:C582"/>
    <mergeCell ref="P580:Q580"/>
    <mergeCell ref="A171:Y171"/>
    <mergeCell ref="A542:Y542"/>
    <mergeCell ref="O372:S372"/>
    <mergeCell ref="O325:U325"/>
    <mergeCell ref="O403:S403"/>
    <mergeCell ref="D103:E103"/>
    <mergeCell ref="D401:E401"/>
    <mergeCell ref="O2:V3"/>
    <mergeCell ref="O382:U382"/>
    <mergeCell ref="A386:N387"/>
    <mergeCell ref="D287:E287"/>
    <mergeCell ref="O438:U438"/>
    <mergeCell ref="D493:E493"/>
    <mergeCell ref="D474:E474"/>
    <mergeCell ref="O296:S296"/>
    <mergeCell ref="O581:O582"/>
    <mergeCell ref="A143:Y143"/>
    <mergeCell ref="O84:S84"/>
    <mergeCell ref="D126:E126"/>
    <mergeCell ref="O204:U204"/>
    <mergeCell ref="D197:E197"/>
    <mergeCell ref="D53:E53"/>
    <mergeCell ref="O75:S75"/>
    <mergeCell ref="D47:E47"/>
    <mergeCell ref="D351:E351"/>
    <mergeCell ref="D411:E411"/>
    <mergeCell ref="A383:Y383"/>
    <mergeCell ref="W17:W18"/>
    <mergeCell ref="O80:S80"/>
    <mergeCell ref="O384:S384"/>
    <mergeCell ref="A427:N428"/>
    <mergeCell ref="O365:S365"/>
    <mergeCell ref="O79:S79"/>
    <mergeCell ref="A205:Y205"/>
    <mergeCell ref="A65:Y65"/>
    <mergeCell ref="D110:E110"/>
    <mergeCell ref="O337:S337"/>
    <mergeCell ref="O442:S442"/>
    <mergeCell ref="O331:S331"/>
    <mergeCell ref="H5:L5"/>
    <mergeCell ref="O305:U305"/>
    <mergeCell ref="A526:N527"/>
    <mergeCell ref="O293:S293"/>
    <mergeCell ref="A390:Y390"/>
    <mergeCell ref="O149:S149"/>
    <mergeCell ref="O220:S220"/>
    <mergeCell ref="O391:S391"/>
    <mergeCell ref="O385:S385"/>
    <mergeCell ref="O195:S195"/>
    <mergeCell ref="O163:U163"/>
    <mergeCell ref="B17:B18"/>
    <mergeCell ref="A468:N469"/>
    <mergeCell ref="D479:E479"/>
    <mergeCell ref="O357:S357"/>
    <mergeCell ref="O449:S449"/>
    <mergeCell ref="O374:U374"/>
    <mergeCell ref="A163:N164"/>
    <mergeCell ref="D494:E494"/>
    <mergeCell ref="A150:N151"/>
    <mergeCell ref="O215:S215"/>
    <mergeCell ref="O140:U140"/>
    <mergeCell ref="S6:T9"/>
    <mergeCell ref="D195:E195"/>
    <mergeCell ref="D189:E189"/>
    <mergeCell ref="O522:U522"/>
    <mergeCell ref="A273:Y273"/>
    <mergeCell ref="O81:S81"/>
    <mergeCell ref="O516:U516"/>
    <mergeCell ref="D129:E129"/>
    <mergeCell ref="U10:V10"/>
    <mergeCell ref="O208:S208"/>
    <mergeCell ref="D581:D582"/>
    <mergeCell ref="D263:E263"/>
    <mergeCell ref="D505:E505"/>
    <mergeCell ref="D499:E499"/>
    <mergeCell ref="O31:S31"/>
    <mergeCell ref="O202:S202"/>
    <mergeCell ref="A373:N374"/>
    <mergeCell ref="D426:E426"/>
    <mergeCell ref="O437:U437"/>
    <mergeCell ref="A475:N476"/>
    <mergeCell ref="D78:E78"/>
    <mergeCell ref="O45:U45"/>
    <mergeCell ref="D376:E376"/>
    <mergeCell ref="O210:U210"/>
    <mergeCell ref="O217:S217"/>
    <mergeCell ref="D563:E563"/>
    <mergeCell ref="D363:E363"/>
    <mergeCell ref="A437:N438"/>
    <mergeCell ref="D357:E357"/>
    <mergeCell ref="A564:N565"/>
    <mergeCell ref="A502:N503"/>
    <mergeCell ref="O62:S62"/>
    <mergeCell ref="D71:E71"/>
    <mergeCell ref="O427:U427"/>
    <mergeCell ref="A153:Y153"/>
    <mergeCell ref="D332:E332"/>
    <mergeCell ref="O154:S154"/>
    <mergeCell ref="O347:S347"/>
    <mergeCell ref="O541:U541"/>
    <mergeCell ref="D98:E98"/>
    <mergeCell ref="D73:E73"/>
    <mergeCell ref="O91:S91"/>
    <mergeCell ref="H9:I9"/>
    <mergeCell ref="O92:S92"/>
    <mergeCell ref="O30:S30"/>
    <mergeCell ref="O263:S263"/>
    <mergeCell ref="O334:S334"/>
    <mergeCell ref="D281:E281"/>
    <mergeCell ref="O434:S434"/>
    <mergeCell ref="O499:S499"/>
    <mergeCell ref="O150:U150"/>
    <mergeCell ref="O426:S426"/>
    <mergeCell ref="O505:S505"/>
    <mergeCell ref="O364:S364"/>
    <mergeCell ref="O570:S570"/>
    <mergeCell ref="O386:U386"/>
    <mergeCell ref="P6:Q6"/>
    <mergeCell ref="O29:S29"/>
    <mergeCell ref="O200:S200"/>
    <mergeCell ref="D297:E297"/>
    <mergeCell ref="D568:E568"/>
    <mergeCell ref="O265:S265"/>
    <mergeCell ref="A362:Y362"/>
    <mergeCell ref="O436:S436"/>
    <mergeCell ref="D70:E70"/>
    <mergeCell ref="A388:Y388"/>
    <mergeCell ref="O85:S85"/>
    <mergeCell ref="O454:S454"/>
    <mergeCell ref="D543:E543"/>
    <mergeCell ref="A305:N306"/>
    <mergeCell ref="O268:S268"/>
    <mergeCell ref="D365:E365"/>
    <mergeCell ref="D378:E378"/>
    <mergeCell ref="O379:S379"/>
    <mergeCell ref="D535:E535"/>
    <mergeCell ref="O224:S224"/>
    <mergeCell ref="D60:E60"/>
    <mergeCell ref="D473:E473"/>
    <mergeCell ref="O34:S34"/>
    <mergeCell ref="A440:Y440"/>
    <mergeCell ref="O28:S28"/>
    <mergeCell ref="A55:N56"/>
    <mergeCell ref="O270:S270"/>
    <mergeCell ref="O441:S441"/>
    <mergeCell ref="A489:Y489"/>
    <mergeCell ref="D472:E472"/>
    <mergeCell ref="O497:S497"/>
    <mergeCell ref="D410:E410"/>
    <mergeCell ref="O568:S568"/>
    <mergeCell ref="O555:S555"/>
    <mergeCell ref="A439:Y439"/>
    <mergeCell ref="O136:S136"/>
    <mergeCell ref="A433:Y433"/>
    <mergeCell ref="O207:S207"/>
    <mergeCell ref="D79:E79"/>
    <mergeCell ref="O366:S366"/>
    <mergeCell ref="O95:U95"/>
    <mergeCell ref="D536:E536"/>
    <mergeCell ref="O39:S39"/>
    <mergeCell ref="D168:E168"/>
    <mergeCell ref="D339:E339"/>
    <mergeCell ref="A540:N541"/>
    <mergeCell ref="O563:S563"/>
    <mergeCell ref="A504:Y504"/>
    <mergeCell ref="D282:E282"/>
    <mergeCell ref="O329:S329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832</v>
      </c>
      <c r="H1" s="52"/>
    </row>
    <row r="3" spans="2:8" x14ac:dyDescent="0.2">
      <c r="B3" s="47" t="s">
        <v>833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834</v>
      </c>
      <c r="D6" s="47" t="s">
        <v>835</v>
      </c>
      <c r="E6" s="47"/>
    </row>
    <row r="7" spans="2:8" x14ac:dyDescent="0.2">
      <c r="B7" s="47" t="s">
        <v>836</v>
      </c>
      <c r="C7" s="47" t="s">
        <v>837</v>
      </c>
      <c r="D7" s="47" t="s">
        <v>838</v>
      </c>
      <c r="E7" s="47"/>
    </row>
    <row r="8" spans="2:8" x14ac:dyDescent="0.2">
      <c r="B8" s="47" t="s">
        <v>839</v>
      </c>
      <c r="C8" s="47" t="s">
        <v>840</v>
      </c>
      <c r="D8" s="47" t="s">
        <v>841</v>
      </c>
      <c r="E8" s="47"/>
    </row>
    <row r="9" spans="2:8" x14ac:dyDescent="0.2">
      <c r="B9" s="47" t="s">
        <v>842</v>
      </c>
      <c r="C9" s="47" t="s">
        <v>843</v>
      </c>
      <c r="D9" s="47" t="s">
        <v>844</v>
      </c>
      <c r="E9" s="47"/>
    </row>
    <row r="10" spans="2:8" x14ac:dyDescent="0.2">
      <c r="B10" s="47" t="s">
        <v>845</v>
      </c>
      <c r="C10" s="47" t="s">
        <v>846</v>
      </c>
      <c r="D10" s="47" t="s">
        <v>847</v>
      </c>
      <c r="E10" s="47"/>
    </row>
    <row r="12" spans="2:8" x14ac:dyDescent="0.2">
      <c r="B12" s="47" t="s">
        <v>848</v>
      </c>
      <c r="C12" s="47" t="s">
        <v>834</v>
      </c>
      <c r="D12" s="47"/>
      <c r="E12" s="47"/>
    </row>
    <row r="14" spans="2:8" x14ac:dyDescent="0.2">
      <c r="B14" s="47" t="s">
        <v>849</v>
      </c>
      <c r="C14" s="47" t="s">
        <v>837</v>
      </c>
      <c r="D14" s="47"/>
      <c r="E14" s="47"/>
    </row>
    <row r="16" spans="2:8" x14ac:dyDescent="0.2">
      <c r="B16" s="47" t="s">
        <v>850</v>
      </c>
      <c r="C16" s="47" t="s">
        <v>840</v>
      </c>
      <c r="D16" s="47"/>
      <c r="E16" s="47"/>
    </row>
    <row r="18" spans="2:5" x14ac:dyDescent="0.2">
      <c r="B18" s="47" t="s">
        <v>851</v>
      </c>
      <c r="C18" s="47" t="s">
        <v>843</v>
      </c>
      <c r="D18" s="47"/>
      <c r="E18" s="47"/>
    </row>
    <row r="20" spans="2:5" x14ac:dyDescent="0.2">
      <c r="B20" s="47" t="s">
        <v>852</v>
      </c>
      <c r="C20" s="47" t="s">
        <v>846</v>
      </c>
      <c r="D20" s="47"/>
      <c r="E20" s="47"/>
    </row>
    <row r="22" spans="2:5" x14ac:dyDescent="0.2">
      <c r="B22" s="47" t="s">
        <v>853</v>
      </c>
      <c r="C22" s="47"/>
      <c r="D22" s="47"/>
      <c r="E22" s="47"/>
    </row>
    <row r="23" spans="2:5" x14ac:dyDescent="0.2">
      <c r="B23" s="47" t="s">
        <v>854</v>
      </c>
      <c r="C23" s="47"/>
      <c r="D23" s="47"/>
      <c r="E23" s="47"/>
    </row>
    <row r="24" spans="2:5" x14ac:dyDescent="0.2">
      <c r="B24" s="47" t="s">
        <v>855</v>
      </c>
      <c r="C24" s="47"/>
      <c r="D24" s="47"/>
      <c r="E24" s="47"/>
    </row>
    <row r="25" spans="2:5" x14ac:dyDescent="0.2">
      <c r="B25" s="47" t="s">
        <v>856</v>
      </c>
      <c r="C25" s="47"/>
      <c r="D25" s="47"/>
      <c r="E25" s="47"/>
    </row>
    <row r="26" spans="2:5" x14ac:dyDescent="0.2">
      <c r="B26" s="47" t="s">
        <v>857</v>
      </c>
      <c r="C26" s="47"/>
      <c r="D26" s="47"/>
      <c r="E26" s="47"/>
    </row>
    <row r="27" spans="2:5" x14ac:dyDescent="0.2">
      <c r="B27" s="47" t="s">
        <v>858</v>
      </c>
      <c r="C27" s="47"/>
      <c r="D27" s="47"/>
      <c r="E27" s="47"/>
    </row>
    <row r="28" spans="2:5" x14ac:dyDescent="0.2">
      <c r="B28" s="47" t="s">
        <v>859</v>
      </c>
      <c r="C28" s="47"/>
      <c r="D28" s="47"/>
      <c r="E28" s="47"/>
    </row>
    <row r="29" spans="2:5" x14ac:dyDescent="0.2">
      <c r="B29" s="47" t="s">
        <v>860</v>
      </c>
      <c r="C29" s="47"/>
      <c r="D29" s="47"/>
      <c r="E29" s="47"/>
    </row>
    <row r="30" spans="2:5" x14ac:dyDescent="0.2">
      <c r="B30" s="47" t="s">
        <v>861</v>
      </c>
      <c r="C30" s="47"/>
      <c r="D30" s="47"/>
      <c r="E30" s="47"/>
    </row>
    <row r="31" spans="2:5" x14ac:dyDescent="0.2">
      <c r="B31" s="47" t="s">
        <v>862</v>
      </c>
      <c r="C31" s="47"/>
      <c r="D31" s="47"/>
      <c r="E31" s="47"/>
    </row>
    <row r="32" spans="2:5" x14ac:dyDescent="0.2">
      <c r="B32" s="47" t="s">
        <v>863</v>
      </c>
      <c r="C32" s="47"/>
      <c r="D32" s="47"/>
      <c r="E32" s="47"/>
    </row>
  </sheetData>
  <sheetProtection algorithmName="SHA-512" hashValue="NXyM+kh20hH6db07T6/yA4x8OiMWx5D+82wYfbtfp28ZkXOMqxpDumTfrvsBkP0IeKEEBjunrfF+g6mPsHXZmw==" saltValue="l+s2WELuu2vYmgqlO0Y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1361</vt:i4>
      </vt:variant>
    </vt:vector>
  </HeadingPairs>
  <TitlesOfParts>
    <vt:vector size="13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2024-07-04T07:59:26Z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