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1 машина 10,09 Мелитополь_Поляков\"/>
    </mc:Choice>
  </mc:AlternateContent>
  <xr:revisionPtr revIDLastSave="0" documentId="13_ncr:1_{522E795C-74C0-4802-B345-450ACBF3EB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W315" i="1"/>
  <c r="X315" i="1" s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X297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2" i="1"/>
  <c r="V281" i="1"/>
  <c r="W280" i="1"/>
  <c r="W282" i="1" s="1"/>
  <c r="N280" i="1"/>
  <c r="V278" i="1"/>
  <c r="V277" i="1"/>
  <c r="W276" i="1"/>
  <c r="W278" i="1" s="1"/>
  <c r="N276" i="1"/>
  <c r="V274" i="1"/>
  <c r="V273" i="1"/>
  <c r="W272" i="1"/>
  <c r="W274" i="1" s="1"/>
  <c r="N272" i="1"/>
  <c r="V270" i="1"/>
  <c r="V269" i="1"/>
  <c r="W268" i="1"/>
  <c r="M470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X241" i="1" s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W207" i="1" s="1"/>
  <c r="N193" i="1"/>
  <c r="V190" i="1"/>
  <c r="V189" i="1"/>
  <c r="W188" i="1"/>
  <c r="X188" i="1" s="1"/>
  <c r="N188" i="1"/>
  <c r="W187" i="1"/>
  <c r="W190" i="1" s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300" i="1" l="1"/>
  <c r="W374" i="1"/>
  <c r="X369" i="1"/>
  <c r="X373" i="1" s="1"/>
  <c r="W373" i="1"/>
  <c r="X331" i="1"/>
  <c r="X332" i="1" s="1"/>
  <c r="W332" i="1"/>
  <c r="W126" i="1"/>
  <c r="W164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133" i="1"/>
  <c r="W184" i="1"/>
  <c r="X268" i="1"/>
  <c r="X269" i="1" s="1"/>
  <c r="W269" i="1"/>
  <c r="X272" i="1"/>
  <c r="X273" i="1" s="1"/>
  <c r="W273" i="1"/>
  <c r="X276" i="1"/>
  <c r="X277" i="1" s="1"/>
  <c r="W277" i="1"/>
  <c r="X280" i="1"/>
  <c r="X281" i="1" s="1"/>
  <c r="W281" i="1"/>
  <c r="W362" i="1"/>
  <c r="W439" i="1"/>
  <c r="V463" i="1"/>
  <c r="X77" i="1"/>
  <c r="W248" i="1"/>
  <c r="X259" i="1"/>
  <c r="X394" i="1"/>
  <c r="V464" i="1"/>
  <c r="W87" i="1"/>
  <c r="W110" i="1"/>
  <c r="W118" i="1"/>
  <c r="X122" i="1"/>
  <c r="X125" i="1" s="1"/>
  <c r="H470" i="1"/>
  <c r="I470" i="1"/>
  <c r="X160" i="1"/>
  <c r="X193" i="1"/>
  <c r="X207" i="1" s="1"/>
  <c r="W231" i="1"/>
  <c r="X245" i="1"/>
  <c r="X248" i="1" s="1"/>
  <c r="X319" i="1"/>
  <c r="X321" i="1" s="1"/>
  <c r="X358" i="1"/>
  <c r="X362" i="1" s="1"/>
  <c r="W427" i="1"/>
  <c r="W426" i="1"/>
  <c r="X436" i="1"/>
  <c r="X438" i="1" s="1"/>
  <c r="W438" i="1"/>
  <c r="X58" i="1"/>
  <c r="X87" i="1"/>
  <c r="X164" i="1"/>
  <c r="H9" i="1"/>
  <c r="A10" i="1"/>
  <c r="W98" i="1"/>
  <c r="W119" i="1"/>
  <c r="W133" i="1"/>
  <c r="W147" i="1"/>
  <c r="W152" i="1"/>
  <c r="W189" i="1"/>
  <c r="W230" i="1"/>
  <c r="X236" i="1"/>
  <c r="W265" i="1"/>
  <c r="X262" i="1"/>
  <c r="X264" i="1" s="1"/>
  <c r="W363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O470" i="1"/>
  <c r="W462" i="1"/>
  <c r="W461" i="1"/>
  <c r="W32" i="1"/>
  <c r="W59" i="1"/>
  <c r="W78" i="1"/>
  <c r="W88" i="1"/>
  <c r="W111" i="1"/>
  <c r="W125" i="1"/>
  <c r="W157" i="1"/>
  <c r="W165" i="1"/>
  <c r="W185" i="1"/>
  <c r="W260" i="1"/>
  <c r="W294" i="1"/>
  <c r="W366" i="1"/>
  <c r="X365" i="1"/>
  <c r="X366" i="1" s="1"/>
  <c r="W367" i="1"/>
  <c r="F470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0" i="1" l="1"/>
  <c r="W464" i="1"/>
  <c r="X465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<sst xmlns="http://schemas.openxmlformats.org/spreadsheetml/2006/main" count="1940" uniqueCount="665">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</sst>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6" t="s">
        <v>0</v>
      </c>
      <c r="E1" s="310"/>
      <c r="F1" s="310"/>
      <c r="G1" s="12" t="s">
        <v>1</v>
      </c>
      <c r="H1" s="436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16" t="s">
        <v>8</v>
      </c>
      <c r="B5" s="362"/>
      <c r="C5" s="342"/>
      <c r="D5" s="580"/>
      <c r="E5" s="581"/>
      <c r="F5" s="386" t="s">
        <v>9</v>
      </c>
      <c r="G5" s="342"/>
      <c r="H5" s="580"/>
      <c r="I5" s="608"/>
      <c r="J5" s="608"/>
      <c r="K5" s="608"/>
      <c r="L5" s="581"/>
      <c r="N5" s="24" t="s">
        <v>10</v>
      </c>
      <c r="O5" s="354">
        <v>45263</v>
      </c>
      <c r="P5" s="355"/>
      <c r="R5" s="368" t="s">
        <v>11</v>
      </c>
      <c r="S5" s="369"/>
      <c r="T5" s="491" t="s">
        <v>12</v>
      </c>
      <c r="U5" s="355"/>
      <c r="Z5" s="51"/>
      <c r="AA5" s="51"/>
      <c r="AB5" s="51"/>
    </row>
    <row r="6" spans="1:29" s="303" customFormat="1" ht="24" customHeight="1" x14ac:dyDescent="0.2">
      <c r="A6" s="516" t="s">
        <v>13</v>
      </c>
      <c r="B6" s="362"/>
      <c r="C6" s="342"/>
      <c r="D6" s="407" t="s">
        <v>14</v>
      </c>
      <c r="E6" s="408"/>
      <c r="F6" s="408"/>
      <c r="G6" s="408"/>
      <c r="H6" s="408"/>
      <c r="I6" s="408"/>
      <c r="J6" s="408"/>
      <c r="K6" s="408"/>
      <c r="L6" s="355"/>
      <c r="N6" s="24" t="s">
        <v>15</v>
      </c>
      <c r="O6" s="561" t="str">
        <f>IF(O5=0," ",CHOOSE(WEEKDAY(O5,2),"Понедельник","Вторник","Среда","Четверг","Пятница","Суббота","Воскресенье"))</f>
        <v>Воскресенье</v>
      </c>
      <c r="P6" s="315"/>
      <c r="R6" s="587" t="s">
        <v>16</v>
      </c>
      <c r="S6" s="369"/>
      <c r="T6" s="495" t="s">
        <v>17</v>
      </c>
      <c r="U6" s="496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0"/>
      <c r="N7" s="24"/>
      <c r="O7" s="42"/>
      <c r="P7" s="42"/>
      <c r="R7" s="312"/>
      <c r="S7" s="369"/>
      <c r="T7" s="497"/>
      <c r="U7" s="498"/>
      <c r="Z7" s="51"/>
      <c r="AA7" s="51"/>
      <c r="AB7" s="51"/>
    </row>
    <row r="8" spans="1:29" s="303" customFormat="1" ht="25.5" customHeight="1" x14ac:dyDescent="0.2">
      <c r="A8" s="331" t="s">
        <v>18</v>
      </c>
      <c r="B8" s="328"/>
      <c r="C8" s="329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394">
        <v>0.33333333333333331</v>
      </c>
      <c r="P8" s="355"/>
      <c r="R8" s="312"/>
      <c r="S8" s="369"/>
      <c r="T8" s="497"/>
      <c r="U8" s="498"/>
      <c r="Z8" s="51"/>
      <c r="AA8" s="51"/>
      <c r="AB8" s="51"/>
    </row>
    <row r="9" spans="1:29" s="303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03"/>
      <c r="E9" s="367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54"/>
      <c r="P9" s="355"/>
      <c r="R9" s="312"/>
      <c r="S9" s="369"/>
      <c r="T9" s="499"/>
      <c r="U9" s="500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03"/>
      <c r="E10" s="367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41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4"/>
      <c r="P10" s="355"/>
      <c r="S10" s="24" t="s">
        <v>22</v>
      </c>
      <c r="T10" s="619" t="s">
        <v>23</v>
      </c>
      <c r="U10" s="496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55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1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42"/>
      <c r="N12" s="24" t="s">
        <v>29</v>
      </c>
      <c r="O12" s="419"/>
      <c r="P12" s="420"/>
      <c r="Q12" s="23"/>
      <c r="S12" s="24"/>
      <c r="T12" s="310"/>
      <c r="U12" s="312"/>
      <c r="Z12" s="51"/>
      <c r="AA12" s="51"/>
      <c r="AB12" s="51"/>
    </row>
    <row r="13" spans="1:29" s="303" customFormat="1" ht="23.25" customHeight="1" x14ac:dyDescent="0.2">
      <c r="A13" s="361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4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1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5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42"/>
      <c r="N15" s="547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1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8"/>
      <c r="P17" s="558"/>
      <c r="Q17" s="558"/>
      <c r="R17" s="317"/>
      <c r="S17" s="341" t="s">
        <v>48</v>
      </c>
      <c r="T17" s="342"/>
      <c r="U17" s="316" t="s">
        <v>49</v>
      </c>
      <c r="V17" s="316" t="s">
        <v>50</v>
      </c>
      <c r="W17" s="598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593"/>
      <c r="AC17" s="594"/>
      <c r="AD17" s="525"/>
      <c r="BA17" s="589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9"/>
      <c r="P18" s="559"/>
      <c r="Q18" s="559"/>
      <c r="R18" s="319"/>
      <c r="S18" s="302" t="s">
        <v>57</v>
      </c>
      <c r="T18" s="302" t="s">
        <v>58</v>
      </c>
      <c r="U18" s="324"/>
      <c r="V18" s="324"/>
      <c r="W18" s="599"/>
      <c r="X18" s="324"/>
      <c r="Y18" s="344"/>
      <c r="Z18" s="344"/>
      <c r="AA18" s="595"/>
      <c r="AB18" s="596"/>
      <c r="AC18" s="597"/>
      <c r="AD18" s="526"/>
      <c r="BA18" s="312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70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4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39</v>
      </c>
      <c r="W27" s="306">
        <f t="shared" si="0"/>
        <v>40.32</v>
      </c>
      <c r="X27" s="36">
        <f t="shared" si="1"/>
        <v>0.12048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34</v>
      </c>
      <c r="W31" s="306">
        <f t="shared" si="0"/>
        <v>35.28</v>
      </c>
      <c r="X31" s="36">
        <f t="shared" si="1"/>
        <v>0.10542</v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28.968253968253968</v>
      </c>
      <c r="W32" s="307">
        <f>IFERROR(W26/H26,"0")+IFERROR(W27/H27,"0")+IFERROR(W28/H28,"0")+IFERROR(W29/H29,"0")+IFERROR(W30/H30,"0")+IFERROR(W31/H31,"0")</f>
        <v>30</v>
      </c>
      <c r="X32" s="307">
        <f>IFERROR(IF(X26="",0,X26),"0")+IFERROR(IF(X27="",0,X27),"0")+IFERROR(IF(X28="",0,X28),"0")+IFERROR(IF(X29="",0,X29),"0")+IFERROR(IF(X30="",0,X30),"0")+IFERROR(IF(X31="",0,X31),"0")</f>
        <v>0.22589999999999999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73</v>
      </c>
      <c r="W33" s="307">
        <f>IFERROR(SUM(W26:W31),"0")</f>
        <v>75.599999999999994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70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5</v>
      </c>
      <c r="W49" s="306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0.46296296296296291</v>
      </c>
      <c r="W50" s="307">
        <f>IFERROR(W49/H49,"0")</f>
        <v>1</v>
      </c>
      <c r="X50" s="307">
        <f>IFERROR(IF(X49="",0,X49),"0")</f>
        <v>2.1749999999999999E-2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5</v>
      </c>
      <c r="W51" s="307">
        <f>IFERROR(SUM(W49:W49),"0")</f>
        <v>10.8</v>
      </c>
      <c r="X51" s="37"/>
      <c r="Y51" s="308"/>
      <c r="Z51" s="308"/>
    </row>
    <row r="52" spans="1:53" ht="16.5" customHeight="1" x14ac:dyDescent="0.25">
      <c r="A52" s="370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0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0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30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0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0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9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70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0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3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0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67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78</v>
      </c>
      <c r="W63" s="306">
        <f t="shared" si="2"/>
        <v>78.399999999999991</v>
      </c>
      <c r="X63" s="36">
        <f>IFERROR(IF(W63=0,"",ROUNDUP(W63/H63,0)*0.02175),"")</f>
        <v>0.15225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0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70</v>
      </c>
      <c r="W64" s="306">
        <f t="shared" si="2"/>
        <v>75.600000000000009</v>
      </c>
      <c r="X64" s="36">
        <f>IFERROR(IF(W64=0,"",ROUNDUP(W64/H64,0)*0.02175),"")</f>
        <v>0.15225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0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6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120</v>
      </c>
      <c r="W65" s="306">
        <f t="shared" si="2"/>
        <v>123.19999999999999</v>
      </c>
      <c r="X65" s="36">
        <f>IFERROR(IF(W65=0,"",ROUNDUP(W65/H65,0)*0.02175),"")</f>
        <v>0.23924999999999999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0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20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20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0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0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0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0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73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0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0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0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0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24.160052910052912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25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0.54374999999999996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268</v>
      </c>
      <c r="W78" s="307">
        <f>IFERROR(SUM(W62:W76),"0")</f>
        <v>277.2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0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8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0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50</v>
      </c>
      <c r="W81" s="306">
        <f t="shared" si="4"/>
        <v>54</v>
      </c>
      <c r="X81" s="36">
        <f>IFERROR(IF(W81=0,"",ROUNDUP(W81/H81,0)*0.02175),"")</f>
        <v>0.10874999999999999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0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8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0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0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0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0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4.6296296296296298</v>
      </c>
      <c r="W87" s="307">
        <f>IFERROR(W80/H80,"0")+IFERROR(W81/H81,"0")+IFERROR(W82/H82,"0")+IFERROR(W83/H83,"0")+IFERROR(W84/H84,"0")+IFERROR(W85/H85,"0")+IFERROR(W86/H86,"0")</f>
        <v>5</v>
      </c>
      <c r="X87" s="307">
        <f>IFERROR(IF(X80="",0,X80),"0")+IFERROR(IF(X81="",0,X81),"0")+IFERROR(IF(X82="",0,X82),"0")+IFERROR(IF(X83="",0,X83),"0")+IFERROR(IF(X84="",0,X84),"0")+IFERROR(IF(X85="",0,X85),"0")+IFERROR(IF(X86="",0,X86),"0")</f>
        <v>0.10874999999999999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50</v>
      </c>
      <c r="W88" s="307">
        <f>IFERROR(SUM(W80:W86),"0")</f>
        <v>54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0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0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0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0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0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0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0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0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0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10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0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6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150</v>
      </c>
      <c r="W102" s="306">
        <f t="shared" si="6"/>
        <v>151.20000000000002</v>
      </c>
      <c r="X102" s="36">
        <f>IFERROR(IF(W102=0,"",ROUNDUP(W102/H102,0)*0.02175),"")</f>
        <v>0.39149999999999996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0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158</v>
      </c>
      <c r="W103" s="306">
        <f t="shared" si="6"/>
        <v>159.6</v>
      </c>
      <c r="X103" s="36">
        <f>IFERROR(IF(W103=0,"",ROUNDUP(W103/H103,0)*0.02175),"")</f>
        <v>0.41324999999999995</v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0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0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5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0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5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0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3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0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0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0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36.666666666666671</v>
      </c>
      <c r="W110" s="307">
        <f>IFERROR(W101/H101,"0")+IFERROR(W102/H102,"0")+IFERROR(W103/H103,"0")+IFERROR(W104/H104,"0")+IFERROR(W105/H105,"0")+IFERROR(W106/H106,"0")+IFERROR(W107/H107,"0")+IFERROR(W108/H108,"0")+IFERROR(W109/H109,"0")</f>
        <v>37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0.80474999999999985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308</v>
      </c>
      <c r="W111" s="307">
        <f>IFERROR(SUM(W101:W109),"0")</f>
        <v>310.8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0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0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0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6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0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0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44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70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0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4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550</v>
      </c>
      <c r="W122" s="306">
        <f>IFERROR(IF(V122="",0,CEILING((V122/$H122),1)*$H122),"")</f>
        <v>554.4</v>
      </c>
      <c r="X122" s="36">
        <f>IFERROR(IF(W122=0,"",ROUNDUP(W122/H122,0)*0.02175),"")</f>
        <v>1.4355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0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0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43</v>
      </c>
      <c r="W124" s="306">
        <f>IFERROR(IF(V124="",0,CEILING((V124/$H124),1)*$H124),"")</f>
        <v>43.2</v>
      </c>
      <c r="X124" s="36">
        <f>IFERROR(IF(W124=0,"",ROUNDUP(W124/H124,0)*0.00753),"")</f>
        <v>0.12048</v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81.402116402116391</v>
      </c>
      <c r="W125" s="307">
        <f>IFERROR(W122/H122,"0")+IFERROR(W123/H123,"0")+IFERROR(W124/H124,"0")</f>
        <v>82</v>
      </c>
      <c r="X125" s="307">
        <f>IFERROR(IF(X122="",0,X122),"0")+IFERROR(IF(X123="",0,X123),"0")+IFERROR(IF(X124="",0,X124),"0")</f>
        <v>1.5559799999999999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593</v>
      </c>
      <c r="W126" s="307">
        <f>IFERROR(SUM(W122:W124),"0")</f>
        <v>597.6</v>
      </c>
      <c r="X126" s="37"/>
      <c r="Y126" s="308"/>
      <c r="Z126" s="308"/>
    </row>
    <row r="127" spans="1:53" ht="27.75" customHeight="1" x14ac:dyDescent="0.2">
      <c r="A127" s="363" t="s">
        <v>228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48"/>
      <c r="Z127" s="48"/>
    </row>
    <row r="128" spans="1:53" ht="16.5" customHeight="1" x14ac:dyDescent="0.25">
      <c r="A128" s="370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0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0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0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70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20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4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20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80</v>
      </c>
      <c r="W138" s="306">
        <f t="shared" si="7"/>
        <v>84</v>
      </c>
      <c r="X138" s="36">
        <f>IFERROR(IF(W138=0,"",ROUNDUP(W138/H138,0)*0.00753),"")</f>
        <v>0.15060000000000001</v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20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20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20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20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20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20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20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19.047619047619047</v>
      </c>
      <c r="W146" s="307">
        <f>IFERROR(W137/H137,"0")+IFERROR(W138/H138,"0")+IFERROR(W139/H139,"0")+IFERROR(W140/H140,"0")+IFERROR(W141/H141,"0")+IFERROR(W142/H142,"0")+IFERROR(W143/H143,"0")+IFERROR(W144/H144,"0")+IFERROR(W145/H145,"0")</f>
        <v>20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0.15060000000000001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80</v>
      </c>
      <c r="W147" s="307">
        <f>IFERROR(SUM(W137:W145),"0")</f>
        <v>84</v>
      </c>
      <c r="X147" s="37"/>
      <c r="Y147" s="308"/>
      <c r="Z147" s="308"/>
    </row>
    <row r="148" spans="1:53" ht="16.5" customHeight="1" x14ac:dyDescent="0.25">
      <c r="A148" s="370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20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20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20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30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20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20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20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20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20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20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20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80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20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20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4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100</v>
      </c>
      <c r="W170" s="306">
        <f t="shared" si="8"/>
        <v>100</v>
      </c>
      <c r="X170" s="36">
        <f>IFERROR(IF(W170=0,"",ROUNDUP(W170/H170,0)*0.01196),"")</f>
        <v>0.29899999999999999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20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360</v>
      </c>
      <c r="W171" s="306">
        <f t="shared" si="8"/>
        <v>366.59999999999997</v>
      </c>
      <c r="X171" s="36">
        <f>IFERROR(IF(W171=0,"",ROUNDUP(W171/H171,0)*0.02175),"")</f>
        <v>1.0222499999999999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20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20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1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20</v>
      </c>
      <c r="W173" s="306">
        <f t="shared" si="8"/>
        <v>21.599999999999998</v>
      </c>
      <c r="X173" s="36">
        <f>IFERROR(IF(W173=0,"",ROUNDUP(W173/H173,0)*0.00753),"")</f>
        <v>6.7769999999999997E-2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20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2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20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60</v>
      </c>
      <c r="W175" s="306">
        <f t="shared" si="8"/>
        <v>60</v>
      </c>
      <c r="X175" s="36">
        <f>IFERROR(IF(W175=0,"",ROUNDUP(W175/H175,0)*0.00753),"")</f>
        <v>0.18825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20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20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260</v>
      </c>
      <c r="W177" s="306">
        <f t="shared" si="8"/>
        <v>261.59999999999997</v>
      </c>
      <c r="X177" s="36">
        <f t="shared" ref="X177:X183" si="9">IFERROR(IF(W177=0,"",ROUNDUP(W177/H177,0)*0.00753),"")</f>
        <v>0.82077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20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6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20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20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160</v>
      </c>
      <c r="W180" s="306">
        <f t="shared" si="8"/>
        <v>160.79999999999998</v>
      </c>
      <c r="X180" s="36">
        <f t="shared" si="9"/>
        <v>0.50451000000000001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20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20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270</v>
      </c>
      <c r="W182" s="306">
        <f t="shared" si="8"/>
        <v>271.2</v>
      </c>
      <c r="X182" s="36">
        <f t="shared" si="9"/>
        <v>0.85089000000000004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20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391.9871794871795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395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3.7534399999999999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1230</v>
      </c>
      <c r="W185" s="307">
        <f>IFERROR(SUM(W167:W183),"0")</f>
        <v>1241.8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20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280</v>
      </c>
      <c r="W187" s="306">
        <f>IFERROR(IF(V187="",0,CEILING((V187/$H187),1)*$H187),"")</f>
        <v>280.8</v>
      </c>
      <c r="X187" s="36">
        <f>IFERROR(IF(W187=0,"",ROUNDUP(W187/H187,0)*0.00753),"")</f>
        <v>0.88101000000000007</v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20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300</v>
      </c>
      <c r="W188" s="306">
        <f>IFERROR(IF(V188="",0,CEILING((V188/$H188),1)*$H188),"")</f>
        <v>300</v>
      </c>
      <c r="X188" s="36">
        <f>IFERROR(IF(W188=0,"",ROUNDUP(W188/H188,0)*0.00753),"")</f>
        <v>0.94125000000000003</v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241.66666666666669</v>
      </c>
      <c r="W189" s="307">
        <f>IFERROR(W187/H187,"0")+IFERROR(W188/H188,"0")</f>
        <v>242</v>
      </c>
      <c r="X189" s="307">
        <f>IFERROR(IF(X187="",0,X187),"0")+IFERROR(IF(X188="",0,X188),"0")</f>
        <v>1.82226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580</v>
      </c>
      <c r="W190" s="307">
        <f>IFERROR(SUM(W187:W188),"0")</f>
        <v>580.79999999999995</v>
      </c>
      <c r="X190" s="37"/>
      <c r="Y190" s="308"/>
      <c r="Z190" s="308"/>
    </row>
    <row r="191" spans="1:53" ht="16.5" customHeight="1" x14ac:dyDescent="0.25">
      <c r="A191" s="370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20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4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20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20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20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3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20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20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20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20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20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20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20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20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20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20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20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20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60</v>
      </c>
      <c r="W214" s="306">
        <f>IFERROR(IF(V214="",0,CEILING((V214/$H214),1)*$H214),"")</f>
        <v>63</v>
      </c>
      <c r="X214" s="36">
        <f>IFERROR(IF(W214=0,"",ROUNDUP(W214/H214,0)*0.00753),"")</f>
        <v>0.11295000000000001</v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20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65</v>
      </c>
      <c r="W215" s="306">
        <f>IFERROR(IF(V215="",0,CEILING((V215/$H215),1)*$H215),"")</f>
        <v>67.2</v>
      </c>
      <c r="X215" s="36">
        <f>IFERROR(IF(W215=0,"",ROUNDUP(W215/H215,0)*0.00753),"")</f>
        <v>0.12048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20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20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29.761904761904759</v>
      </c>
      <c r="W218" s="307">
        <f>IFERROR(W214/H214,"0")+IFERROR(W215/H215,"0")+IFERROR(W216/H216,"0")+IFERROR(W217/H217,"0")</f>
        <v>31</v>
      </c>
      <c r="X218" s="307">
        <f>IFERROR(IF(X214="",0,X214),"0")+IFERROR(IF(X215="",0,X215),"0")+IFERROR(IF(X216="",0,X216),"0")+IFERROR(IF(X217="",0,X217),"0")</f>
        <v>0.23343000000000003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125</v>
      </c>
      <c r="W219" s="307">
        <f>IFERROR(SUM(W214:W217),"0")</f>
        <v>130.19999999999999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20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20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20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20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7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35</v>
      </c>
      <c r="W224" s="306">
        <f t="shared" si="12"/>
        <v>35.700000000000003</v>
      </c>
      <c r="X224" s="36">
        <f>IFERROR(IF(W224=0,"",ROUNDUP(W224/H224,0)*0.00753),"")</f>
        <v>0.12801000000000001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20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40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20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20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4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20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20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16.666666666666664</v>
      </c>
      <c r="W230" s="307">
        <f>IFERROR(W221/H221,"0")+IFERROR(W222/H222,"0")+IFERROR(W223/H223,"0")+IFERROR(W224/H224,"0")+IFERROR(W225/H225,"0")+IFERROR(W226/H226,"0")+IFERROR(W227/H227,"0")+IFERROR(W228/H228,"0")+IFERROR(W229/H229,"0")</f>
        <v>17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0.12801000000000001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35</v>
      </c>
      <c r="W231" s="307">
        <f>IFERROR(SUM(W221:W229),"0")</f>
        <v>35.700000000000003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20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20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85</v>
      </c>
      <c r="W234" s="306">
        <f>IFERROR(IF(V234="",0,CEILING((V234/$H234),1)*$H234),"")</f>
        <v>85.8</v>
      </c>
      <c r="X234" s="36">
        <f>IFERROR(IF(W234=0,"",ROUNDUP(W234/H234,0)*0.02175),"")</f>
        <v>0.23924999999999999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20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60</v>
      </c>
      <c r="W235" s="306">
        <f>IFERROR(IF(V235="",0,CEILING((V235/$H235),1)*$H235),"")</f>
        <v>67.2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18.04029304029304</v>
      </c>
      <c r="W236" s="307">
        <f>IFERROR(W233/H233,"0")+IFERROR(W234/H234,"0")+IFERROR(W235/H235,"0")</f>
        <v>19</v>
      </c>
      <c r="X236" s="307">
        <f>IFERROR(IF(X233="",0,X233),"0")+IFERROR(IF(X234="",0,X234),"0")+IFERROR(IF(X235="",0,X235),"0")</f>
        <v>0.41325000000000001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145</v>
      </c>
      <c r="W237" s="307">
        <f>IFERROR(SUM(W233:W235),"0")</f>
        <v>153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20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3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20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20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20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20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20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70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20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20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20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20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5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20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20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20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20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20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70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20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20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20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20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3" t="s">
        <v>424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48"/>
      <c r="Z283" s="48"/>
    </row>
    <row r="284" spans="1:53" ht="16.5" customHeight="1" x14ac:dyDescent="0.25">
      <c r="A284" s="370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20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2550</v>
      </c>
      <c r="W286" s="306">
        <f t="shared" ref="W286:W293" si="14">IFERROR(IF(V286="",0,CEILING((V286/$H286),1)*$H286),"")</f>
        <v>2550</v>
      </c>
      <c r="X286" s="36">
        <f>IFERROR(IF(W286=0,"",ROUNDUP(W286/H286,0)*0.02175),"")</f>
        <v>3.6974999999999998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20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20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20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20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476</v>
      </c>
      <c r="W290" s="306">
        <f t="shared" si="14"/>
        <v>480</v>
      </c>
      <c r="X290" s="36">
        <f>IFERROR(IF(W290=0,"",ROUNDUP(W290/H290,0)*0.02175),"")</f>
        <v>0.69599999999999995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20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5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20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44</v>
      </c>
      <c r="W292" s="306">
        <f t="shared" si="14"/>
        <v>45</v>
      </c>
      <c r="X292" s="36">
        <f>IFERROR(IF(W292=0,"",ROUNDUP(W292/H292,0)*0.00937),"")</f>
        <v>8.4330000000000002E-2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20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210.53333333333336</v>
      </c>
      <c r="W294" s="307">
        <f>IFERROR(W286/H286,"0")+IFERROR(W287/H287,"0")+IFERROR(W288/H288,"0")+IFERROR(W289/H289,"0")+IFERROR(W290/H290,"0")+IFERROR(W291/H291,"0")+IFERROR(W292/H292,"0")+IFERROR(W293/H293,"0")</f>
        <v>211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4.4778299999999991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3070</v>
      </c>
      <c r="W295" s="307">
        <f>IFERROR(SUM(W286:W293),"0")</f>
        <v>3075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20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1020</v>
      </c>
      <c r="W297" s="306">
        <f>IFERROR(IF(V297="",0,CEILING((V297/$H297),1)*$H297),"")</f>
        <v>1020</v>
      </c>
      <c r="X297" s="36">
        <f>IFERROR(IF(W297=0,"",ROUNDUP(W297/H297,0)*0.02175),"")</f>
        <v>1.4789999999999999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20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5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20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68</v>
      </c>
      <c r="W300" s="307">
        <f>IFERROR(W297/H297,"0")+IFERROR(W298/H298,"0")+IFERROR(W299/H299,"0")</f>
        <v>68</v>
      </c>
      <c r="X300" s="307">
        <f>IFERROR(IF(X297="",0,X297),"0")+IFERROR(IF(X298="",0,X298),"0")+IFERROR(IF(X299="",0,X299),"0")</f>
        <v>1.4789999999999999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1020</v>
      </c>
      <c r="W301" s="307">
        <f>IFERROR(SUM(W297:W299),"0")</f>
        <v>1020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20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20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190</v>
      </c>
      <c r="W307" s="306">
        <f>IFERROR(IF(V307="",0,CEILING((V307/$H307),1)*$H307),"")</f>
        <v>195</v>
      </c>
      <c r="X307" s="36">
        <f>IFERROR(IF(W307=0,"",ROUNDUP(W307/H307,0)*0.02175),"")</f>
        <v>0.54374999999999996</v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24.358974358974361</v>
      </c>
      <c r="W308" s="307">
        <f>IFERROR(W307/H307,"0")</f>
        <v>25</v>
      </c>
      <c r="X308" s="307">
        <f>IFERROR(IF(X307="",0,X307),"0")</f>
        <v>0.54374999999999996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190</v>
      </c>
      <c r="W309" s="307">
        <f>IFERROR(SUM(W307:W307),"0")</f>
        <v>195</v>
      </c>
      <c r="X309" s="37"/>
      <c r="Y309" s="308"/>
      <c r="Z309" s="308"/>
    </row>
    <row r="310" spans="1:53" ht="16.5" customHeight="1" x14ac:dyDescent="0.25">
      <c r="A310" s="370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20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20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20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20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20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20</v>
      </c>
      <c r="W319" s="306">
        <f>IFERROR(IF(V319="",0,CEILING((V319/$H319),1)*$H319),"")</f>
        <v>21.9</v>
      </c>
      <c r="X319" s="36">
        <f>IFERROR(IF(W319=0,"",ROUNDUP(W319/H319,0)*0.00753),"")</f>
        <v>3.7650000000000003E-2</v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20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4.5662100456621006</v>
      </c>
      <c r="W321" s="307">
        <f>IFERROR(W319/H319,"0")+IFERROR(W320/H320,"0")</f>
        <v>5</v>
      </c>
      <c r="X321" s="307">
        <f>IFERROR(IF(X319="",0,X319),"0")+IFERROR(IF(X320="",0,X320),"0")</f>
        <v>3.7650000000000003E-2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20</v>
      </c>
      <c r="W322" s="307">
        <f>IFERROR(SUM(W319:W320),"0")</f>
        <v>21.9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20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70</v>
      </c>
      <c r="W324" s="306">
        <f>IFERROR(IF(V324="",0,CEILING((V324/$H324),1)*$H324),"")</f>
        <v>70.2</v>
      </c>
      <c r="X324" s="36">
        <f>IFERROR(IF(W324=0,"",ROUNDUP(W324/H324,0)*0.02175),"")</f>
        <v>0.19574999999999998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20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20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20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8.9743589743589745</v>
      </c>
      <c r="W328" s="307">
        <f>IFERROR(W324/H324,"0")+IFERROR(W325/H325,"0")+IFERROR(W326/H326,"0")+IFERROR(W327/H327,"0")</f>
        <v>9</v>
      </c>
      <c r="X328" s="307">
        <f>IFERROR(IF(X324="",0,X324),"0")+IFERROR(IF(X325="",0,X325),"0")+IFERROR(IF(X326="",0,X326),"0")+IFERROR(IF(X327="",0,X327),"0")</f>
        <v>0.19574999999999998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70</v>
      </c>
      <c r="W329" s="307">
        <f>IFERROR(SUM(W324:W327),"0")</f>
        <v>70.2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20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3" t="s">
        <v>474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48"/>
      <c r="Z334" s="48"/>
    </row>
    <row r="335" spans="1:53" ht="16.5" customHeight="1" x14ac:dyDescent="0.25">
      <c r="A335" s="370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20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20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20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150</v>
      </c>
      <c r="W342" s="306">
        <f t="shared" ref="W342:W354" si="15">IFERROR(IF(V342="",0,CEILING((V342/$H342),1)*$H342),"")</f>
        <v>151.20000000000002</v>
      </c>
      <c r="X342" s="36">
        <f>IFERROR(IF(W342=0,"",ROUNDUP(W342/H342,0)*0.00753),"")</f>
        <v>0.27107999999999999</v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20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20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300</v>
      </c>
      <c r="W344" s="306">
        <f t="shared" si="15"/>
        <v>302.40000000000003</v>
      </c>
      <c r="X344" s="36">
        <f>IFERROR(IF(W344=0,"",ROUNDUP(W344/H344,0)*0.00753),"")</f>
        <v>0.54215999999999998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20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20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20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20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20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16</v>
      </c>
      <c r="W349" s="306">
        <f t="shared" si="15"/>
        <v>16.8</v>
      </c>
      <c r="X349" s="36">
        <f t="shared" si="16"/>
        <v>4.0160000000000001E-2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20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20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20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20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30</v>
      </c>
      <c r="W353" s="306">
        <f t="shared" si="15"/>
        <v>31.5</v>
      </c>
      <c r="X353" s="36">
        <f t="shared" si="16"/>
        <v>7.5300000000000006E-2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20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397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129.04761904761904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131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0.92869999999999997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496</v>
      </c>
      <c r="W356" s="307">
        <f>IFERROR(SUM(W342:W354),"0")</f>
        <v>501.90000000000003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20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20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20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20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20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20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1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0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0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0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22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0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08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0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5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0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71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70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0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0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0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5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520</v>
      </c>
      <c r="W387" s="306">
        <f t="shared" ref="W387:W393" si="17">IFERROR(IF(V387="",0,CEILING((V387/$H387),1)*$H387),"")</f>
        <v>520.80000000000007</v>
      </c>
      <c r="X387" s="36">
        <f>IFERROR(IF(W387=0,"",ROUNDUP(W387/H387,0)*0.00753),"")</f>
        <v>0.93371999999999999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0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75</v>
      </c>
      <c r="W388" s="306">
        <f t="shared" si="17"/>
        <v>76</v>
      </c>
      <c r="X388" s="36">
        <f>IFERROR(IF(W388=0,"",ROUNDUP(W388/H388,0)*0.00937),"")</f>
        <v>0.17802999999999999</v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0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52.5</v>
      </c>
      <c r="W389" s="306">
        <f t="shared" si="17"/>
        <v>52.5</v>
      </c>
      <c r="X389" s="36">
        <f>IFERROR(IF(W389=0,"",ROUNDUP(W389/H389,0)*0.00502),"")</f>
        <v>0.1255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0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0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0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0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167.5595238095238</v>
      </c>
      <c r="W394" s="307">
        <f>IFERROR(W387/H387,"0")+IFERROR(W388/H388,"0")+IFERROR(W389/H389,"0")+IFERROR(W390/H390,"0")+IFERROR(W391/H391,"0")+IFERROR(W392/H392,"0")+IFERROR(W393/H393,"0")</f>
        <v>168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1.23725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647.5</v>
      </c>
      <c r="W395" s="307">
        <f>IFERROR(SUM(W387:W393),"0")</f>
        <v>649.30000000000007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0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3" t="s">
        <v>559</v>
      </c>
      <c r="B400" s="364"/>
      <c r="C400" s="364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48"/>
      <c r="Z400" s="48"/>
    </row>
    <row r="401" spans="1:53" ht="16.5" customHeight="1" x14ac:dyDescent="0.25">
      <c r="A401" s="370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0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0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119</v>
      </c>
      <c r="W404" s="306">
        <f t="shared" si="18"/>
        <v>121.44000000000001</v>
      </c>
      <c r="X404" s="36">
        <f>IFERROR(IF(W404=0,"",ROUNDUP(W404/H404,0)*0.01196),"")</f>
        <v>0.27507999999999999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0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68</v>
      </c>
      <c r="W405" s="306">
        <f t="shared" si="18"/>
        <v>68.64</v>
      </c>
      <c r="X405" s="36">
        <f>IFERROR(IF(W405=0,"",ROUNDUP(W405/H405,0)*0.01196),"")</f>
        <v>0.15548000000000001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0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0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0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0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0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0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35.416666666666664</v>
      </c>
      <c r="W412" s="307">
        <f>IFERROR(W403/H403,"0")+IFERROR(W404/H404,"0")+IFERROR(W405/H405,"0")+IFERROR(W406/H406,"0")+IFERROR(W407/H407,"0")+IFERROR(W408/H408,"0")+IFERROR(W409/H409,"0")+IFERROR(W410/H410,"0")+IFERROR(W411/H411,"0")</f>
        <v>36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0.43056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187</v>
      </c>
      <c r="W413" s="307">
        <f>IFERROR(SUM(W403:W411),"0")</f>
        <v>190.08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0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90</v>
      </c>
      <c r="W415" s="306">
        <f>IFERROR(IF(V415="",0,CEILING((V415/$H415),1)*$H415),"")</f>
        <v>95.04</v>
      </c>
      <c r="X415" s="36">
        <f>IFERROR(IF(W415=0,"",ROUNDUP(W415/H415,0)*0.01196),"")</f>
        <v>0.21528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0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17.045454545454543</v>
      </c>
      <c r="W417" s="307">
        <f>IFERROR(W415/H415,"0")+IFERROR(W416/H416,"0")</f>
        <v>18</v>
      </c>
      <c r="X417" s="307">
        <f>IFERROR(IF(X415="",0,X415),"0")+IFERROR(IF(X416="",0,X416),"0")</f>
        <v>0.21528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90</v>
      </c>
      <c r="W418" s="307">
        <f>IFERROR(SUM(W415:W416),"0")</f>
        <v>95.04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0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4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175</v>
      </c>
      <c r="W420" s="306">
        <f t="shared" ref="W420:W425" si="19">IFERROR(IF(V420="",0,CEILING((V420/$H420),1)*$H420),"")</f>
        <v>179.52</v>
      </c>
      <c r="X420" s="36">
        <f>IFERROR(IF(W420=0,"",ROUNDUP(W420/H420,0)*0.01196),"")</f>
        <v>0.40664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0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0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79</v>
      </c>
      <c r="W422" s="306">
        <f t="shared" si="19"/>
        <v>79.2</v>
      </c>
      <c r="X422" s="36">
        <f>IFERROR(IF(W422=0,"",ROUNDUP(W422/H422,0)*0.01196),"")</f>
        <v>0.1794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0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8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0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31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0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399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48.106060606060602</v>
      </c>
      <c r="W426" s="307">
        <f>IFERROR(W420/H420,"0")+IFERROR(W421/H421,"0")+IFERROR(W422/H422,"0")+IFERROR(W423/H423,"0")+IFERROR(W424/H424,"0")+IFERROR(W425/H425,"0")</f>
        <v>49</v>
      </c>
      <c r="X426" s="307">
        <f>IFERROR(IF(X420="",0,X420),"0")+IFERROR(IF(X421="",0,X421),"0")+IFERROR(IF(X422="",0,X422),"0")+IFERROR(IF(X423="",0,X423),"0")+IFERROR(IF(X424="",0,X424),"0")+IFERROR(IF(X425="",0,X425),"0")</f>
        <v>0.58604000000000001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254</v>
      </c>
      <c r="W427" s="307">
        <f>IFERROR(SUM(W420:W425),"0")</f>
        <v>258.72000000000003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0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0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40</v>
      </c>
      <c r="W430" s="306">
        <f>IFERROR(IF(V430="",0,CEILING((V430/$H430),1)*$H430),"")</f>
        <v>46.8</v>
      </c>
      <c r="X430" s="36">
        <f>IFERROR(IF(W430=0,"",ROUNDUP(W430/H430,0)*0.02175),"")</f>
        <v>0.1305</v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5.1282051282051286</v>
      </c>
      <c r="W431" s="307">
        <f>IFERROR(W429/H429,"0")+IFERROR(W430/H430,"0")</f>
        <v>6</v>
      </c>
      <c r="X431" s="307">
        <f>IFERROR(IF(X429="",0,X429),"0")+IFERROR(IF(X430="",0,X430),"0")</f>
        <v>0.1305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40</v>
      </c>
      <c r="W432" s="307">
        <f>IFERROR(SUM(W429:W430),"0")</f>
        <v>46.8</v>
      </c>
      <c r="X432" s="37"/>
      <c r="Y432" s="308"/>
      <c r="Z432" s="308"/>
    </row>
    <row r="433" spans="1:53" ht="27.75" customHeight="1" x14ac:dyDescent="0.2">
      <c r="A433" s="363" t="s">
        <v>601</v>
      </c>
      <c r="B433" s="364"/>
      <c r="C433" s="364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48"/>
      <c r="Z433" s="48"/>
    </row>
    <row r="434" spans="1:53" ht="16.5" customHeight="1" x14ac:dyDescent="0.25">
      <c r="A434" s="370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0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2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0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0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0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6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0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1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0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74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80</v>
      </c>
      <c r="W446" s="306">
        <f>IFERROR(IF(V446="",0,CEILING((V446/$H446),1)*$H446),"")</f>
        <v>84</v>
      </c>
      <c r="X446" s="36">
        <f>IFERROR(IF(W446=0,"",ROUNDUP(W446/H446,0)*0.00753),"")</f>
        <v>0.15060000000000001</v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0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7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90</v>
      </c>
      <c r="W447" s="306">
        <f>IFERROR(IF(V447="",0,CEILING((V447/$H447),1)*$H447),"")</f>
        <v>92.4</v>
      </c>
      <c r="X447" s="36">
        <f>IFERROR(IF(W447=0,"",ROUNDUP(W447/H447,0)*0.00753),"")</f>
        <v>0.16566</v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40.476190476190474</v>
      </c>
      <c r="W448" s="307">
        <f>IFERROR(W446/H446,"0")+IFERROR(W447/H447,"0")</f>
        <v>42</v>
      </c>
      <c r="X448" s="307">
        <f>IFERROR(IF(X446="",0,X446),"0")+IFERROR(IF(X447="",0,X447),"0")</f>
        <v>0.31625999999999999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170</v>
      </c>
      <c r="W449" s="307">
        <f>IFERROR(SUM(W446:W447),"0")</f>
        <v>176.4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0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9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0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7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70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0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75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9"/>
      <c r="N460" s="381" t="s">
        <v>630</v>
      </c>
      <c r="O460" s="362"/>
      <c r="P460" s="362"/>
      <c r="Q460" s="362"/>
      <c r="R460" s="362"/>
      <c r="S460" s="362"/>
      <c r="T460" s="34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9746.5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9851.8399999999983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69"/>
      <c r="N461" s="381" t="s">
        <v>631</v>
      </c>
      <c r="O461" s="362"/>
      <c r="P461" s="362"/>
      <c r="Q461" s="362"/>
      <c r="R461" s="362"/>
      <c r="S461" s="362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10310.289459217849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10422.43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69"/>
      <c r="N462" s="381" t="s">
        <v>632</v>
      </c>
      <c r="O462" s="362"/>
      <c r="P462" s="362"/>
      <c r="Q462" s="362"/>
      <c r="R462" s="362"/>
      <c r="S462" s="362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18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18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69"/>
      <c r="N463" s="381" t="s">
        <v>634</v>
      </c>
      <c r="O463" s="362"/>
      <c r="P463" s="362"/>
      <c r="Q463" s="362"/>
      <c r="R463" s="362"/>
      <c r="S463" s="362"/>
      <c r="T463" s="342"/>
      <c r="U463" s="37" t="s">
        <v>65</v>
      </c>
      <c r="V463" s="307">
        <f>GrossWeightTotal+PalletQtyTotal*25</f>
        <v>10760.289459217849</v>
      </c>
      <c r="W463" s="307">
        <f>GrossWeightTotalR+PalletQtyTotalR*25</f>
        <v>10872.43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69"/>
      <c r="N464" s="381" t="s">
        <v>635</v>
      </c>
      <c r="O464" s="362"/>
      <c r="P464" s="362"/>
      <c r="Q464" s="362"/>
      <c r="R464" s="362"/>
      <c r="S464" s="362"/>
      <c r="T464" s="34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1652.672609202061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1672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69"/>
      <c r="N465" s="381" t="s">
        <v>636</v>
      </c>
      <c r="O465" s="362"/>
      <c r="P465" s="362"/>
      <c r="Q465" s="362"/>
      <c r="R465" s="362"/>
      <c r="S465" s="362"/>
      <c r="T465" s="34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20.340439999999997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298" t="s">
        <v>559</v>
      </c>
      <c r="S467" s="321" t="s">
        <v>601</v>
      </c>
      <c r="T467" s="322"/>
      <c r="U467" s="299"/>
      <c r="Z467" s="52"/>
      <c r="AC467" s="299"/>
    </row>
    <row r="468" spans="1:29" ht="14.25" customHeight="1" thickTop="1" x14ac:dyDescent="0.2">
      <c r="A468" s="621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299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299"/>
      <c r="Z468" s="52"/>
      <c r="AC468" s="299"/>
    </row>
    <row r="469" spans="1:29" ht="13.5" customHeight="1" thickBot="1" x14ac:dyDescent="0.25">
      <c r="A469" s="622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75.599999999999994</v>
      </c>
      <c r="C470" s="46">
        <f>IFERROR(W49*1,"0")</f>
        <v>10.8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642</v>
      </c>
      <c r="F470" s="46">
        <f>IFERROR(W122*1,"0")+IFERROR(W123*1,"0")+IFERROR(W124*1,"0")</f>
        <v>597.6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84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1822.6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318.89999999999998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4290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92.1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501.90000000000003</v>
      </c>
      <c r="Q470" s="46">
        <f>IFERROR(W382*1,"0")+IFERROR(W383*1,"0")+IFERROR(W387*1,"0")+IFERROR(W388*1,"0")+IFERROR(W389*1,"0")+IFERROR(W390*1,"0")+IFERROR(W391*1,"0")+IFERROR(W392*1,"0")+IFERROR(W393*1,"0")+IFERROR(W397*1,"0")</f>
        <v>649.30000000000007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590.64</v>
      </c>
      <c r="S470" s="46">
        <f>IFERROR(W436*1,"0")+IFERROR(W437*1,"0")+IFERROR(W441*1,"0")+IFERROR(W442*1,"0")+IFERROR(W446*1,"0")+IFERROR(W447*1,"0")+IFERROR(W451*1,"0")+IFERROR(W452*1,"0")</f>
        <v>176.4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174:E174"/>
    <mergeCell ref="N134:T134"/>
    <mergeCell ref="A152:M153"/>
    <mergeCell ref="D117:E117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N147:T147"/>
    <mergeCell ref="A98:M99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2023-12-07T12:51:31Z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