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5C615F-6AA7-40E8-83DA-BC4036DF8F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272" i="1" l="1"/>
  <c r="X275" i="1"/>
  <c r="Z77" i="1"/>
  <c r="Z87" i="1"/>
  <c r="BN81" i="1"/>
  <c r="BN83" i="1"/>
  <c r="BN85" i="1"/>
  <c r="Y103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Z32" i="1"/>
  <c r="Z39" i="1"/>
  <c r="BN36" i="1"/>
  <c r="BP36" i="1"/>
  <c r="BN37" i="1"/>
  <c r="Y61" i="1"/>
  <c r="BN53" i="1"/>
  <c r="BN55" i="1"/>
  <c r="BN57" i="1"/>
  <c r="BN59" i="1"/>
  <c r="Y66" i="1"/>
  <c r="Y78" i="1"/>
  <c r="BN76" i="1"/>
  <c r="Y87" i="1"/>
  <c r="Y94" i="1"/>
  <c r="Z94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Y23" i="1"/>
  <c r="BP22" i="1"/>
  <c r="BN22" i="1"/>
  <c r="Y24" i="1"/>
  <c r="X27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2" i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<sst xmlns="http://schemas.openxmlformats.org/spreadsheetml/2006/main" count="1276" uniqueCount="410">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</sst>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45523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28</v>
      </c>
      <c r="Y30" s="191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70</v>
      </c>
      <c r="Y32" s="192">
        <f>IFERROR(SUM(Y28:Y31),"0")</f>
        <v>70</v>
      </c>
      <c r="Z32" s="192">
        <f>IFERROR(IF(Z28="",0,Z28),"0")+IFERROR(IF(Z29="",0,Z29),"0")+IFERROR(IF(Z30="",0,Z30),"0")+IFERROR(IF(Z31="",0,Z31),"0")</f>
        <v>0.6552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105</v>
      </c>
      <c r="Y33" s="192">
        <f>IFERROR(SUMPRODUCT(Y28:Y31*H28:H31),"0")</f>
        <v>105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12</v>
      </c>
      <c r="Y60" s="192">
        <f>IFERROR(SUM(Y52:Y59),"0")</f>
        <v>12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86.4</v>
      </c>
      <c r="Y61" s="192">
        <f>IFERROR(SUMPRODUCT(Y52:Y59*H52:H59),"0")</f>
        <v>86.4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hidden="1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42</v>
      </c>
      <c r="Y77" s="192">
        <f>IFERROR(SUM(Y75:Y76),"0")</f>
        <v>42</v>
      </c>
      <c r="Z77" s="192">
        <f>IFERROR(IF(Z75="",0,Z75),"0")+IFERROR(IF(Z76="",0,Z76),"0")</f>
        <v>0.75095999999999996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151.19999999999999</v>
      </c>
      <c r="Y78" s="192">
        <f>IFERROR(SUMPRODUCT(Y75:Y76*H75:H76),"0")</f>
        <v>151.19999999999999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28</v>
      </c>
      <c r="Y82" s="191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28</v>
      </c>
      <c r="Y83" s="191">
        <f t="shared" si="6"/>
        <v>28</v>
      </c>
      <c r="Z83" s="36">
        <f t="shared" si="7"/>
        <v>0.50063999999999997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84</v>
      </c>
      <c r="Y87" s="192">
        <f>IFERROR(SUM(Y81:Y86),"0")</f>
        <v>84</v>
      </c>
      <c r="Z87" s="192">
        <f>IFERROR(IF(Z81="",0,Z81),"0")+IFERROR(IF(Z82="",0,Z82),"0")+IFERROR(IF(Z83="",0,Z83),"0")+IFERROR(IF(Z84="",0,Z84),"0")+IFERROR(IF(Z85="",0,Z85),"0")+IFERROR(IF(Z86="",0,Z86),"0")</f>
        <v>1.5019199999999999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302.39999999999998</v>
      </c>
      <c r="Y88" s="192">
        <f>IFERROR(SUMPRODUCT(Y81:Y86*H81:H86),"0")</f>
        <v>302.39999999999998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12</v>
      </c>
      <c r="Y93" s="191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40</v>
      </c>
      <c r="Y94" s="192">
        <f>IFERROR(SUM(Y91:Y93),"0")</f>
        <v>40</v>
      </c>
      <c r="Z94" s="192">
        <f>IFERROR(IF(Z91="",0,Z91),"0")+IFERROR(IF(Z92="",0,Z92),"0")+IFERROR(IF(Z93="",0,Z93),"0")</f>
        <v>0.56735999999999998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117.6</v>
      </c>
      <c r="Y95" s="192">
        <f>IFERROR(SUMPRODUCT(Y91:Y93*H91:H93),"0")</f>
        <v>117.6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hidden="1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28</v>
      </c>
      <c r="Y107" s="19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42</v>
      </c>
      <c r="Y108" s="19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155.55119999999999</v>
      </c>
      <c r="BN108" s="67">
        <f>IFERROR(Y108*I108,"0")</f>
        <v>155.55119999999999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1.2515999999999998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14</v>
      </c>
      <c r="Y114" s="191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14</v>
      </c>
      <c r="Y115" s="192">
        <f>IFERROR(SUM(Y113:Y114),"0")</f>
        <v>14</v>
      </c>
      <c r="Z115" s="192">
        <f>IFERROR(IF(Z113="",0,Z113),"0")+IFERROR(IF(Z114="",0,Z114),"0")</f>
        <v>0.25031999999999999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42</v>
      </c>
      <c r="Y116" s="192">
        <f>IFERROR(SUMPRODUCT(Y113:Y114*H113:H114),"0")</f>
        <v>42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14</v>
      </c>
      <c r="Y120" s="19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28</v>
      </c>
      <c r="Y121" s="192">
        <f>IFERROR(SUM(Y119:Y120),"0")</f>
        <v>28</v>
      </c>
      <c r="Z121" s="192">
        <f>IFERROR(IF(Z119="",0,Z119),"0")+IFERROR(IF(Z120="",0,Z120),"0")</f>
        <v>0.50063999999999997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84</v>
      </c>
      <c r="Y122" s="192">
        <f>IFERROR(SUMPRODUCT(Y119:Y120*H119:H120),"0")</f>
        <v>84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hidden="1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hidden="1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hidden="1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hidden="1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idden="1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hidden="1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24</v>
      </c>
      <c r="Y201" s="191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24</v>
      </c>
      <c r="Y204" s="192">
        <f>IFERROR(SUM(Y200:Y203),"0")</f>
        <v>24</v>
      </c>
      <c r="Z204" s="192">
        <f>IFERROR(IF(Z200="",0,Z200),"0")+IFERROR(IF(Z201="",0,Z201),"0")+IFERROR(IF(Z202="",0,Z202),"0")+IFERROR(IF(Z203="",0,Z203),"0")</f>
        <v>0.372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172.8</v>
      </c>
      <c r="Y205" s="192">
        <f>IFERROR(SUMPRODUCT(Y200:Y203*H200:H203),"0")</f>
        <v>172.8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18</v>
      </c>
      <c r="Y234" s="191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18</v>
      </c>
      <c r="Y235" s="192">
        <f>IFERROR(SUM(Y234:Y234),"0")</f>
        <v>18</v>
      </c>
      <c r="Z235" s="192">
        <f>IFERROR(IF(Z234="",0,Z234),"0")</f>
        <v>9.0359999999999996E-2</v>
      </c>
      <c r="AA235" s="193"/>
      <c r="AB235" s="193"/>
      <c r="AC235" s="193"/>
    </row>
    <row r="236" spans="1:68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32.4</v>
      </c>
      <c r="Y236" s="192">
        <f>IFERROR(SUMPRODUCT(Y234:Y234*H234:H234),"0")</f>
        <v>32.4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12</v>
      </c>
      <c r="Y238" s="191">
        <f>IFERROR(IF(X238="","",X238),"")</f>
        <v>12</v>
      </c>
      <c r="Z238" s="36">
        <f>IFERROR(IF(X238="","",X238*0.0155),"")</f>
        <v>0.186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75.12</v>
      </c>
      <c r="BN238" s="67">
        <f>IFERROR(Y238*I238,"0")</f>
        <v>75.12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12</v>
      </c>
      <c r="Y240" s="192">
        <f>IFERROR(SUM(Y238:Y239),"0")</f>
        <v>12</v>
      </c>
      <c r="Z240" s="192">
        <f>IFERROR(IF(Z238="",0,Z238),"0")+IFERROR(IF(Z239="",0,Z239),"0")</f>
        <v>0.186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72</v>
      </c>
      <c r="Y241" s="192">
        <f>IFERROR(SUMPRODUCT(Y238:Y239*H238:H239),"0")</f>
        <v>72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28</v>
      </c>
      <c r="Y243" s="191">
        <f>IFERROR(IF(X243="","",X243),"")</f>
        <v>28</v>
      </c>
      <c r="Z243" s="36">
        <f>IFERROR(IF(X243="","",X243*0.00936),"")</f>
        <v>0.26207999999999998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80.936800000000005</v>
      </c>
      <c r="BN243" s="67">
        <f>IFERROR(Y243*I243,"0")</f>
        <v>80.936800000000005</v>
      </c>
      <c r="BO243" s="67">
        <f>IFERROR(X243/J243,"0")</f>
        <v>0.22222222222222221</v>
      </c>
      <c r="BP243" s="67">
        <f>IFERROR(Y243/J243,"0")</f>
        <v>0.22222222222222221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28</v>
      </c>
      <c r="Y247" s="192">
        <f>IFERROR(SUM(Y243:Y246),"0")</f>
        <v>28</v>
      </c>
      <c r="Z247" s="192">
        <f>IFERROR(IF(Z243="",0,Z243),"0")+IFERROR(IF(Z244="",0,Z244),"0")+IFERROR(IF(Z245="",0,Z245),"0")+IFERROR(IF(Z246="",0,Z246),"0")</f>
        <v>0.26207999999999998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75.600000000000009</v>
      </c>
      <c r="Y248" s="192">
        <f>IFERROR(SUMPRODUCT(Y243:Y246*H243:H246),"0")</f>
        <v>75.600000000000009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14</v>
      </c>
      <c r="Y251" s="191">
        <f t="shared" si="18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54.488</v>
      </c>
      <c r="BN251" s="67">
        <f t="shared" si="20"/>
        <v>54.488</v>
      </c>
      <c r="BO251" s="67">
        <f t="shared" si="21"/>
        <v>0.1111111111111111</v>
      </c>
      <c r="BP251" s="67">
        <f t="shared" si="22"/>
        <v>0.1111111111111111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12</v>
      </c>
      <c r="Y253" s="191">
        <f t="shared" si="18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68.820000000000007</v>
      </c>
      <c r="BN253" s="67">
        <f t="shared" si="20"/>
        <v>68.820000000000007</v>
      </c>
      <c r="BO253" s="67">
        <f t="shared" si="21"/>
        <v>0.14285714285714285</v>
      </c>
      <c r="BP253" s="67">
        <f t="shared" si="22"/>
        <v>0.14285714285714285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14</v>
      </c>
      <c r="Y255" s="191">
        <f t="shared" si="18"/>
        <v>14</v>
      </c>
      <c r="Z255" s="36">
        <f t="shared" si="23"/>
        <v>0.13103999999999999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44.688000000000002</v>
      </c>
      <c r="BN255" s="67">
        <f t="shared" si="20"/>
        <v>44.688000000000002</v>
      </c>
      <c r="BO255" s="67">
        <f t="shared" si="21"/>
        <v>0.1111111111111111</v>
      </c>
      <c r="BP255" s="67">
        <f t="shared" si="22"/>
        <v>0.1111111111111111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56</v>
      </c>
      <c r="Y258" s="191">
        <f t="shared" si="18"/>
        <v>56</v>
      </c>
      <c r="Z258" s="36">
        <f t="shared" si="23"/>
        <v>0.52415999999999996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217.952</v>
      </c>
      <c r="BN258" s="67">
        <f t="shared" si="20"/>
        <v>217.952</v>
      </c>
      <c r="BO258" s="67">
        <f t="shared" si="21"/>
        <v>0.44444444444444442</v>
      </c>
      <c r="BP258" s="67">
        <f t="shared" si="22"/>
        <v>0.44444444444444442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96</v>
      </c>
      <c r="Y269" s="192">
        <f>IFERROR(SUM(Y250:Y268),"0")</f>
        <v>96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0.97223999999999999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367</v>
      </c>
      <c r="Y270" s="192">
        <f>IFERROR(SUMPRODUCT(Y250:Y268*H250:H268),"0")</f>
        <v>367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2244.3999999999996</v>
      </c>
      <c r="Y271" s="192">
        <f>IFERROR(Y24+Y33+Y40+Y49+Y61+Y67+Y72+Y78+Y88+Y95+Y104+Y110+Y116+Y122+Y127+Y133+Y138+Y145+Y149+Y157+Y162+Y170+Y174+Y179+Y187+Y197+Y205+Y211+Y217+Y224+Y232+Y236+Y241+Y248+Y270,"0")</f>
        <v>2244.3999999999996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2527.7960000000003</v>
      </c>
      <c r="Y272" s="192">
        <f>IFERROR(SUM(BN22:BN268),"0")</f>
        <v>2527.7960000000003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8</v>
      </c>
      <c r="Y273" s="38">
        <f>ROUNDUP(SUM(BP22:BP268),0)</f>
        <v>8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2727.7960000000003</v>
      </c>
      <c r="Y274" s="192">
        <f>GrossWeightTotalR+PalletQtyTotalR*25</f>
        <v>2727.7960000000003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644</v>
      </c>
      <c r="Y275" s="192">
        <f>IFERROR(Y23+Y32+Y39+Y48+Y60+Y66+Y71+Y77+Y87+Y94+Y103+Y109+Y115+Y121+Y126+Y132+Y137+Y144+Y148+Y156+Y161+Y169+Y173+Y178+Y186+Y196+Y204+Y210+Y216+Y223+Y231+Y235+Y240+Y247+Y269,"0")</f>
        <v>644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9.3562799999999982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86.4</v>
      </c>
      <c r="G281" s="46">
        <f>IFERROR(X64*H64,"0")+IFERROR(X65*H65,"0")</f>
        <v>0</v>
      </c>
      <c r="H281" s="46">
        <f>IFERROR(X70*H70,"0")</f>
        <v>0</v>
      </c>
      <c r="I281" s="46">
        <f>IFERROR(X75*H75,"0")+IFERROR(X76*H76,"0")</f>
        <v>151.19999999999999</v>
      </c>
      <c r="J281" s="46">
        <f>IFERROR(X81*H81,"0")+IFERROR(X82*H82,"0")+IFERROR(X83*H83,"0")+IFERROR(X84*H84,"0")+IFERROR(X85*H85,"0")+IFERROR(X86*H86,"0")</f>
        <v>302.39999999999998</v>
      </c>
      <c r="K281" s="46">
        <f>IFERROR(X91*H91,"0")+IFERROR(X92*H92,"0")+IFERROR(X93*H93,"0")</f>
        <v>117.6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210</v>
      </c>
      <c r="N281" s="188"/>
      <c r="O281" s="46">
        <f>IFERROR(X113*H113,"0")+IFERROR(X114*H114,"0")</f>
        <v>42</v>
      </c>
      <c r="P281" s="46">
        <f>IFERROR(X119*H119,"0")+IFERROR(X120*H120,"0")</f>
        <v>84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172.8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547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475.2</v>
      </c>
      <c r="B284" s="60">
        <f>SUMPRODUCT(--(BB:BB="ПГП"),--(W:W="кор"),H:H,Y:Y)+SUMPRODUCT(--(BB:BB="ПГП"),--(W:W="кг"),Y:Y)</f>
        <v>1769.2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5,00"/>
        <filter val="117,60"/>
        <filter val="12,00"/>
        <filter val="14,00"/>
        <filter val="151,20"/>
        <filter val="168,00"/>
        <filter val="172,80"/>
        <filter val="18,00"/>
        <filter val="2 244,40"/>
        <filter val="2 527,80"/>
        <filter val="2 727,80"/>
        <filter val="210,00"/>
        <filter val="216,00"/>
        <filter val="24,00"/>
        <filter val="28,00"/>
        <filter val="302,40"/>
        <filter val="32,40"/>
        <filter val="36,00"/>
        <filter val="367,00"/>
        <filter val="40,00"/>
        <filter val="42,00"/>
        <filter val="56,00"/>
        <filter val="644,00"/>
        <filter val="70,00"/>
        <filter val="72,00"/>
        <filter val="75,60"/>
        <filter val="8"/>
        <filter val="84,00"/>
        <filter val="86,40"/>
        <filter val="96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