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0,23\27,10,23 на 29,10,23 КИ\"/>
    </mc:Choice>
  </mc:AlternateContent>
  <xr:revisionPtr revIDLastSave="0" documentId="13_ncr:1_{C2535437-39A5-4B71-946B-A0CF837EC9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1" l="1"/>
  <c r="V455" i="1"/>
  <c r="V457" i="1" s="1"/>
  <c r="V453" i="1"/>
  <c r="V452" i="1"/>
  <c r="W451" i="1"/>
  <c r="W452" i="1" s="1"/>
  <c r="N451" i="1"/>
  <c r="V448" i="1"/>
  <c r="V447" i="1"/>
  <c r="W446" i="1"/>
  <c r="X446" i="1" s="1"/>
  <c r="W445" i="1"/>
  <c r="X445" i="1" s="1"/>
  <c r="V443" i="1"/>
  <c r="V442" i="1"/>
  <c r="W441" i="1"/>
  <c r="X441" i="1" s="1"/>
  <c r="W440" i="1"/>
  <c r="W443" i="1" s="1"/>
  <c r="V438" i="1"/>
  <c r="V437" i="1"/>
  <c r="W436" i="1"/>
  <c r="X436" i="1" s="1"/>
  <c r="W435" i="1"/>
  <c r="V433" i="1"/>
  <c r="V432" i="1"/>
  <c r="W431" i="1"/>
  <c r="X431" i="1" s="1"/>
  <c r="W430" i="1"/>
  <c r="V426" i="1"/>
  <c r="V425" i="1"/>
  <c r="W424" i="1"/>
  <c r="X424" i="1" s="1"/>
  <c r="N424" i="1"/>
  <c r="W423" i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V412" i="1"/>
  <c r="V411" i="1"/>
  <c r="W410" i="1"/>
  <c r="X410" i="1" s="1"/>
  <c r="N410" i="1"/>
  <c r="X409" i="1"/>
  <c r="X411" i="1" s="1"/>
  <c r="W409" i="1"/>
  <c r="N409" i="1"/>
  <c r="V407" i="1"/>
  <c r="V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V393" i="1"/>
  <c r="V392" i="1"/>
  <c r="W391" i="1"/>
  <c r="W393" i="1" s="1"/>
  <c r="N391" i="1"/>
  <c r="V389" i="1"/>
  <c r="V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W383" i="1"/>
  <c r="X383" i="1" s="1"/>
  <c r="N383" i="1"/>
  <c r="X382" i="1"/>
  <c r="W382" i="1"/>
  <c r="N382" i="1"/>
  <c r="W381" i="1"/>
  <c r="X381" i="1" s="1"/>
  <c r="N381" i="1"/>
  <c r="V379" i="1"/>
  <c r="V378" i="1"/>
  <c r="W377" i="1"/>
  <c r="X377" i="1" s="1"/>
  <c r="N377" i="1"/>
  <c r="W376" i="1"/>
  <c r="X376" i="1" s="1"/>
  <c r="N376" i="1"/>
  <c r="V373" i="1"/>
  <c r="V372" i="1"/>
  <c r="W371" i="1"/>
  <c r="W373" i="1" s="1"/>
  <c r="V369" i="1"/>
  <c r="V368" i="1"/>
  <c r="W367" i="1"/>
  <c r="W368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W360" i="1"/>
  <c r="N360" i="1"/>
  <c r="V358" i="1"/>
  <c r="V357" i="1"/>
  <c r="W356" i="1"/>
  <c r="X356" i="1" s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N344" i="1"/>
  <c r="V342" i="1"/>
  <c r="V341" i="1"/>
  <c r="W340" i="1"/>
  <c r="X340" i="1" s="1"/>
  <c r="N340" i="1"/>
  <c r="W339" i="1"/>
  <c r="N339" i="1"/>
  <c r="V335" i="1"/>
  <c r="V334" i="1"/>
  <c r="W333" i="1"/>
  <c r="W335" i="1" s="1"/>
  <c r="N333" i="1"/>
  <c r="V331" i="1"/>
  <c r="V330" i="1"/>
  <c r="W329" i="1"/>
  <c r="X329" i="1" s="1"/>
  <c r="N329" i="1"/>
  <c r="W328" i="1"/>
  <c r="X328" i="1" s="1"/>
  <c r="N328" i="1"/>
  <c r="X327" i="1"/>
  <c r="W327" i="1"/>
  <c r="N327" i="1"/>
  <c r="W326" i="1"/>
  <c r="X326" i="1" s="1"/>
  <c r="N326" i="1"/>
  <c r="V324" i="1"/>
  <c r="V323" i="1"/>
  <c r="W322" i="1"/>
  <c r="X322" i="1" s="1"/>
  <c r="N322" i="1"/>
  <c r="W321" i="1"/>
  <c r="W323" i="1" s="1"/>
  <c r="N321" i="1"/>
  <c r="V319" i="1"/>
  <c r="V318" i="1"/>
  <c r="W317" i="1"/>
  <c r="X317" i="1" s="1"/>
  <c r="N317" i="1"/>
  <c r="W316" i="1"/>
  <c r="X316" i="1" s="1"/>
  <c r="N316" i="1"/>
  <c r="W315" i="1"/>
  <c r="X315" i="1" s="1"/>
  <c r="N315" i="1"/>
  <c r="W314" i="1"/>
  <c r="W318" i="1" s="1"/>
  <c r="N314" i="1"/>
  <c r="V311" i="1"/>
  <c r="V310" i="1"/>
  <c r="W309" i="1"/>
  <c r="W310" i="1" s="1"/>
  <c r="N309" i="1"/>
  <c r="V307" i="1"/>
  <c r="V306" i="1"/>
  <c r="X305" i="1"/>
  <c r="X306" i="1" s="1"/>
  <c r="W305" i="1"/>
  <c r="W306" i="1" s="1"/>
  <c r="N305" i="1"/>
  <c r="V303" i="1"/>
  <c r="V302" i="1"/>
  <c r="W301" i="1"/>
  <c r="X301" i="1" s="1"/>
  <c r="N301" i="1"/>
  <c r="W300" i="1"/>
  <c r="X300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5" i="1"/>
  <c r="V284" i="1"/>
  <c r="W283" i="1"/>
  <c r="N283" i="1"/>
  <c r="V281" i="1"/>
  <c r="V280" i="1"/>
  <c r="X279" i="1"/>
  <c r="X280" i="1" s="1"/>
  <c r="W279" i="1"/>
  <c r="W281" i="1" s="1"/>
  <c r="N279" i="1"/>
  <c r="V277" i="1"/>
  <c r="V276" i="1"/>
  <c r="W275" i="1"/>
  <c r="X275" i="1" s="1"/>
  <c r="W274" i="1"/>
  <c r="X274" i="1" s="1"/>
  <c r="N274" i="1"/>
  <c r="X273" i="1"/>
  <c r="W273" i="1"/>
  <c r="N273" i="1"/>
  <c r="V271" i="1"/>
  <c r="V270" i="1"/>
  <c r="W269" i="1"/>
  <c r="W270" i="1" s="1"/>
  <c r="N269" i="1"/>
  <c r="V266" i="1"/>
  <c r="V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W241" i="1"/>
  <c r="X241" i="1" s="1"/>
  <c r="W240" i="1"/>
  <c r="V238" i="1"/>
  <c r="V237" i="1"/>
  <c r="W236" i="1"/>
  <c r="X236" i="1" s="1"/>
  <c r="N236" i="1"/>
  <c r="W235" i="1"/>
  <c r="X235" i="1" s="1"/>
  <c r="N235" i="1"/>
  <c r="W234" i="1"/>
  <c r="X234" i="1" s="1"/>
  <c r="X237" i="1" s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N224" i="1"/>
  <c r="V222" i="1"/>
  <c r="V221" i="1"/>
  <c r="W220" i="1"/>
  <c r="X220" i="1" s="1"/>
  <c r="N220" i="1"/>
  <c r="X219" i="1"/>
  <c r="W219" i="1"/>
  <c r="N219" i="1"/>
  <c r="W218" i="1"/>
  <c r="X218" i="1" s="1"/>
  <c r="N218" i="1"/>
  <c r="W217" i="1"/>
  <c r="X217" i="1" s="1"/>
  <c r="N217" i="1"/>
  <c r="V215" i="1"/>
  <c r="V214" i="1"/>
  <c r="W213" i="1"/>
  <c r="N213" i="1"/>
  <c r="V211" i="1"/>
  <c r="V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V192" i="1"/>
  <c r="V191" i="1"/>
  <c r="W190" i="1"/>
  <c r="X190" i="1" s="1"/>
  <c r="N190" i="1"/>
  <c r="W189" i="1"/>
  <c r="W191" i="1" s="1"/>
  <c r="N189" i="1"/>
  <c r="V187" i="1"/>
  <c r="V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X170" i="1" s="1"/>
  <c r="N170" i="1"/>
  <c r="V168" i="1"/>
  <c r="V167" i="1"/>
  <c r="W166" i="1"/>
  <c r="X166" i="1" s="1"/>
  <c r="N166" i="1"/>
  <c r="W165" i="1"/>
  <c r="X165" i="1" s="1"/>
  <c r="N165" i="1"/>
  <c r="W164" i="1"/>
  <c r="N164" i="1"/>
  <c r="W163" i="1"/>
  <c r="X163" i="1" s="1"/>
  <c r="N163" i="1"/>
  <c r="V161" i="1"/>
  <c r="V160" i="1"/>
  <c r="W159" i="1"/>
  <c r="X159" i="1" s="1"/>
  <c r="N159" i="1"/>
  <c r="W158" i="1"/>
  <c r="X158" i="1" s="1"/>
  <c r="V156" i="1"/>
  <c r="V155" i="1"/>
  <c r="W154" i="1"/>
  <c r="X154" i="1" s="1"/>
  <c r="N154" i="1"/>
  <c r="W153" i="1"/>
  <c r="X153" i="1" s="1"/>
  <c r="X155" i="1" s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X142" i="1"/>
  <c r="W142" i="1"/>
  <c r="N142" i="1"/>
  <c r="W141" i="1"/>
  <c r="N141" i="1"/>
  <c r="V138" i="1"/>
  <c r="V137" i="1"/>
  <c r="W136" i="1"/>
  <c r="X136" i="1" s="1"/>
  <c r="N136" i="1"/>
  <c r="W135" i="1"/>
  <c r="N135" i="1"/>
  <c r="W134" i="1"/>
  <c r="N134" i="1"/>
  <c r="V130" i="1"/>
  <c r="V129" i="1"/>
  <c r="W128" i="1"/>
  <c r="X128" i="1" s="1"/>
  <c r="N128" i="1"/>
  <c r="W127" i="1"/>
  <c r="X127" i="1" s="1"/>
  <c r="N127" i="1"/>
  <c r="W126" i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X105" i="1" s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X93" i="1" s="1"/>
  <c r="N93" i="1"/>
  <c r="W92" i="1"/>
  <c r="X92" i="1" s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W5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N27" i="1"/>
  <c r="W26" i="1"/>
  <c r="X26" i="1" s="1"/>
  <c r="N26" i="1"/>
  <c r="V24" i="1"/>
  <c r="V23" i="1"/>
  <c r="W22" i="1"/>
  <c r="W24" i="1" s="1"/>
  <c r="N22" i="1"/>
  <c r="H10" i="1"/>
  <c r="H9" i="1"/>
  <c r="A9" i="1"/>
  <c r="F10" i="1" s="1"/>
  <c r="D7" i="1"/>
  <c r="O6" i="1"/>
  <c r="N2" i="1"/>
  <c r="X314" i="1" l="1"/>
  <c r="X102" i="1"/>
  <c r="X210" i="1"/>
  <c r="W80" i="1"/>
  <c r="X114" i="1"/>
  <c r="X269" i="1"/>
  <c r="X270" i="1" s="1"/>
  <c r="X309" i="1"/>
  <c r="X310" i="1" s="1"/>
  <c r="X330" i="1"/>
  <c r="X333" i="1"/>
  <c r="X334" i="1" s="1"/>
  <c r="W334" i="1"/>
  <c r="X371" i="1"/>
  <c r="X372" i="1" s="1"/>
  <c r="W372" i="1"/>
  <c r="X391" i="1"/>
  <c r="X392" i="1" s="1"/>
  <c r="W392" i="1"/>
  <c r="W138" i="1"/>
  <c r="X135" i="1"/>
  <c r="W357" i="1"/>
  <c r="X344" i="1"/>
  <c r="X357" i="1" s="1"/>
  <c r="W447" i="1"/>
  <c r="W123" i="1"/>
  <c r="X117" i="1"/>
  <c r="X122" i="1" s="1"/>
  <c r="J9" i="1"/>
  <c r="X22" i="1"/>
  <c r="X23" i="1" s="1"/>
  <c r="W23" i="1"/>
  <c r="X59" i="1"/>
  <c r="H464" i="1"/>
  <c r="X141" i="1"/>
  <c r="X149" i="1" s="1"/>
  <c r="W161" i="1"/>
  <c r="W192" i="1"/>
  <c r="X189" i="1"/>
  <c r="X191" i="1" s="1"/>
  <c r="X221" i="1"/>
  <c r="W243" i="1"/>
  <c r="X240" i="1"/>
  <c r="X243" i="1" s="1"/>
  <c r="W244" i="1"/>
  <c r="W285" i="1"/>
  <c r="W284" i="1"/>
  <c r="X283" i="1"/>
  <c r="X284" i="1" s="1"/>
  <c r="X318" i="1"/>
  <c r="X364" i="1"/>
  <c r="V458" i="1"/>
  <c r="W32" i="1"/>
  <c r="W129" i="1"/>
  <c r="W155" i="1"/>
  <c r="X160" i="1"/>
  <c r="W238" i="1"/>
  <c r="X265" i="1"/>
  <c r="W271" i="1"/>
  <c r="X302" i="1"/>
  <c r="W307" i="1"/>
  <c r="W311" i="1"/>
  <c r="X378" i="1"/>
  <c r="X420" i="1"/>
  <c r="S464" i="1"/>
  <c r="W437" i="1"/>
  <c r="A10" i="1"/>
  <c r="B464" i="1"/>
  <c r="W455" i="1"/>
  <c r="W456" i="1"/>
  <c r="X27" i="1"/>
  <c r="X32" i="1" s="1"/>
  <c r="X35" i="1"/>
  <c r="X36" i="1" s="1"/>
  <c r="X39" i="1"/>
  <c r="X40" i="1" s="1"/>
  <c r="X43" i="1"/>
  <c r="X44" i="1" s="1"/>
  <c r="X49" i="1"/>
  <c r="X51" i="1" s="1"/>
  <c r="W59" i="1"/>
  <c r="D464" i="1"/>
  <c r="W60" i="1"/>
  <c r="X64" i="1"/>
  <c r="X79" i="1" s="1"/>
  <c r="W90" i="1"/>
  <c r="X82" i="1"/>
  <c r="X89" i="1" s="1"/>
  <c r="W89" i="1"/>
  <c r="W103" i="1"/>
  <c r="W114" i="1"/>
  <c r="W122" i="1"/>
  <c r="W215" i="1"/>
  <c r="X213" i="1"/>
  <c r="X214" i="1" s="1"/>
  <c r="W214" i="1"/>
  <c r="W232" i="1"/>
  <c r="X260" i="1"/>
  <c r="F9" i="1"/>
  <c r="V454" i="1"/>
  <c r="W33" i="1"/>
  <c r="W37" i="1"/>
  <c r="W41" i="1"/>
  <c r="W45" i="1"/>
  <c r="E464" i="1"/>
  <c r="W79" i="1"/>
  <c r="W102" i="1"/>
  <c r="W115" i="1"/>
  <c r="X186" i="1"/>
  <c r="W210" i="1"/>
  <c r="W222" i="1"/>
  <c r="W250" i="1"/>
  <c r="X447" i="1"/>
  <c r="F464" i="1"/>
  <c r="X126" i="1"/>
  <c r="X129" i="1" s="1"/>
  <c r="W130" i="1"/>
  <c r="X164" i="1"/>
  <c r="W168" i="1"/>
  <c r="W187" i="1"/>
  <c r="X276" i="1"/>
  <c r="W298" i="1"/>
  <c r="W297" i="1"/>
  <c r="X289" i="1"/>
  <c r="X297" i="1" s="1"/>
  <c r="N464" i="1"/>
  <c r="C464" i="1"/>
  <c r="W52" i="1"/>
  <c r="X167" i="1"/>
  <c r="W221" i="1"/>
  <c r="W237" i="1"/>
  <c r="W249" i="1"/>
  <c r="X246" i="1"/>
  <c r="X249" i="1" s="1"/>
  <c r="L464" i="1"/>
  <c r="W261" i="1"/>
  <c r="W277" i="1"/>
  <c r="W276" i="1"/>
  <c r="W331" i="1"/>
  <c r="W365" i="1"/>
  <c r="W378" i="1"/>
  <c r="W411" i="1"/>
  <c r="W421" i="1"/>
  <c r="M464" i="1"/>
  <c r="W149" i="1"/>
  <c r="W156" i="1"/>
  <c r="J464" i="1"/>
  <c r="W231" i="1"/>
  <c r="X224" i="1"/>
  <c r="X231" i="1" s="1"/>
  <c r="W358" i="1"/>
  <c r="X388" i="1"/>
  <c r="W389" i="1"/>
  <c r="W407" i="1"/>
  <c r="W420" i="1"/>
  <c r="W433" i="1"/>
  <c r="W438" i="1"/>
  <c r="W448" i="1"/>
  <c r="W324" i="1"/>
  <c r="P464" i="1"/>
  <c r="W341" i="1"/>
  <c r="W342" i="1"/>
  <c r="W426" i="1"/>
  <c r="X423" i="1"/>
  <c r="X425" i="1" s="1"/>
  <c r="W432" i="1"/>
  <c r="W442" i="1"/>
  <c r="X440" i="1"/>
  <c r="X442" i="1" s="1"/>
  <c r="T464" i="1"/>
  <c r="W453" i="1"/>
  <c r="Q464" i="1"/>
  <c r="G464" i="1"/>
  <c r="W137" i="1"/>
  <c r="X134" i="1"/>
  <c r="X137" i="1" s="1"/>
  <c r="W150" i="1"/>
  <c r="W160" i="1"/>
  <c r="W167" i="1"/>
  <c r="W186" i="1"/>
  <c r="W260" i="1"/>
  <c r="W265" i="1"/>
  <c r="W266" i="1"/>
  <c r="W280" i="1"/>
  <c r="W302" i="1"/>
  <c r="W303" i="1"/>
  <c r="O464" i="1"/>
  <c r="W319" i="1"/>
  <c r="X321" i="1"/>
  <c r="X323" i="1" s="1"/>
  <c r="W330" i="1"/>
  <c r="X339" i="1"/>
  <c r="X341" i="1" s="1"/>
  <c r="W364" i="1"/>
  <c r="X367" i="1"/>
  <c r="X368" i="1" s="1"/>
  <c r="W369" i="1"/>
  <c r="W379" i="1"/>
  <c r="W388" i="1"/>
  <c r="X406" i="1"/>
  <c r="W406" i="1"/>
  <c r="W412" i="1"/>
  <c r="W425" i="1"/>
  <c r="X430" i="1"/>
  <c r="X432" i="1" s="1"/>
  <c r="X435" i="1"/>
  <c r="X437" i="1" s="1"/>
  <c r="X451" i="1"/>
  <c r="X452" i="1" s="1"/>
  <c r="I464" i="1"/>
  <c r="R464" i="1"/>
  <c r="W211" i="1"/>
  <c r="W458" i="1" l="1"/>
  <c r="W454" i="1"/>
  <c r="X459" i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<sst xmlns="http://schemas.openxmlformats.org/spreadsheetml/2006/main" count="1898" uniqueCount="643">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</sst>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topLeftCell="A8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29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4" customWidth="1"/>
    <col min="17" max="17" width="6.140625" style="294" customWidth="1"/>
    <col min="18" max="18" width="10.85546875" style="296" customWidth="1"/>
    <col min="19" max="19" width="10.42578125" style="296" customWidth="1"/>
    <col min="20" max="20" width="9.42578125" style="296" customWidth="1"/>
    <col min="21" max="21" width="8.42578125" style="296" customWidth="1"/>
    <col min="22" max="22" width="10" style="294" customWidth="1"/>
    <col min="23" max="23" width="11" style="294" customWidth="1"/>
    <col min="24" max="24" width="10" style="294" customWidth="1"/>
    <col min="25" max="25" width="11.5703125" style="294" customWidth="1"/>
    <col min="26" max="26" width="10.42578125" style="294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4" customWidth="1"/>
    <col min="31" max="32" width="9.140625" style="294" customWidth="1"/>
    <col min="33" max="16384" width="9.140625" style="294"/>
  </cols>
  <sheetData>
    <row r="1" spans="1:29" s="299" customFormat="1" ht="45" customHeight="1" x14ac:dyDescent="0.2">
      <c r="A1" s="40"/>
      <c r="B1" s="40"/>
      <c r="C1" s="40"/>
      <c r="D1" s="439" t="s">
        <v>0</v>
      </c>
      <c r="E1" s="307"/>
      <c r="F1" s="307"/>
      <c r="G1" s="11" t="s">
        <v>1</v>
      </c>
      <c r="H1" s="439" t="s">
        <v>2</v>
      </c>
      <c r="I1" s="307"/>
      <c r="J1" s="307"/>
      <c r="K1" s="307"/>
      <c r="L1" s="307"/>
      <c r="M1" s="307"/>
      <c r="N1" s="307"/>
      <c r="O1" s="307"/>
      <c r="P1" s="306" t="s">
        <v>3</v>
      </c>
      <c r="Q1" s="307"/>
      <c r="R1" s="307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5"/>
      <c r="W2" s="15"/>
      <c r="X2" s="15"/>
      <c r="Y2" s="15"/>
      <c r="Z2" s="50"/>
      <c r="AA2" s="50"/>
      <c r="AB2" s="50"/>
    </row>
    <row r="3" spans="1:29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8"/>
      <c r="O3" s="318"/>
      <c r="P3" s="318"/>
      <c r="Q3" s="318"/>
      <c r="R3" s="318"/>
      <c r="S3" s="318"/>
      <c r="T3" s="318"/>
      <c r="U3" s="318"/>
      <c r="V3" s="15"/>
      <c r="W3" s="15"/>
      <c r="X3" s="15"/>
      <c r="Y3" s="15"/>
      <c r="Z3" s="50"/>
      <c r="AA3" s="50"/>
      <c r="AB3" s="50"/>
    </row>
    <row r="4" spans="1:29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299" customFormat="1" ht="23.45" customHeight="1" x14ac:dyDescent="0.2">
      <c r="A5" s="510" t="s">
        <v>8</v>
      </c>
      <c r="B5" s="325"/>
      <c r="C5" s="326"/>
      <c r="D5" s="563"/>
      <c r="E5" s="564"/>
      <c r="F5" s="373" t="s">
        <v>9</v>
      </c>
      <c r="G5" s="326"/>
      <c r="H5" s="563"/>
      <c r="I5" s="599"/>
      <c r="J5" s="599"/>
      <c r="K5" s="599"/>
      <c r="L5" s="564"/>
      <c r="N5" s="23" t="s">
        <v>10</v>
      </c>
      <c r="O5" s="352">
        <v>45228</v>
      </c>
      <c r="P5" s="353"/>
      <c r="R5" s="343" t="s">
        <v>11</v>
      </c>
      <c r="S5" s="344"/>
      <c r="T5" s="496" t="s">
        <v>12</v>
      </c>
      <c r="U5" s="353"/>
      <c r="Z5" s="50"/>
      <c r="AA5" s="50"/>
      <c r="AB5" s="50"/>
    </row>
    <row r="6" spans="1:29" s="299" customFormat="1" ht="24" customHeight="1" x14ac:dyDescent="0.2">
      <c r="A6" s="510" t="s">
        <v>13</v>
      </c>
      <c r="B6" s="325"/>
      <c r="C6" s="326"/>
      <c r="D6" s="402" t="s">
        <v>14</v>
      </c>
      <c r="E6" s="403"/>
      <c r="F6" s="403"/>
      <c r="G6" s="403"/>
      <c r="H6" s="403"/>
      <c r="I6" s="403"/>
      <c r="J6" s="403"/>
      <c r="K6" s="403"/>
      <c r="L6" s="353"/>
      <c r="N6" s="23" t="s">
        <v>15</v>
      </c>
      <c r="O6" s="548" t="str">
        <f>IF(O5=0," ",CHOOSE(WEEKDAY(O5,2),"Понедельник","Вторник","Среда","Четверг","Пятница","Суббота","Воскресенье"))</f>
        <v>Воскресенье</v>
      </c>
      <c r="P6" s="309"/>
      <c r="R6" s="574" t="s">
        <v>16</v>
      </c>
      <c r="S6" s="344"/>
      <c r="T6" s="476" t="s">
        <v>17</v>
      </c>
      <c r="U6" s="477"/>
      <c r="Z6" s="50"/>
      <c r="AA6" s="50"/>
      <c r="AB6" s="50"/>
    </row>
    <row r="7" spans="1:29" s="299" customFormat="1" ht="21.75" hidden="1" customHeight="1" x14ac:dyDescent="0.2">
      <c r="A7" s="54"/>
      <c r="B7" s="54"/>
      <c r="C7" s="54"/>
      <c r="D7" s="493" t="str">
        <f>IFERROR(VLOOKUP(DeliveryAddress,Table,3,0),1)</f>
        <v>1</v>
      </c>
      <c r="E7" s="494"/>
      <c r="F7" s="494"/>
      <c r="G7" s="494"/>
      <c r="H7" s="494"/>
      <c r="I7" s="494"/>
      <c r="J7" s="494"/>
      <c r="K7" s="494"/>
      <c r="L7" s="414"/>
      <c r="N7" s="23"/>
      <c r="O7" s="41"/>
      <c r="P7" s="41"/>
      <c r="R7" s="318"/>
      <c r="S7" s="344"/>
      <c r="T7" s="478"/>
      <c r="U7" s="479"/>
      <c r="Z7" s="50"/>
      <c r="AA7" s="50"/>
      <c r="AB7" s="50"/>
    </row>
    <row r="8" spans="1:29" s="299" customFormat="1" ht="25.5" customHeight="1" x14ac:dyDescent="0.2">
      <c r="A8" s="329" t="s">
        <v>18</v>
      </c>
      <c r="B8" s="322"/>
      <c r="C8" s="323"/>
      <c r="D8" s="554"/>
      <c r="E8" s="555"/>
      <c r="F8" s="555"/>
      <c r="G8" s="555"/>
      <c r="H8" s="555"/>
      <c r="I8" s="555"/>
      <c r="J8" s="555"/>
      <c r="K8" s="555"/>
      <c r="L8" s="556"/>
      <c r="N8" s="23" t="s">
        <v>19</v>
      </c>
      <c r="O8" s="392">
        <v>0.45833333333333331</v>
      </c>
      <c r="P8" s="353"/>
      <c r="R8" s="318"/>
      <c r="S8" s="344"/>
      <c r="T8" s="478"/>
      <c r="U8" s="479"/>
      <c r="Z8" s="50"/>
      <c r="AA8" s="50"/>
      <c r="AB8" s="50"/>
    </row>
    <row r="9" spans="1:29" s="299" customFormat="1" ht="39.950000000000003" customHeight="1" x14ac:dyDescent="0.2">
      <c r="A9" s="3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19"/>
      <c r="E9" s="342"/>
      <c r="F9" s="3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25" t="s">
        <v>20</v>
      </c>
      <c r="O9" s="352"/>
      <c r="P9" s="353"/>
      <c r="R9" s="318"/>
      <c r="S9" s="344"/>
      <c r="T9" s="480"/>
      <c r="U9" s="481"/>
      <c r="V9" s="42"/>
      <c r="W9" s="42"/>
      <c r="X9" s="42"/>
      <c r="Y9" s="42"/>
      <c r="Z9" s="50"/>
      <c r="AA9" s="50"/>
      <c r="AB9" s="50"/>
    </row>
    <row r="10" spans="1:29" s="299" customFormat="1" ht="26.45" customHeight="1" x14ac:dyDescent="0.2">
      <c r="A10" s="3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19"/>
      <c r="E10" s="342"/>
      <c r="F10" s="3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424" t="str">
        <f>IFERROR(VLOOKUP($D$10,Proxy,2,FALSE),"")</f>
        <v/>
      </c>
      <c r="I10" s="318"/>
      <c r="J10" s="318"/>
      <c r="K10" s="318"/>
      <c r="L10" s="318"/>
      <c r="N10" s="25" t="s">
        <v>21</v>
      </c>
      <c r="O10" s="392"/>
      <c r="P10" s="353"/>
      <c r="S10" s="23" t="s">
        <v>22</v>
      </c>
      <c r="T10" s="610" t="s">
        <v>23</v>
      </c>
      <c r="U10" s="477"/>
      <c r="V10" s="43"/>
      <c r="W10" s="43"/>
      <c r="X10" s="43"/>
      <c r="Y10" s="43"/>
      <c r="Z10" s="50"/>
      <c r="AA10" s="50"/>
      <c r="AB10" s="50"/>
    </row>
    <row r="11" spans="1:29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92"/>
      <c r="P11" s="353"/>
      <c r="S11" s="23" t="s">
        <v>26</v>
      </c>
      <c r="T11" s="380" t="s">
        <v>27</v>
      </c>
      <c r="U11" s="381"/>
      <c r="V11" s="44"/>
      <c r="W11" s="44"/>
      <c r="X11" s="44"/>
      <c r="Y11" s="44"/>
      <c r="Z11" s="50"/>
      <c r="AA11" s="50"/>
      <c r="AB11" s="50"/>
    </row>
    <row r="12" spans="1:29" s="299" customFormat="1" ht="18.600000000000001" customHeight="1" x14ac:dyDescent="0.2">
      <c r="A12" s="361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5"/>
      <c r="L12" s="326"/>
      <c r="N12" s="23" t="s">
        <v>29</v>
      </c>
      <c r="O12" s="413"/>
      <c r="P12" s="414"/>
      <c r="Q12" s="22"/>
      <c r="S12" s="23"/>
      <c r="T12" s="307"/>
      <c r="U12" s="318"/>
      <c r="Z12" s="50"/>
      <c r="AA12" s="50"/>
      <c r="AB12" s="50"/>
    </row>
    <row r="13" spans="1:29" s="299" customFormat="1" ht="23.25" customHeight="1" x14ac:dyDescent="0.2">
      <c r="A13" s="361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6"/>
      <c r="M13" s="25"/>
      <c r="N13" s="25" t="s">
        <v>31</v>
      </c>
      <c r="O13" s="380"/>
      <c r="P13" s="381"/>
      <c r="Q13" s="22"/>
      <c r="V13" s="48"/>
      <c r="W13" s="48"/>
      <c r="X13" s="48"/>
      <c r="Y13" s="48"/>
      <c r="Z13" s="50"/>
      <c r="AA13" s="50"/>
      <c r="AB13" s="50"/>
    </row>
    <row r="14" spans="1:29" s="299" customFormat="1" ht="18.600000000000001" customHeight="1" x14ac:dyDescent="0.2">
      <c r="A14" s="361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6"/>
      <c r="V14" s="49"/>
      <c r="W14" s="49"/>
      <c r="X14" s="49"/>
      <c r="Y14" s="49"/>
      <c r="Z14" s="50"/>
      <c r="AA14" s="50"/>
      <c r="AB14" s="50"/>
    </row>
    <row r="15" spans="1:29" s="299" customFormat="1" ht="22.5" customHeight="1" x14ac:dyDescent="0.2">
      <c r="A15" s="339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6"/>
      <c r="N15" s="505" t="s">
        <v>34</v>
      </c>
      <c r="O15" s="307"/>
      <c r="P15" s="307"/>
      <c r="Q15" s="307"/>
      <c r="R15" s="307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06"/>
      <c r="O16" s="506"/>
      <c r="P16" s="506"/>
      <c r="Q16" s="506"/>
      <c r="R16" s="50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10" t="s">
        <v>35</v>
      </c>
      <c r="B17" s="310" t="s">
        <v>36</v>
      </c>
      <c r="C17" s="516" t="s">
        <v>37</v>
      </c>
      <c r="D17" s="310" t="s">
        <v>38</v>
      </c>
      <c r="E17" s="311"/>
      <c r="F17" s="310" t="s">
        <v>39</v>
      </c>
      <c r="G17" s="310" t="s">
        <v>40</v>
      </c>
      <c r="H17" s="310" t="s">
        <v>41</v>
      </c>
      <c r="I17" s="310" t="s">
        <v>42</v>
      </c>
      <c r="J17" s="310" t="s">
        <v>43</v>
      </c>
      <c r="K17" s="310" t="s">
        <v>44</v>
      </c>
      <c r="L17" s="310" t="s">
        <v>45</v>
      </c>
      <c r="M17" s="310" t="s">
        <v>46</v>
      </c>
      <c r="N17" s="310" t="s">
        <v>47</v>
      </c>
      <c r="O17" s="545"/>
      <c r="P17" s="545"/>
      <c r="Q17" s="545"/>
      <c r="R17" s="311"/>
      <c r="S17" s="350" t="s">
        <v>48</v>
      </c>
      <c r="T17" s="326"/>
      <c r="U17" s="310" t="s">
        <v>49</v>
      </c>
      <c r="V17" s="310" t="s">
        <v>50</v>
      </c>
      <c r="W17" s="587" t="s">
        <v>51</v>
      </c>
      <c r="X17" s="310" t="s">
        <v>52</v>
      </c>
      <c r="Y17" s="327" t="s">
        <v>53</v>
      </c>
      <c r="Z17" s="327" t="s">
        <v>54</v>
      </c>
      <c r="AA17" s="327" t="s">
        <v>55</v>
      </c>
      <c r="AB17" s="582"/>
      <c r="AC17" s="583"/>
      <c r="AD17" s="521"/>
      <c r="BA17" s="577" t="s">
        <v>56</v>
      </c>
    </row>
    <row r="18" spans="1:53" ht="14.25" customHeight="1" x14ac:dyDescent="0.2">
      <c r="A18" s="314"/>
      <c r="B18" s="314"/>
      <c r="C18" s="314"/>
      <c r="D18" s="312"/>
      <c r="E18" s="313"/>
      <c r="F18" s="314"/>
      <c r="G18" s="314"/>
      <c r="H18" s="314"/>
      <c r="I18" s="314"/>
      <c r="J18" s="314"/>
      <c r="K18" s="314"/>
      <c r="L18" s="314"/>
      <c r="M18" s="314"/>
      <c r="N18" s="312"/>
      <c r="O18" s="546"/>
      <c r="P18" s="546"/>
      <c r="Q18" s="546"/>
      <c r="R18" s="313"/>
      <c r="S18" s="300" t="s">
        <v>57</v>
      </c>
      <c r="T18" s="300" t="s">
        <v>58</v>
      </c>
      <c r="U18" s="314"/>
      <c r="V18" s="314"/>
      <c r="W18" s="588"/>
      <c r="X18" s="314"/>
      <c r="Y18" s="328"/>
      <c r="Z18" s="328"/>
      <c r="AA18" s="584"/>
      <c r="AB18" s="585"/>
      <c r="AC18" s="586"/>
      <c r="AD18" s="522"/>
      <c r="BA18" s="318"/>
    </row>
    <row r="19" spans="1:53" ht="27.75" customHeight="1" x14ac:dyDescent="0.2">
      <c r="A19" s="362" t="s">
        <v>59</v>
      </c>
      <c r="B19" s="363"/>
      <c r="C19" s="363"/>
      <c r="D19" s="363"/>
      <c r="E19" s="363"/>
      <c r="F19" s="363"/>
      <c r="G19" s="363"/>
      <c r="H19" s="363"/>
      <c r="I19" s="363"/>
      <c r="J19" s="363"/>
      <c r="K19" s="363"/>
      <c r="L19" s="363"/>
      <c r="M19" s="363"/>
      <c r="N19" s="363"/>
      <c r="O19" s="363"/>
      <c r="P19" s="363"/>
      <c r="Q19" s="363"/>
      <c r="R19" s="363"/>
      <c r="S19" s="363"/>
      <c r="T19" s="363"/>
      <c r="U19" s="363"/>
      <c r="V19" s="363"/>
      <c r="W19" s="363"/>
      <c r="X19" s="363"/>
      <c r="Y19" s="47"/>
      <c r="Z19" s="47"/>
    </row>
    <row r="20" spans="1:53" ht="16.5" customHeight="1" x14ac:dyDescent="0.25">
      <c r="A20" s="31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298"/>
      <c r="Z20" s="298"/>
    </row>
    <row r="21" spans="1:53" ht="14.25" customHeight="1" x14ac:dyDescent="0.25">
      <c r="A21" s="330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295"/>
      <c r="Z21" s="295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08">
        <v>4607091389258</v>
      </c>
      <c r="E22" s="309"/>
      <c r="F22" s="301">
        <v>0.3</v>
      </c>
      <c r="G22" s="31">
        <v>6</v>
      </c>
      <c r="H22" s="301">
        <v>1.8</v>
      </c>
      <c r="I22" s="301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4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0"/>
      <c r="P22" s="320"/>
      <c r="Q22" s="320"/>
      <c r="R22" s="309"/>
      <c r="S22" s="33"/>
      <c r="T22" s="33"/>
      <c r="U22" s="34" t="s">
        <v>65</v>
      </c>
      <c r="V22" s="302">
        <v>0</v>
      </c>
      <c r="W22" s="303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34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35"/>
      <c r="N23" s="321" t="s">
        <v>66</v>
      </c>
      <c r="O23" s="322"/>
      <c r="P23" s="322"/>
      <c r="Q23" s="322"/>
      <c r="R23" s="322"/>
      <c r="S23" s="322"/>
      <c r="T23" s="323"/>
      <c r="U23" s="36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35"/>
      <c r="N24" s="321" t="s">
        <v>66</v>
      </c>
      <c r="O24" s="322"/>
      <c r="P24" s="322"/>
      <c r="Q24" s="322"/>
      <c r="R24" s="322"/>
      <c r="S24" s="322"/>
      <c r="T24" s="323"/>
      <c r="U24" s="36" t="s">
        <v>65</v>
      </c>
      <c r="V24" s="304">
        <f>IFERROR(SUM(V22:V22),"0")</f>
        <v>0</v>
      </c>
      <c r="W24" s="304">
        <f>IFERROR(SUM(W22:W22),"0")</f>
        <v>0</v>
      </c>
      <c r="X24" s="36"/>
      <c r="Y24" s="305"/>
      <c r="Z24" s="305"/>
    </row>
    <row r="25" spans="1:53" ht="14.25" customHeight="1" x14ac:dyDescent="0.25">
      <c r="A25" s="330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295"/>
      <c r="Z25" s="295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08">
        <v>4607091383881</v>
      </c>
      <c r="E26" s="309"/>
      <c r="F26" s="301">
        <v>0.33</v>
      </c>
      <c r="G26" s="31">
        <v>6</v>
      </c>
      <c r="H26" s="301">
        <v>1.98</v>
      </c>
      <c r="I26" s="301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0"/>
      <c r="P26" s="320"/>
      <c r="Q26" s="320"/>
      <c r="R26" s="309"/>
      <c r="S26" s="33"/>
      <c r="T26" s="33"/>
      <c r="U26" s="34" t="s">
        <v>65</v>
      </c>
      <c r="V26" s="302">
        <v>0</v>
      </c>
      <c r="W26" s="303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08">
        <v>4607091388237</v>
      </c>
      <c r="E27" s="309"/>
      <c r="F27" s="301">
        <v>0.42</v>
      </c>
      <c r="G27" s="31">
        <v>6</v>
      </c>
      <c r="H27" s="301">
        <v>2.52</v>
      </c>
      <c r="I27" s="301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4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0"/>
      <c r="P27" s="320"/>
      <c r="Q27" s="320"/>
      <c r="R27" s="309"/>
      <c r="S27" s="33"/>
      <c r="T27" s="33"/>
      <c r="U27" s="34" t="s">
        <v>65</v>
      </c>
      <c r="V27" s="302">
        <v>0</v>
      </c>
      <c r="W27" s="303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08">
        <v>4607091383935</v>
      </c>
      <c r="E28" s="309"/>
      <c r="F28" s="301">
        <v>0.33</v>
      </c>
      <c r="G28" s="31">
        <v>6</v>
      </c>
      <c r="H28" s="301">
        <v>1.98</v>
      </c>
      <c r="I28" s="301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0"/>
      <c r="P28" s="320"/>
      <c r="Q28" s="320"/>
      <c r="R28" s="309"/>
      <c r="S28" s="33"/>
      <c r="T28" s="33"/>
      <c r="U28" s="34" t="s">
        <v>65</v>
      </c>
      <c r="V28" s="302">
        <v>0</v>
      </c>
      <c r="W28" s="303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08">
        <v>4680115881853</v>
      </c>
      <c r="E29" s="309"/>
      <c r="F29" s="301">
        <v>0.33</v>
      </c>
      <c r="G29" s="31">
        <v>6</v>
      </c>
      <c r="H29" s="301">
        <v>1.98</v>
      </c>
      <c r="I29" s="301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0"/>
      <c r="P29" s="320"/>
      <c r="Q29" s="320"/>
      <c r="R29" s="309"/>
      <c r="S29" s="33"/>
      <c r="T29" s="33"/>
      <c r="U29" s="34" t="s">
        <v>65</v>
      </c>
      <c r="V29" s="302">
        <v>0</v>
      </c>
      <c r="W29" s="303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08">
        <v>4607091383911</v>
      </c>
      <c r="E30" s="309"/>
      <c r="F30" s="301">
        <v>0.33</v>
      </c>
      <c r="G30" s="31">
        <v>6</v>
      </c>
      <c r="H30" s="301">
        <v>1.98</v>
      </c>
      <c r="I30" s="301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1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0"/>
      <c r="P30" s="320"/>
      <c r="Q30" s="320"/>
      <c r="R30" s="309"/>
      <c r="S30" s="33"/>
      <c r="T30" s="33"/>
      <c r="U30" s="34" t="s">
        <v>65</v>
      </c>
      <c r="V30" s="302">
        <v>0</v>
      </c>
      <c r="W30" s="303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08">
        <v>4607091388244</v>
      </c>
      <c r="E31" s="309"/>
      <c r="F31" s="301">
        <v>0.42</v>
      </c>
      <c r="G31" s="31">
        <v>6</v>
      </c>
      <c r="H31" s="301">
        <v>2.52</v>
      </c>
      <c r="I31" s="301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6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0"/>
      <c r="P31" s="320"/>
      <c r="Q31" s="320"/>
      <c r="R31" s="309"/>
      <c r="S31" s="33"/>
      <c r="T31" s="33"/>
      <c r="U31" s="34" t="s">
        <v>65</v>
      </c>
      <c r="V31" s="302">
        <v>0</v>
      </c>
      <c r="W31" s="303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34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35"/>
      <c r="N32" s="321" t="s">
        <v>66</v>
      </c>
      <c r="O32" s="322"/>
      <c r="P32" s="322"/>
      <c r="Q32" s="322"/>
      <c r="R32" s="322"/>
      <c r="S32" s="322"/>
      <c r="T32" s="323"/>
      <c r="U32" s="36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35"/>
      <c r="N33" s="321" t="s">
        <v>66</v>
      </c>
      <c r="O33" s="322"/>
      <c r="P33" s="322"/>
      <c r="Q33" s="322"/>
      <c r="R33" s="322"/>
      <c r="S33" s="322"/>
      <c r="T33" s="323"/>
      <c r="U33" s="36" t="s">
        <v>65</v>
      </c>
      <c r="V33" s="304">
        <f>IFERROR(SUM(V26:V31),"0")</f>
        <v>0</v>
      </c>
      <c r="W33" s="304">
        <f>IFERROR(SUM(W26:W31),"0")</f>
        <v>0</v>
      </c>
      <c r="X33" s="36"/>
      <c r="Y33" s="305"/>
      <c r="Z33" s="305"/>
    </row>
    <row r="34" spans="1:53" ht="14.25" customHeight="1" x14ac:dyDescent="0.25">
      <c r="A34" s="330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295"/>
      <c r="Z34" s="295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08">
        <v>4607091388503</v>
      </c>
      <c r="E35" s="309"/>
      <c r="F35" s="301">
        <v>0.05</v>
      </c>
      <c r="G35" s="31">
        <v>12</v>
      </c>
      <c r="H35" s="301">
        <v>0.6</v>
      </c>
      <c r="I35" s="301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0"/>
      <c r="P35" s="320"/>
      <c r="Q35" s="320"/>
      <c r="R35" s="309"/>
      <c r="S35" s="33"/>
      <c r="T35" s="33"/>
      <c r="U35" s="34" t="s">
        <v>65</v>
      </c>
      <c r="V35" s="302">
        <v>15</v>
      </c>
      <c r="W35" s="303">
        <f>IFERROR(IF(V35="",0,CEILING((V35/$H35),1)*$H35),"")</f>
        <v>15</v>
      </c>
      <c r="X35" s="35">
        <f>IFERROR(IF(W35=0,"",ROUNDUP(W35/H35,0)*0.00753),"")</f>
        <v>0.18825</v>
      </c>
      <c r="Y35" s="55"/>
      <c r="Z35" s="56"/>
      <c r="AD35" s="57"/>
      <c r="BA35" s="65" t="s">
        <v>85</v>
      </c>
    </row>
    <row r="36" spans="1:53" x14ac:dyDescent="0.2">
      <c r="A36" s="334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35"/>
      <c r="N36" s="321" t="s">
        <v>66</v>
      </c>
      <c r="O36" s="322"/>
      <c r="P36" s="322"/>
      <c r="Q36" s="322"/>
      <c r="R36" s="322"/>
      <c r="S36" s="322"/>
      <c r="T36" s="323"/>
      <c r="U36" s="36" t="s">
        <v>67</v>
      </c>
      <c r="V36" s="304">
        <f>IFERROR(V35/H35,"0")</f>
        <v>25</v>
      </c>
      <c r="W36" s="304">
        <f>IFERROR(W35/H35,"0")</f>
        <v>25</v>
      </c>
      <c r="X36" s="304">
        <f>IFERROR(IF(X35="",0,X35),"0")</f>
        <v>0.18825</v>
      </c>
      <c r="Y36" s="305"/>
      <c r="Z36" s="305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35"/>
      <c r="N37" s="321" t="s">
        <v>66</v>
      </c>
      <c r="O37" s="322"/>
      <c r="P37" s="322"/>
      <c r="Q37" s="322"/>
      <c r="R37" s="322"/>
      <c r="S37" s="322"/>
      <c r="T37" s="323"/>
      <c r="U37" s="36" t="s">
        <v>65</v>
      </c>
      <c r="V37" s="304">
        <f>IFERROR(SUM(V35:V35),"0")</f>
        <v>15</v>
      </c>
      <c r="W37" s="304">
        <f>IFERROR(SUM(W35:W35),"0")</f>
        <v>15</v>
      </c>
      <c r="X37" s="36"/>
      <c r="Y37" s="305"/>
      <c r="Z37" s="305"/>
    </row>
    <row r="38" spans="1:53" ht="14.25" customHeight="1" x14ac:dyDescent="0.25">
      <c r="A38" s="330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295"/>
      <c r="Z38" s="295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08">
        <v>4607091388282</v>
      </c>
      <c r="E39" s="309"/>
      <c r="F39" s="301">
        <v>0.3</v>
      </c>
      <c r="G39" s="31">
        <v>6</v>
      </c>
      <c r="H39" s="301">
        <v>1.8</v>
      </c>
      <c r="I39" s="301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0"/>
      <c r="P39" s="320"/>
      <c r="Q39" s="320"/>
      <c r="R39" s="309"/>
      <c r="S39" s="33"/>
      <c r="T39" s="33"/>
      <c r="U39" s="34" t="s">
        <v>65</v>
      </c>
      <c r="V39" s="302">
        <v>30</v>
      </c>
      <c r="W39" s="303">
        <f>IFERROR(IF(V39="",0,CEILING((V39/$H39),1)*$H39),"")</f>
        <v>30.6</v>
      </c>
      <c r="X39" s="35">
        <f>IFERROR(IF(W39=0,"",ROUNDUP(W39/H39,0)*0.00753),"")</f>
        <v>0.12801000000000001</v>
      </c>
      <c r="Y39" s="55" t="s">
        <v>89</v>
      </c>
      <c r="Z39" s="56"/>
      <c r="AD39" s="57"/>
      <c r="BA39" s="66" t="s">
        <v>1</v>
      </c>
    </row>
    <row r="40" spans="1:53" x14ac:dyDescent="0.2">
      <c r="A40" s="334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35"/>
      <c r="N40" s="321" t="s">
        <v>66</v>
      </c>
      <c r="O40" s="322"/>
      <c r="P40" s="322"/>
      <c r="Q40" s="322"/>
      <c r="R40" s="322"/>
      <c r="S40" s="322"/>
      <c r="T40" s="323"/>
      <c r="U40" s="36" t="s">
        <v>67</v>
      </c>
      <c r="V40" s="304">
        <f>IFERROR(V39/H39,"0")</f>
        <v>16.666666666666668</v>
      </c>
      <c r="W40" s="304">
        <f>IFERROR(W39/H39,"0")</f>
        <v>17</v>
      </c>
      <c r="X40" s="304">
        <f>IFERROR(IF(X39="",0,X39),"0")</f>
        <v>0.12801000000000001</v>
      </c>
      <c r="Y40" s="305"/>
      <c r="Z40" s="305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35"/>
      <c r="N41" s="321" t="s">
        <v>66</v>
      </c>
      <c r="O41" s="322"/>
      <c r="P41" s="322"/>
      <c r="Q41" s="322"/>
      <c r="R41" s="322"/>
      <c r="S41" s="322"/>
      <c r="T41" s="323"/>
      <c r="U41" s="36" t="s">
        <v>65</v>
      </c>
      <c r="V41" s="304">
        <f>IFERROR(SUM(V39:V39),"0")</f>
        <v>30</v>
      </c>
      <c r="W41" s="304">
        <f>IFERROR(SUM(W39:W39),"0")</f>
        <v>30.6</v>
      </c>
      <c r="X41" s="36"/>
      <c r="Y41" s="305"/>
      <c r="Z41" s="305"/>
    </row>
    <row r="42" spans="1:53" ht="14.25" customHeight="1" x14ac:dyDescent="0.25">
      <c r="A42" s="330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295"/>
      <c r="Z42" s="295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08">
        <v>4607091389111</v>
      </c>
      <c r="E43" s="309"/>
      <c r="F43" s="301">
        <v>2.5000000000000001E-2</v>
      </c>
      <c r="G43" s="31">
        <v>10</v>
      </c>
      <c r="H43" s="301">
        <v>0.25</v>
      </c>
      <c r="I43" s="301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0"/>
      <c r="P43" s="320"/>
      <c r="Q43" s="320"/>
      <c r="R43" s="309"/>
      <c r="S43" s="33"/>
      <c r="T43" s="33"/>
      <c r="U43" s="34" t="s">
        <v>65</v>
      </c>
      <c r="V43" s="302">
        <v>7.5</v>
      </c>
      <c r="W43" s="303">
        <f>IFERROR(IF(V43="",0,CEILING((V43/$H43),1)*$H43),"")</f>
        <v>7.5</v>
      </c>
      <c r="X43" s="35">
        <f>IFERROR(IF(W43=0,"",ROUNDUP(W43/H43,0)*0.00753),"")</f>
        <v>0.22590000000000002</v>
      </c>
      <c r="Y43" s="55"/>
      <c r="Z43" s="56"/>
      <c r="AD43" s="57"/>
      <c r="BA43" s="67" t="s">
        <v>85</v>
      </c>
    </row>
    <row r="44" spans="1:53" x14ac:dyDescent="0.2">
      <c r="A44" s="334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35"/>
      <c r="N44" s="321" t="s">
        <v>66</v>
      </c>
      <c r="O44" s="322"/>
      <c r="P44" s="322"/>
      <c r="Q44" s="322"/>
      <c r="R44" s="322"/>
      <c r="S44" s="322"/>
      <c r="T44" s="323"/>
      <c r="U44" s="36" t="s">
        <v>67</v>
      </c>
      <c r="V44" s="304">
        <f>IFERROR(V43/H43,"0")</f>
        <v>30</v>
      </c>
      <c r="W44" s="304">
        <f>IFERROR(W43/H43,"0")</f>
        <v>30</v>
      </c>
      <c r="X44" s="304">
        <f>IFERROR(IF(X43="",0,X43),"0")</f>
        <v>0.22590000000000002</v>
      </c>
      <c r="Y44" s="305"/>
      <c r="Z44" s="305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35"/>
      <c r="N45" s="321" t="s">
        <v>66</v>
      </c>
      <c r="O45" s="322"/>
      <c r="P45" s="322"/>
      <c r="Q45" s="322"/>
      <c r="R45" s="322"/>
      <c r="S45" s="322"/>
      <c r="T45" s="323"/>
      <c r="U45" s="36" t="s">
        <v>65</v>
      </c>
      <c r="V45" s="304">
        <f>IFERROR(SUM(V43:V43),"0")</f>
        <v>7.5</v>
      </c>
      <c r="W45" s="304">
        <f>IFERROR(SUM(W43:W43),"0")</f>
        <v>7.5</v>
      </c>
      <c r="X45" s="36"/>
      <c r="Y45" s="305"/>
      <c r="Z45" s="305"/>
    </row>
    <row r="46" spans="1:53" ht="27.75" customHeight="1" x14ac:dyDescent="0.2">
      <c r="A46" s="362" t="s">
        <v>93</v>
      </c>
      <c r="B46" s="363"/>
      <c r="C46" s="363"/>
      <c r="D46" s="363"/>
      <c r="E46" s="363"/>
      <c r="F46" s="363"/>
      <c r="G46" s="363"/>
      <c r="H46" s="363"/>
      <c r="I46" s="363"/>
      <c r="J46" s="363"/>
      <c r="K46" s="363"/>
      <c r="L46" s="363"/>
      <c r="M46" s="363"/>
      <c r="N46" s="363"/>
      <c r="O46" s="363"/>
      <c r="P46" s="363"/>
      <c r="Q46" s="363"/>
      <c r="R46" s="363"/>
      <c r="S46" s="363"/>
      <c r="T46" s="363"/>
      <c r="U46" s="363"/>
      <c r="V46" s="363"/>
      <c r="W46" s="363"/>
      <c r="X46" s="363"/>
      <c r="Y46" s="47"/>
      <c r="Z46" s="47"/>
    </row>
    <row r="47" spans="1:53" ht="16.5" customHeight="1" x14ac:dyDescent="0.25">
      <c r="A47" s="31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298"/>
      <c r="Z47" s="298"/>
    </row>
    <row r="48" spans="1:53" ht="14.25" customHeight="1" x14ac:dyDescent="0.25">
      <c r="A48" s="330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295"/>
      <c r="Z48" s="295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08">
        <v>4680115881440</v>
      </c>
      <c r="E49" s="309"/>
      <c r="F49" s="301">
        <v>1.35</v>
      </c>
      <c r="G49" s="31">
        <v>8</v>
      </c>
      <c r="H49" s="301">
        <v>10.8</v>
      </c>
      <c r="I49" s="301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5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0"/>
      <c r="P49" s="320"/>
      <c r="Q49" s="320"/>
      <c r="R49" s="309"/>
      <c r="S49" s="33"/>
      <c r="T49" s="33"/>
      <c r="U49" s="34" t="s">
        <v>65</v>
      </c>
      <c r="V49" s="302">
        <v>0</v>
      </c>
      <c r="W49" s="303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08">
        <v>4680115881433</v>
      </c>
      <c r="E50" s="309"/>
      <c r="F50" s="301">
        <v>0.45</v>
      </c>
      <c r="G50" s="31">
        <v>6</v>
      </c>
      <c r="H50" s="301">
        <v>2.7</v>
      </c>
      <c r="I50" s="301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5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0"/>
      <c r="P50" s="320"/>
      <c r="Q50" s="320"/>
      <c r="R50" s="309"/>
      <c r="S50" s="33"/>
      <c r="T50" s="33"/>
      <c r="U50" s="34" t="s">
        <v>65</v>
      </c>
      <c r="V50" s="302">
        <v>0</v>
      </c>
      <c r="W50" s="303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34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35"/>
      <c r="N51" s="321" t="s">
        <v>66</v>
      </c>
      <c r="O51" s="322"/>
      <c r="P51" s="322"/>
      <c r="Q51" s="322"/>
      <c r="R51" s="322"/>
      <c r="S51" s="322"/>
      <c r="T51" s="323"/>
      <c r="U51" s="36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35"/>
      <c r="N52" s="321" t="s">
        <v>66</v>
      </c>
      <c r="O52" s="322"/>
      <c r="P52" s="322"/>
      <c r="Q52" s="322"/>
      <c r="R52" s="322"/>
      <c r="S52" s="322"/>
      <c r="T52" s="323"/>
      <c r="U52" s="36" t="s">
        <v>65</v>
      </c>
      <c r="V52" s="304">
        <f>IFERROR(SUM(V49:V50),"0")</f>
        <v>0</v>
      </c>
      <c r="W52" s="304">
        <f>IFERROR(SUM(W49:W50),"0")</f>
        <v>0</v>
      </c>
      <c r="X52" s="36"/>
      <c r="Y52" s="305"/>
      <c r="Z52" s="305"/>
    </row>
    <row r="53" spans="1:53" ht="16.5" customHeight="1" x14ac:dyDescent="0.25">
      <c r="A53" s="317" t="s">
        <v>102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298"/>
      <c r="Z53" s="298"/>
    </row>
    <row r="54" spans="1:53" ht="14.25" customHeight="1" x14ac:dyDescent="0.25">
      <c r="A54" s="330" t="s">
        <v>103</v>
      </c>
      <c r="B54" s="318"/>
      <c r="C54" s="318"/>
      <c r="D54" s="318"/>
      <c r="E54" s="318"/>
      <c r="F54" s="318"/>
      <c r="G54" s="318"/>
      <c r="H54" s="318"/>
      <c r="I54" s="318"/>
      <c r="J54" s="318"/>
      <c r="K54" s="318"/>
      <c r="L54" s="318"/>
      <c r="M54" s="318"/>
      <c r="N54" s="318"/>
      <c r="O54" s="318"/>
      <c r="P54" s="318"/>
      <c r="Q54" s="318"/>
      <c r="R54" s="318"/>
      <c r="S54" s="318"/>
      <c r="T54" s="318"/>
      <c r="U54" s="318"/>
      <c r="V54" s="318"/>
      <c r="W54" s="318"/>
      <c r="X54" s="318"/>
      <c r="Y54" s="295"/>
      <c r="Z54" s="295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08">
        <v>4680115881426</v>
      </c>
      <c r="E55" s="309"/>
      <c r="F55" s="301">
        <v>1.35</v>
      </c>
      <c r="G55" s="31">
        <v>8</v>
      </c>
      <c r="H55" s="301">
        <v>10.8</v>
      </c>
      <c r="I55" s="301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524" t="s">
        <v>107</v>
      </c>
      <c r="O55" s="320"/>
      <c r="P55" s="320"/>
      <c r="Q55" s="320"/>
      <c r="R55" s="309"/>
      <c r="S55" s="33"/>
      <c r="T55" s="33"/>
      <c r="U55" s="34" t="s">
        <v>65</v>
      </c>
      <c r="V55" s="302">
        <v>0</v>
      </c>
      <c r="W55" s="303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08">
        <v>4680115881426</v>
      </c>
      <c r="E56" s="309"/>
      <c r="F56" s="301">
        <v>1.35</v>
      </c>
      <c r="G56" s="31">
        <v>8</v>
      </c>
      <c r="H56" s="301">
        <v>10.8</v>
      </c>
      <c r="I56" s="301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6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0"/>
      <c r="P56" s="320"/>
      <c r="Q56" s="320"/>
      <c r="R56" s="309"/>
      <c r="S56" s="33"/>
      <c r="T56" s="33"/>
      <c r="U56" s="34" t="s">
        <v>65</v>
      </c>
      <c r="V56" s="302">
        <v>0</v>
      </c>
      <c r="W56" s="303">
        <f>IFERROR(IF(V56="",0,CEILING((V56/$H56),1)*$H56),"")</f>
        <v>0</v>
      </c>
      <c r="X56" s="35" t="str">
        <f>IFERROR(IF(W56=0,"",ROUNDUP(W56/H56,0)*0.02175),"")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08">
        <v>4680115881419</v>
      </c>
      <c r="E57" s="309"/>
      <c r="F57" s="301">
        <v>0.45</v>
      </c>
      <c r="G57" s="31">
        <v>10</v>
      </c>
      <c r="H57" s="301">
        <v>4.5</v>
      </c>
      <c r="I57" s="301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0"/>
      <c r="P57" s="320"/>
      <c r="Q57" s="320"/>
      <c r="R57" s="309"/>
      <c r="S57" s="33"/>
      <c r="T57" s="33"/>
      <c r="U57" s="34" t="s">
        <v>65</v>
      </c>
      <c r="V57" s="302">
        <v>0</v>
      </c>
      <c r="W57" s="303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08">
        <v>4680115881525</v>
      </c>
      <c r="E58" s="309"/>
      <c r="F58" s="301">
        <v>0.4</v>
      </c>
      <c r="G58" s="31">
        <v>10</v>
      </c>
      <c r="H58" s="301">
        <v>4</v>
      </c>
      <c r="I58" s="301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12" t="s">
        <v>113</v>
      </c>
      <c r="O58" s="320"/>
      <c r="P58" s="320"/>
      <c r="Q58" s="320"/>
      <c r="R58" s="309"/>
      <c r="S58" s="33"/>
      <c r="T58" s="33"/>
      <c r="U58" s="34" t="s">
        <v>65</v>
      </c>
      <c r="V58" s="302">
        <v>0</v>
      </c>
      <c r="W58" s="303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34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35"/>
      <c r="N59" s="321" t="s">
        <v>66</v>
      </c>
      <c r="O59" s="322"/>
      <c r="P59" s="322"/>
      <c r="Q59" s="322"/>
      <c r="R59" s="322"/>
      <c r="S59" s="322"/>
      <c r="T59" s="323"/>
      <c r="U59" s="36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35"/>
      <c r="N60" s="321" t="s">
        <v>66</v>
      </c>
      <c r="O60" s="322"/>
      <c r="P60" s="322"/>
      <c r="Q60" s="322"/>
      <c r="R60" s="322"/>
      <c r="S60" s="322"/>
      <c r="T60" s="323"/>
      <c r="U60" s="36" t="s">
        <v>65</v>
      </c>
      <c r="V60" s="304">
        <f>IFERROR(SUM(V55:V58),"0")</f>
        <v>0</v>
      </c>
      <c r="W60" s="304">
        <f>IFERROR(SUM(W55:W58),"0")</f>
        <v>0</v>
      </c>
      <c r="X60" s="36"/>
      <c r="Y60" s="305"/>
      <c r="Z60" s="305"/>
    </row>
    <row r="61" spans="1:53" ht="16.5" customHeight="1" x14ac:dyDescent="0.25">
      <c r="A61" s="317" t="s">
        <v>93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298"/>
      <c r="Z61" s="298"/>
    </row>
    <row r="62" spans="1:53" ht="14.25" customHeight="1" x14ac:dyDescent="0.25">
      <c r="A62" s="330" t="s">
        <v>103</v>
      </c>
      <c r="B62" s="318"/>
      <c r="C62" s="318"/>
      <c r="D62" s="318"/>
      <c r="E62" s="318"/>
      <c r="F62" s="318"/>
      <c r="G62" s="318"/>
      <c r="H62" s="318"/>
      <c r="I62" s="318"/>
      <c r="J62" s="318"/>
      <c r="K62" s="318"/>
      <c r="L62" s="318"/>
      <c r="M62" s="318"/>
      <c r="N62" s="318"/>
      <c r="O62" s="318"/>
      <c r="P62" s="318"/>
      <c r="Q62" s="318"/>
      <c r="R62" s="318"/>
      <c r="S62" s="318"/>
      <c r="T62" s="318"/>
      <c r="U62" s="318"/>
      <c r="V62" s="318"/>
      <c r="W62" s="318"/>
      <c r="X62" s="318"/>
      <c r="Y62" s="295"/>
      <c r="Z62" s="295"/>
    </row>
    <row r="63" spans="1:53" ht="27" customHeight="1" x14ac:dyDescent="0.25">
      <c r="A63" s="53" t="s">
        <v>114</v>
      </c>
      <c r="B63" s="53" t="s">
        <v>115</v>
      </c>
      <c r="C63" s="30">
        <v>4301011432</v>
      </c>
      <c r="D63" s="308">
        <v>4680115882720</v>
      </c>
      <c r="E63" s="309"/>
      <c r="F63" s="301">
        <v>0.45</v>
      </c>
      <c r="G63" s="31">
        <v>10</v>
      </c>
      <c r="H63" s="301">
        <v>4.5</v>
      </c>
      <c r="I63" s="301">
        <v>4.74</v>
      </c>
      <c r="J63" s="31">
        <v>120</v>
      </c>
      <c r="K63" s="31" t="s">
        <v>63</v>
      </c>
      <c r="L63" s="32" t="s">
        <v>99</v>
      </c>
      <c r="M63" s="31">
        <v>90</v>
      </c>
      <c r="N63" s="549" t="s">
        <v>116</v>
      </c>
      <c r="O63" s="320"/>
      <c r="P63" s="320"/>
      <c r="Q63" s="320"/>
      <c r="R63" s="309"/>
      <c r="S63" s="33"/>
      <c r="T63" s="33"/>
      <c r="U63" s="34" t="s">
        <v>65</v>
      </c>
      <c r="V63" s="302">
        <v>0</v>
      </c>
      <c r="W63" s="303">
        <f t="shared" ref="W63:W78" si="2">IFERROR(IF(V63="",0,CEILING((V63/$H63),1)*$H63),"")</f>
        <v>0</v>
      </c>
      <c r="X63" s="35" t="str">
        <f>IFERROR(IF(W63=0,"",ROUNDUP(W63/H63,0)*0.00937),"")</f>
        <v/>
      </c>
      <c r="Y63" s="55"/>
      <c r="Z63" s="56" t="s">
        <v>117</v>
      </c>
      <c r="AD63" s="57"/>
      <c r="BA63" s="74" t="s">
        <v>1</v>
      </c>
    </row>
    <row r="64" spans="1:53" ht="27" customHeight="1" x14ac:dyDescent="0.25">
      <c r="A64" s="53" t="s">
        <v>118</v>
      </c>
      <c r="B64" s="53" t="s">
        <v>119</v>
      </c>
      <c r="C64" s="30">
        <v>4301011623</v>
      </c>
      <c r="D64" s="308">
        <v>4607091382945</v>
      </c>
      <c r="E64" s="309"/>
      <c r="F64" s="301">
        <v>1.4</v>
      </c>
      <c r="G64" s="31">
        <v>8</v>
      </c>
      <c r="H64" s="301">
        <v>11.2</v>
      </c>
      <c r="I64" s="301">
        <v>11.68</v>
      </c>
      <c r="J64" s="31">
        <v>56</v>
      </c>
      <c r="K64" s="31" t="s">
        <v>98</v>
      </c>
      <c r="L64" s="32" t="s">
        <v>99</v>
      </c>
      <c r="M64" s="31">
        <v>50</v>
      </c>
      <c r="N64" s="595" t="s">
        <v>120</v>
      </c>
      <c r="O64" s="320"/>
      <c r="P64" s="320"/>
      <c r="Q64" s="320"/>
      <c r="R64" s="309"/>
      <c r="S64" s="33"/>
      <c r="T64" s="33"/>
      <c r="U64" s="34" t="s">
        <v>65</v>
      </c>
      <c r="V64" s="302">
        <v>0</v>
      </c>
      <c r="W64" s="303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4301011380</v>
      </c>
      <c r="D65" s="308">
        <v>4607091385670</v>
      </c>
      <c r="E65" s="309"/>
      <c r="F65" s="301">
        <v>1.35</v>
      </c>
      <c r="G65" s="31">
        <v>8</v>
      </c>
      <c r="H65" s="301">
        <v>10.8</v>
      </c>
      <c r="I65" s="301">
        <v>11.28</v>
      </c>
      <c r="J65" s="31">
        <v>56</v>
      </c>
      <c r="K65" s="31" t="s">
        <v>98</v>
      </c>
      <c r="L65" s="32" t="s">
        <v>99</v>
      </c>
      <c r="M65" s="31">
        <v>50</v>
      </c>
      <c r="N65" s="5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0"/>
      <c r="P65" s="320"/>
      <c r="Q65" s="320"/>
      <c r="R65" s="309"/>
      <c r="S65" s="33"/>
      <c r="T65" s="33"/>
      <c r="U65" s="34" t="s">
        <v>65</v>
      </c>
      <c r="V65" s="302">
        <v>150</v>
      </c>
      <c r="W65" s="303">
        <f t="shared" si="2"/>
        <v>151.20000000000002</v>
      </c>
      <c r="X65" s="35">
        <f>IFERROR(IF(W65=0,"",ROUNDUP(W65/H65,0)*0.02175),"")</f>
        <v>0.30449999999999999</v>
      </c>
      <c r="Y65" s="55"/>
      <c r="Z65" s="56"/>
      <c r="AD65" s="57"/>
      <c r="BA65" s="76" t="s">
        <v>1</v>
      </c>
    </row>
    <row r="66" spans="1:53" ht="27" customHeight="1" x14ac:dyDescent="0.25">
      <c r="A66" s="53" t="s">
        <v>123</v>
      </c>
      <c r="B66" s="53" t="s">
        <v>124</v>
      </c>
      <c r="C66" s="30">
        <v>4301011468</v>
      </c>
      <c r="D66" s="308">
        <v>4680115881327</v>
      </c>
      <c r="E66" s="309"/>
      <c r="F66" s="301">
        <v>1.35</v>
      </c>
      <c r="G66" s="31">
        <v>8</v>
      </c>
      <c r="H66" s="301">
        <v>10.8</v>
      </c>
      <c r="I66" s="301">
        <v>11.28</v>
      </c>
      <c r="J66" s="31">
        <v>56</v>
      </c>
      <c r="K66" s="31" t="s">
        <v>98</v>
      </c>
      <c r="L66" s="32" t="s">
        <v>125</v>
      </c>
      <c r="M66" s="31">
        <v>50</v>
      </c>
      <c r="N66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20"/>
      <c r="P66" s="320"/>
      <c r="Q66" s="320"/>
      <c r="R66" s="309"/>
      <c r="S66" s="33"/>
      <c r="T66" s="33"/>
      <c r="U66" s="34" t="s">
        <v>65</v>
      </c>
      <c r="V66" s="302">
        <v>0</v>
      </c>
      <c r="W66" s="303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16.5" customHeight="1" x14ac:dyDescent="0.25">
      <c r="A67" s="53" t="s">
        <v>126</v>
      </c>
      <c r="B67" s="53" t="s">
        <v>127</v>
      </c>
      <c r="C67" s="30">
        <v>4301011514</v>
      </c>
      <c r="D67" s="308">
        <v>4680115882133</v>
      </c>
      <c r="E67" s="309"/>
      <c r="F67" s="301">
        <v>1.35</v>
      </c>
      <c r="G67" s="31">
        <v>8</v>
      </c>
      <c r="H67" s="301">
        <v>10.8</v>
      </c>
      <c r="I67" s="301">
        <v>11.28</v>
      </c>
      <c r="J67" s="31">
        <v>56</v>
      </c>
      <c r="K67" s="31" t="s">
        <v>98</v>
      </c>
      <c r="L67" s="32" t="s">
        <v>99</v>
      </c>
      <c r="M67" s="31">
        <v>50</v>
      </c>
      <c r="N67" s="4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20"/>
      <c r="P67" s="320"/>
      <c r="Q67" s="320"/>
      <c r="R67" s="309"/>
      <c r="S67" s="33"/>
      <c r="T67" s="33"/>
      <c r="U67" s="34" t="s">
        <v>65</v>
      </c>
      <c r="V67" s="302">
        <v>0</v>
      </c>
      <c r="W67" s="303">
        <f t="shared" si="2"/>
        <v>0</v>
      </c>
      <c r="X67" s="35" t="str">
        <f>IFERROR(IF(W67=0,"",ROUNDUP(W67/H67,0)*0.02175),"")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128</v>
      </c>
      <c r="B68" s="53" t="s">
        <v>129</v>
      </c>
      <c r="C68" s="30">
        <v>4301011192</v>
      </c>
      <c r="D68" s="308">
        <v>4607091382952</v>
      </c>
      <c r="E68" s="309"/>
      <c r="F68" s="301">
        <v>0.5</v>
      </c>
      <c r="G68" s="31">
        <v>6</v>
      </c>
      <c r="H68" s="301">
        <v>3</v>
      </c>
      <c r="I68" s="301">
        <v>3.2</v>
      </c>
      <c r="J68" s="31">
        <v>156</v>
      </c>
      <c r="K68" s="31" t="s">
        <v>63</v>
      </c>
      <c r="L68" s="32" t="s">
        <v>99</v>
      </c>
      <c r="M68" s="31">
        <v>50</v>
      </c>
      <c r="N68" s="4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20"/>
      <c r="P68" s="320"/>
      <c r="Q68" s="320"/>
      <c r="R68" s="309"/>
      <c r="S68" s="33"/>
      <c r="T68" s="33"/>
      <c r="U68" s="34" t="s">
        <v>65</v>
      </c>
      <c r="V68" s="302">
        <v>0</v>
      </c>
      <c r="W68" s="303">
        <f t="shared" si="2"/>
        <v>0</v>
      </c>
      <c r="X68" s="35" t="str">
        <f>IFERROR(IF(W68=0,"",ROUNDUP(W68/H68,0)*0.00753),"")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130</v>
      </c>
      <c r="B69" s="53" t="s">
        <v>131</v>
      </c>
      <c r="C69" s="30">
        <v>4301011565</v>
      </c>
      <c r="D69" s="308">
        <v>4680115882539</v>
      </c>
      <c r="E69" s="309"/>
      <c r="F69" s="301">
        <v>0.37</v>
      </c>
      <c r="G69" s="31">
        <v>10</v>
      </c>
      <c r="H69" s="301">
        <v>3.7</v>
      </c>
      <c r="I69" s="301">
        <v>3.94</v>
      </c>
      <c r="J69" s="31">
        <v>120</v>
      </c>
      <c r="K69" s="31" t="s">
        <v>63</v>
      </c>
      <c r="L69" s="32" t="s">
        <v>132</v>
      </c>
      <c r="M69" s="31">
        <v>50</v>
      </c>
      <c r="N69" s="3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0"/>
      <c r="P69" s="320"/>
      <c r="Q69" s="320"/>
      <c r="R69" s="309"/>
      <c r="S69" s="33"/>
      <c r="T69" s="33"/>
      <c r="U69" s="34" t="s">
        <v>65</v>
      </c>
      <c r="V69" s="302">
        <v>0</v>
      </c>
      <c r="W69" s="303">
        <f t="shared" si="2"/>
        <v>0</v>
      </c>
      <c r="X69" s="35" t="str">
        <f t="shared" ref="X69:X74" si="3">IFERROR(IF(W69=0,"",ROUNDUP(W69/H69,0)*0.00937),"")</f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4301011382</v>
      </c>
      <c r="D70" s="308">
        <v>4607091385687</v>
      </c>
      <c r="E70" s="309"/>
      <c r="F70" s="301">
        <v>0.4</v>
      </c>
      <c r="G70" s="31">
        <v>10</v>
      </c>
      <c r="H70" s="301">
        <v>4</v>
      </c>
      <c r="I70" s="301">
        <v>4.24</v>
      </c>
      <c r="J70" s="31">
        <v>120</v>
      </c>
      <c r="K70" s="31" t="s">
        <v>63</v>
      </c>
      <c r="L70" s="32" t="s">
        <v>132</v>
      </c>
      <c r="M70" s="31">
        <v>50</v>
      </c>
      <c r="N70" s="4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0"/>
      <c r="P70" s="320"/>
      <c r="Q70" s="320"/>
      <c r="R70" s="309"/>
      <c r="S70" s="33"/>
      <c r="T70" s="33"/>
      <c r="U70" s="34" t="s">
        <v>65</v>
      </c>
      <c r="V70" s="302">
        <v>0</v>
      </c>
      <c r="W70" s="303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4301011344</v>
      </c>
      <c r="D71" s="308">
        <v>4607091384604</v>
      </c>
      <c r="E71" s="309"/>
      <c r="F71" s="301">
        <v>0.4</v>
      </c>
      <c r="G71" s="31">
        <v>10</v>
      </c>
      <c r="H71" s="301">
        <v>4</v>
      </c>
      <c r="I71" s="301">
        <v>4.24</v>
      </c>
      <c r="J71" s="31">
        <v>120</v>
      </c>
      <c r="K71" s="31" t="s">
        <v>63</v>
      </c>
      <c r="L71" s="32" t="s">
        <v>99</v>
      </c>
      <c r="M71" s="31">
        <v>50</v>
      </c>
      <c r="N71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20"/>
      <c r="P71" s="320"/>
      <c r="Q71" s="320"/>
      <c r="R71" s="309"/>
      <c r="S71" s="33"/>
      <c r="T71" s="33"/>
      <c r="U71" s="34" t="s">
        <v>65</v>
      </c>
      <c r="V71" s="302">
        <v>0</v>
      </c>
      <c r="W71" s="303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customHeight="1" x14ac:dyDescent="0.25">
      <c r="A72" s="53" t="s">
        <v>137</v>
      </c>
      <c r="B72" s="53" t="s">
        <v>138</v>
      </c>
      <c r="C72" s="30">
        <v>4301011386</v>
      </c>
      <c r="D72" s="308">
        <v>4680115880283</v>
      </c>
      <c r="E72" s="309"/>
      <c r="F72" s="301">
        <v>0.6</v>
      </c>
      <c r="G72" s="31">
        <v>8</v>
      </c>
      <c r="H72" s="301">
        <v>4.8</v>
      </c>
      <c r="I72" s="301">
        <v>5.04</v>
      </c>
      <c r="J72" s="31">
        <v>120</v>
      </c>
      <c r="K72" s="31" t="s">
        <v>63</v>
      </c>
      <c r="L72" s="32" t="s">
        <v>99</v>
      </c>
      <c r="M72" s="31">
        <v>45</v>
      </c>
      <c r="N72" s="3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20"/>
      <c r="P72" s="320"/>
      <c r="Q72" s="320"/>
      <c r="R72" s="309"/>
      <c r="S72" s="33"/>
      <c r="T72" s="33"/>
      <c r="U72" s="34" t="s">
        <v>65</v>
      </c>
      <c r="V72" s="302">
        <v>0</v>
      </c>
      <c r="W72" s="303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16.5" customHeight="1" x14ac:dyDescent="0.25">
      <c r="A73" s="53" t="s">
        <v>139</v>
      </c>
      <c r="B73" s="53" t="s">
        <v>140</v>
      </c>
      <c r="C73" s="30">
        <v>4301011476</v>
      </c>
      <c r="D73" s="308">
        <v>4680115881518</v>
      </c>
      <c r="E73" s="309"/>
      <c r="F73" s="301">
        <v>0.4</v>
      </c>
      <c r="G73" s="31">
        <v>10</v>
      </c>
      <c r="H73" s="301">
        <v>4</v>
      </c>
      <c r="I73" s="301">
        <v>4.24</v>
      </c>
      <c r="J73" s="31">
        <v>120</v>
      </c>
      <c r="K73" s="31" t="s">
        <v>63</v>
      </c>
      <c r="L73" s="32" t="s">
        <v>132</v>
      </c>
      <c r="M73" s="31">
        <v>50</v>
      </c>
      <c r="N73" s="5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20"/>
      <c r="P73" s="320"/>
      <c r="Q73" s="320"/>
      <c r="R73" s="309"/>
      <c r="S73" s="33"/>
      <c r="T73" s="33"/>
      <c r="U73" s="34" t="s">
        <v>65</v>
      </c>
      <c r="V73" s="302">
        <v>0</v>
      </c>
      <c r="W73" s="303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4301011443</v>
      </c>
      <c r="D74" s="308">
        <v>4680115881303</v>
      </c>
      <c r="E74" s="309"/>
      <c r="F74" s="301">
        <v>0.45</v>
      </c>
      <c r="G74" s="31">
        <v>10</v>
      </c>
      <c r="H74" s="301">
        <v>4.5</v>
      </c>
      <c r="I74" s="301">
        <v>4.71</v>
      </c>
      <c r="J74" s="31">
        <v>120</v>
      </c>
      <c r="K74" s="31" t="s">
        <v>63</v>
      </c>
      <c r="L74" s="32" t="s">
        <v>125</v>
      </c>
      <c r="M74" s="31">
        <v>50</v>
      </c>
      <c r="N74" s="6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20"/>
      <c r="P74" s="320"/>
      <c r="Q74" s="320"/>
      <c r="R74" s="309"/>
      <c r="S74" s="33"/>
      <c r="T74" s="33"/>
      <c r="U74" s="34" t="s">
        <v>65</v>
      </c>
      <c r="V74" s="302">
        <v>45.9</v>
      </c>
      <c r="W74" s="303">
        <f t="shared" si="2"/>
        <v>49.5</v>
      </c>
      <c r="X74" s="35">
        <f t="shared" si="3"/>
        <v>0.10306999999999999</v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143</v>
      </c>
      <c r="B75" s="53" t="s">
        <v>144</v>
      </c>
      <c r="C75" s="30">
        <v>4301011352</v>
      </c>
      <c r="D75" s="308">
        <v>4607091388466</v>
      </c>
      <c r="E75" s="309"/>
      <c r="F75" s="301">
        <v>0.45</v>
      </c>
      <c r="G75" s="31">
        <v>6</v>
      </c>
      <c r="H75" s="301">
        <v>2.7</v>
      </c>
      <c r="I75" s="301">
        <v>2.9</v>
      </c>
      <c r="J75" s="31">
        <v>156</v>
      </c>
      <c r="K75" s="31" t="s">
        <v>63</v>
      </c>
      <c r="L75" s="32" t="s">
        <v>132</v>
      </c>
      <c r="M75" s="31">
        <v>45</v>
      </c>
      <c r="N75" s="56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0"/>
      <c r="P75" s="320"/>
      <c r="Q75" s="320"/>
      <c r="R75" s="309"/>
      <c r="S75" s="33"/>
      <c r="T75" s="33"/>
      <c r="U75" s="34" t="s">
        <v>65</v>
      </c>
      <c r="V75" s="302">
        <v>0</v>
      </c>
      <c r="W75" s="303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145</v>
      </c>
      <c r="B76" s="53" t="s">
        <v>146</v>
      </c>
      <c r="C76" s="30">
        <v>4301011417</v>
      </c>
      <c r="D76" s="308">
        <v>4680115880269</v>
      </c>
      <c r="E76" s="309"/>
      <c r="F76" s="301">
        <v>0.375</v>
      </c>
      <c r="G76" s="31">
        <v>10</v>
      </c>
      <c r="H76" s="301">
        <v>3.75</v>
      </c>
      <c r="I76" s="301">
        <v>3.99</v>
      </c>
      <c r="J76" s="31">
        <v>120</v>
      </c>
      <c r="K76" s="31" t="s">
        <v>63</v>
      </c>
      <c r="L76" s="32" t="s">
        <v>132</v>
      </c>
      <c r="M76" s="31">
        <v>50</v>
      </c>
      <c r="N76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0"/>
      <c r="P76" s="320"/>
      <c r="Q76" s="320"/>
      <c r="R76" s="309"/>
      <c r="S76" s="33"/>
      <c r="T76" s="33"/>
      <c r="U76" s="34" t="s">
        <v>65</v>
      </c>
      <c r="V76" s="302">
        <v>0</v>
      </c>
      <c r="W76" s="303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147</v>
      </c>
      <c r="B77" s="53" t="s">
        <v>148</v>
      </c>
      <c r="C77" s="30">
        <v>4301011415</v>
      </c>
      <c r="D77" s="308">
        <v>4680115880429</v>
      </c>
      <c r="E77" s="309"/>
      <c r="F77" s="301">
        <v>0.45</v>
      </c>
      <c r="G77" s="31">
        <v>10</v>
      </c>
      <c r="H77" s="301">
        <v>4.5</v>
      </c>
      <c r="I77" s="301">
        <v>4.74</v>
      </c>
      <c r="J77" s="31">
        <v>120</v>
      </c>
      <c r="K77" s="31" t="s">
        <v>63</v>
      </c>
      <c r="L77" s="32" t="s">
        <v>132</v>
      </c>
      <c r="M77" s="31">
        <v>50</v>
      </c>
      <c r="N77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0"/>
      <c r="P77" s="320"/>
      <c r="Q77" s="320"/>
      <c r="R77" s="309"/>
      <c r="S77" s="33"/>
      <c r="T77" s="33"/>
      <c r="U77" s="34" t="s">
        <v>65</v>
      </c>
      <c r="V77" s="302">
        <v>0</v>
      </c>
      <c r="W77" s="303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149</v>
      </c>
      <c r="B78" s="53" t="s">
        <v>150</v>
      </c>
      <c r="C78" s="30">
        <v>4301011462</v>
      </c>
      <c r="D78" s="308">
        <v>4680115881457</v>
      </c>
      <c r="E78" s="309"/>
      <c r="F78" s="301">
        <v>0.75</v>
      </c>
      <c r="G78" s="31">
        <v>6</v>
      </c>
      <c r="H78" s="301">
        <v>4.5</v>
      </c>
      <c r="I78" s="301">
        <v>4.74</v>
      </c>
      <c r="J78" s="31">
        <v>120</v>
      </c>
      <c r="K78" s="31" t="s">
        <v>63</v>
      </c>
      <c r="L78" s="32" t="s">
        <v>132</v>
      </c>
      <c r="M78" s="31">
        <v>50</v>
      </c>
      <c r="N78" s="5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0"/>
      <c r="P78" s="320"/>
      <c r="Q78" s="320"/>
      <c r="R78" s="309"/>
      <c r="S78" s="33"/>
      <c r="T78" s="33"/>
      <c r="U78" s="34" t="s">
        <v>65</v>
      </c>
      <c r="V78" s="302">
        <v>0</v>
      </c>
      <c r="W78" s="303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34"/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35"/>
      <c r="N79" s="321" t="s">
        <v>66</v>
      </c>
      <c r="O79" s="322"/>
      <c r="P79" s="322"/>
      <c r="Q79" s="322"/>
      <c r="R79" s="322"/>
      <c r="S79" s="322"/>
      <c r="T79" s="323"/>
      <c r="U79" s="36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24.088888888888889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25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0.40756999999999999</v>
      </c>
      <c r="Y79" s="305"/>
      <c r="Z79" s="305"/>
    </row>
    <row r="80" spans="1:53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35"/>
      <c r="N80" s="321" t="s">
        <v>66</v>
      </c>
      <c r="O80" s="322"/>
      <c r="P80" s="322"/>
      <c r="Q80" s="322"/>
      <c r="R80" s="322"/>
      <c r="S80" s="322"/>
      <c r="T80" s="323"/>
      <c r="U80" s="36" t="s">
        <v>65</v>
      </c>
      <c r="V80" s="304">
        <f>IFERROR(SUM(V63:V78),"0")</f>
        <v>195.9</v>
      </c>
      <c r="W80" s="304">
        <f>IFERROR(SUM(W63:W78),"0")</f>
        <v>200.70000000000002</v>
      </c>
      <c r="X80" s="36"/>
      <c r="Y80" s="305"/>
      <c r="Z80" s="305"/>
    </row>
    <row r="81" spans="1:53" ht="14.25" customHeight="1" x14ac:dyDescent="0.25">
      <c r="A81" s="330" t="s">
        <v>95</v>
      </c>
      <c r="B81" s="318"/>
      <c r="C81" s="318"/>
      <c r="D81" s="318"/>
      <c r="E81" s="318"/>
      <c r="F81" s="318"/>
      <c r="G81" s="318"/>
      <c r="H81" s="318"/>
      <c r="I81" s="318"/>
      <c r="J81" s="318"/>
      <c r="K81" s="318"/>
      <c r="L81" s="318"/>
      <c r="M81" s="318"/>
      <c r="N81" s="318"/>
      <c r="O81" s="318"/>
      <c r="P81" s="318"/>
      <c r="Q81" s="318"/>
      <c r="R81" s="318"/>
      <c r="S81" s="318"/>
      <c r="T81" s="318"/>
      <c r="U81" s="318"/>
      <c r="V81" s="318"/>
      <c r="W81" s="318"/>
      <c r="X81" s="318"/>
      <c r="Y81" s="295"/>
      <c r="Z81" s="295"/>
    </row>
    <row r="82" spans="1:53" ht="27" customHeight="1" x14ac:dyDescent="0.25">
      <c r="A82" s="53" t="s">
        <v>151</v>
      </c>
      <c r="B82" s="53" t="s">
        <v>152</v>
      </c>
      <c r="C82" s="30">
        <v>4301020189</v>
      </c>
      <c r="D82" s="308">
        <v>4607091384789</v>
      </c>
      <c r="E82" s="309"/>
      <c r="F82" s="301">
        <v>1</v>
      </c>
      <c r="G82" s="31">
        <v>6</v>
      </c>
      <c r="H82" s="301">
        <v>6</v>
      </c>
      <c r="I82" s="301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378" t="s">
        <v>153</v>
      </c>
      <c r="O82" s="320"/>
      <c r="P82" s="320"/>
      <c r="Q82" s="320"/>
      <c r="R82" s="309"/>
      <c r="S82" s="33"/>
      <c r="T82" s="33"/>
      <c r="U82" s="34" t="s">
        <v>65</v>
      </c>
      <c r="V82" s="302">
        <v>0</v>
      </c>
      <c r="W82" s="303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154</v>
      </c>
      <c r="B83" s="53" t="s">
        <v>155</v>
      </c>
      <c r="C83" s="30">
        <v>4301020235</v>
      </c>
      <c r="D83" s="308">
        <v>4680115881488</v>
      </c>
      <c r="E83" s="309"/>
      <c r="F83" s="301">
        <v>1.35</v>
      </c>
      <c r="G83" s="31">
        <v>8</v>
      </c>
      <c r="H83" s="301">
        <v>10.8</v>
      </c>
      <c r="I83" s="301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3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0"/>
      <c r="P83" s="320"/>
      <c r="Q83" s="320"/>
      <c r="R83" s="309"/>
      <c r="S83" s="33"/>
      <c r="T83" s="33"/>
      <c r="U83" s="34" t="s">
        <v>65</v>
      </c>
      <c r="V83" s="302">
        <v>0</v>
      </c>
      <c r="W83" s="303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156</v>
      </c>
      <c r="B84" s="53" t="s">
        <v>157</v>
      </c>
      <c r="C84" s="30">
        <v>4301020183</v>
      </c>
      <c r="D84" s="308">
        <v>4607091384765</v>
      </c>
      <c r="E84" s="309"/>
      <c r="F84" s="301">
        <v>0.42</v>
      </c>
      <c r="G84" s="31">
        <v>6</v>
      </c>
      <c r="H84" s="301">
        <v>2.52</v>
      </c>
      <c r="I84" s="301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338" t="s">
        <v>158</v>
      </c>
      <c r="O84" s="320"/>
      <c r="P84" s="320"/>
      <c r="Q84" s="320"/>
      <c r="R84" s="309"/>
      <c r="S84" s="33"/>
      <c r="T84" s="33"/>
      <c r="U84" s="34" t="s">
        <v>65</v>
      </c>
      <c r="V84" s="302">
        <v>0</v>
      </c>
      <c r="W84" s="303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159</v>
      </c>
      <c r="B85" s="53" t="s">
        <v>160</v>
      </c>
      <c r="C85" s="30">
        <v>4301020228</v>
      </c>
      <c r="D85" s="308">
        <v>4680115882751</v>
      </c>
      <c r="E85" s="309"/>
      <c r="F85" s="301">
        <v>0.45</v>
      </c>
      <c r="G85" s="31">
        <v>10</v>
      </c>
      <c r="H85" s="301">
        <v>4.5</v>
      </c>
      <c r="I85" s="301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348" t="s">
        <v>161</v>
      </c>
      <c r="O85" s="320"/>
      <c r="P85" s="320"/>
      <c r="Q85" s="320"/>
      <c r="R85" s="309"/>
      <c r="S85" s="33"/>
      <c r="T85" s="33"/>
      <c r="U85" s="34" t="s">
        <v>65</v>
      </c>
      <c r="V85" s="302">
        <v>0</v>
      </c>
      <c r="W85" s="303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4301020258</v>
      </c>
      <c r="D86" s="308">
        <v>4680115882775</v>
      </c>
      <c r="E86" s="309"/>
      <c r="F86" s="301">
        <v>0.3</v>
      </c>
      <c r="G86" s="31">
        <v>8</v>
      </c>
      <c r="H86" s="301">
        <v>2.4</v>
      </c>
      <c r="I86" s="301">
        <v>2.5</v>
      </c>
      <c r="J86" s="31">
        <v>234</v>
      </c>
      <c r="K86" s="31" t="s">
        <v>164</v>
      </c>
      <c r="L86" s="32" t="s">
        <v>132</v>
      </c>
      <c r="M86" s="31">
        <v>50</v>
      </c>
      <c r="N86" s="535" t="s">
        <v>165</v>
      </c>
      <c r="O86" s="320"/>
      <c r="P86" s="320"/>
      <c r="Q86" s="320"/>
      <c r="R86" s="309"/>
      <c r="S86" s="33"/>
      <c r="T86" s="33"/>
      <c r="U86" s="34" t="s">
        <v>65</v>
      </c>
      <c r="V86" s="302">
        <v>0</v>
      </c>
      <c r="W86" s="303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166</v>
      </c>
      <c r="B87" s="53" t="s">
        <v>167</v>
      </c>
      <c r="C87" s="30">
        <v>4301020217</v>
      </c>
      <c r="D87" s="308">
        <v>4680115880658</v>
      </c>
      <c r="E87" s="309"/>
      <c r="F87" s="301">
        <v>0.4</v>
      </c>
      <c r="G87" s="31">
        <v>6</v>
      </c>
      <c r="H87" s="301">
        <v>2.4</v>
      </c>
      <c r="I87" s="301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0"/>
      <c r="P87" s="320"/>
      <c r="Q87" s="320"/>
      <c r="R87" s="309"/>
      <c r="S87" s="33"/>
      <c r="T87" s="33"/>
      <c r="U87" s="34" t="s">
        <v>65</v>
      </c>
      <c r="V87" s="302">
        <v>0</v>
      </c>
      <c r="W87" s="303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4301020223</v>
      </c>
      <c r="D88" s="308">
        <v>4607091381962</v>
      </c>
      <c r="E88" s="309"/>
      <c r="F88" s="301">
        <v>0.5</v>
      </c>
      <c r="G88" s="31">
        <v>6</v>
      </c>
      <c r="H88" s="301">
        <v>3</v>
      </c>
      <c r="I88" s="301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37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0"/>
      <c r="P88" s="320"/>
      <c r="Q88" s="320"/>
      <c r="R88" s="309"/>
      <c r="S88" s="33"/>
      <c r="T88" s="33"/>
      <c r="U88" s="34" t="s">
        <v>65</v>
      </c>
      <c r="V88" s="302">
        <v>0</v>
      </c>
      <c r="W88" s="303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34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35"/>
      <c r="N89" s="321" t="s">
        <v>66</v>
      </c>
      <c r="O89" s="322"/>
      <c r="P89" s="322"/>
      <c r="Q89" s="322"/>
      <c r="R89" s="322"/>
      <c r="S89" s="322"/>
      <c r="T89" s="323"/>
      <c r="U89" s="36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35"/>
      <c r="N90" s="321" t="s">
        <v>66</v>
      </c>
      <c r="O90" s="322"/>
      <c r="P90" s="322"/>
      <c r="Q90" s="322"/>
      <c r="R90" s="322"/>
      <c r="S90" s="322"/>
      <c r="T90" s="323"/>
      <c r="U90" s="36" t="s">
        <v>65</v>
      </c>
      <c r="V90" s="304">
        <f>IFERROR(SUM(V82:V88),"0")</f>
        <v>0</v>
      </c>
      <c r="W90" s="304">
        <f>IFERROR(SUM(W82:W88),"0")</f>
        <v>0</v>
      </c>
      <c r="X90" s="36"/>
      <c r="Y90" s="305"/>
      <c r="Z90" s="305"/>
    </row>
    <row r="91" spans="1:53" ht="14.25" customHeight="1" x14ac:dyDescent="0.25">
      <c r="A91" s="330" t="s">
        <v>60</v>
      </c>
      <c r="B91" s="318"/>
      <c r="C91" s="318"/>
      <c r="D91" s="318"/>
      <c r="E91" s="318"/>
      <c r="F91" s="318"/>
      <c r="G91" s="318"/>
      <c r="H91" s="318"/>
      <c r="I91" s="318"/>
      <c r="J91" s="318"/>
      <c r="K91" s="318"/>
      <c r="L91" s="318"/>
      <c r="M91" s="318"/>
      <c r="N91" s="318"/>
      <c r="O91" s="318"/>
      <c r="P91" s="318"/>
      <c r="Q91" s="318"/>
      <c r="R91" s="318"/>
      <c r="S91" s="318"/>
      <c r="T91" s="318"/>
      <c r="U91" s="318"/>
      <c r="V91" s="318"/>
      <c r="W91" s="318"/>
      <c r="X91" s="318"/>
      <c r="Y91" s="295"/>
      <c r="Z91" s="295"/>
    </row>
    <row r="92" spans="1:53" ht="16.5" customHeight="1" x14ac:dyDescent="0.25">
      <c r="A92" s="53" t="s">
        <v>170</v>
      </c>
      <c r="B92" s="53" t="s">
        <v>171</v>
      </c>
      <c r="C92" s="30">
        <v>4301030895</v>
      </c>
      <c r="D92" s="308">
        <v>4607091387667</v>
      </c>
      <c r="E92" s="309"/>
      <c r="F92" s="301">
        <v>0.9</v>
      </c>
      <c r="G92" s="31">
        <v>10</v>
      </c>
      <c r="H92" s="301">
        <v>9</v>
      </c>
      <c r="I92" s="301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0"/>
      <c r="P92" s="320"/>
      <c r="Q92" s="320"/>
      <c r="R92" s="309"/>
      <c r="S92" s="33"/>
      <c r="T92" s="33"/>
      <c r="U92" s="34" t="s">
        <v>65</v>
      </c>
      <c r="V92" s="302">
        <v>0</v>
      </c>
      <c r="W92" s="303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172</v>
      </c>
      <c r="B93" s="53" t="s">
        <v>173</v>
      </c>
      <c r="C93" s="30">
        <v>4301030961</v>
      </c>
      <c r="D93" s="308">
        <v>4607091387636</v>
      </c>
      <c r="E93" s="309"/>
      <c r="F93" s="301">
        <v>0.7</v>
      </c>
      <c r="G93" s="31">
        <v>6</v>
      </c>
      <c r="H93" s="301">
        <v>4.2</v>
      </c>
      <c r="I93" s="301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0"/>
      <c r="P93" s="320"/>
      <c r="Q93" s="320"/>
      <c r="R93" s="309"/>
      <c r="S93" s="33"/>
      <c r="T93" s="33"/>
      <c r="U93" s="34" t="s">
        <v>65</v>
      </c>
      <c r="V93" s="302">
        <v>0</v>
      </c>
      <c r="W93" s="303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174</v>
      </c>
      <c r="B94" s="53" t="s">
        <v>175</v>
      </c>
      <c r="C94" s="30">
        <v>4301031078</v>
      </c>
      <c r="D94" s="308">
        <v>4607091384727</v>
      </c>
      <c r="E94" s="309"/>
      <c r="F94" s="301">
        <v>0.8</v>
      </c>
      <c r="G94" s="31">
        <v>6</v>
      </c>
      <c r="H94" s="301">
        <v>4.8</v>
      </c>
      <c r="I94" s="301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58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0"/>
      <c r="P94" s="320"/>
      <c r="Q94" s="320"/>
      <c r="R94" s="309"/>
      <c r="S94" s="33"/>
      <c r="T94" s="33"/>
      <c r="U94" s="34" t="s">
        <v>65</v>
      </c>
      <c r="V94" s="302">
        <v>0</v>
      </c>
      <c r="W94" s="303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176</v>
      </c>
      <c r="B95" s="53" t="s">
        <v>177</v>
      </c>
      <c r="C95" s="30">
        <v>4301031080</v>
      </c>
      <c r="D95" s="308">
        <v>4607091386745</v>
      </c>
      <c r="E95" s="309"/>
      <c r="F95" s="301">
        <v>0.8</v>
      </c>
      <c r="G95" s="31">
        <v>6</v>
      </c>
      <c r="H95" s="301">
        <v>4.8</v>
      </c>
      <c r="I95" s="301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45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0"/>
      <c r="P95" s="320"/>
      <c r="Q95" s="320"/>
      <c r="R95" s="309"/>
      <c r="S95" s="33"/>
      <c r="T95" s="33"/>
      <c r="U95" s="34" t="s">
        <v>65</v>
      </c>
      <c r="V95" s="302">
        <v>0</v>
      </c>
      <c r="W95" s="303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178</v>
      </c>
      <c r="B96" s="53" t="s">
        <v>179</v>
      </c>
      <c r="C96" s="30">
        <v>4301030963</v>
      </c>
      <c r="D96" s="308">
        <v>4607091382426</v>
      </c>
      <c r="E96" s="309"/>
      <c r="F96" s="301">
        <v>0.9</v>
      </c>
      <c r="G96" s="31">
        <v>10</v>
      </c>
      <c r="H96" s="301">
        <v>9</v>
      </c>
      <c r="I96" s="301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0"/>
      <c r="P96" s="320"/>
      <c r="Q96" s="320"/>
      <c r="R96" s="309"/>
      <c r="S96" s="33"/>
      <c r="T96" s="33"/>
      <c r="U96" s="34" t="s">
        <v>65</v>
      </c>
      <c r="V96" s="302">
        <v>0</v>
      </c>
      <c r="W96" s="303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180</v>
      </c>
      <c r="B97" s="53" t="s">
        <v>181</v>
      </c>
      <c r="C97" s="30">
        <v>4301030962</v>
      </c>
      <c r="D97" s="308">
        <v>4607091386547</v>
      </c>
      <c r="E97" s="309"/>
      <c r="F97" s="301">
        <v>0.35</v>
      </c>
      <c r="G97" s="31">
        <v>8</v>
      </c>
      <c r="H97" s="301">
        <v>2.8</v>
      </c>
      <c r="I97" s="301">
        <v>2.94</v>
      </c>
      <c r="J97" s="31">
        <v>234</v>
      </c>
      <c r="K97" s="31" t="s">
        <v>164</v>
      </c>
      <c r="L97" s="32" t="s">
        <v>64</v>
      </c>
      <c r="M97" s="31">
        <v>40</v>
      </c>
      <c r="N97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0"/>
      <c r="P97" s="320"/>
      <c r="Q97" s="320"/>
      <c r="R97" s="309"/>
      <c r="S97" s="33"/>
      <c r="T97" s="33"/>
      <c r="U97" s="34" t="s">
        <v>65</v>
      </c>
      <c r="V97" s="302">
        <v>0</v>
      </c>
      <c r="W97" s="303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182</v>
      </c>
      <c r="B98" s="53" t="s">
        <v>183</v>
      </c>
      <c r="C98" s="30">
        <v>4301031079</v>
      </c>
      <c r="D98" s="308">
        <v>4607091384734</v>
      </c>
      <c r="E98" s="309"/>
      <c r="F98" s="301">
        <v>0.35</v>
      </c>
      <c r="G98" s="31">
        <v>6</v>
      </c>
      <c r="H98" s="301">
        <v>2.1</v>
      </c>
      <c r="I98" s="301">
        <v>2.2000000000000002</v>
      </c>
      <c r="J98" s="31">
        <v>234</v>
      </c>
      <c r="K98" s="31" t="s">
        <v>164</v>
      </c>
      <c r="L98" s="32" t="s">
        <v>64</v>
      </c>
      <c r="M98" s="31">
        <v>45</v>
      </c>
      <c r="N98" s="45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0"/>
      <c r="P98" s="320"/>
      <c r="Q98" s="320"/>
      <c r="R98" s="309"/>
      <c r="S98" s="33"/>
      <c r="T98" s="33"/>
      <c r="U98" s="34" t="s">
        <v>65</v>
      </c>
      <c r="V98" s="302">
        <v>0</v>
      </c>
      <c r="W98" s="303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184</v>
      </c>
      <c r="B99" s="53" t="s">
        <v>185</v>
      </c>
      <c r="C99" s="30">
        <v>4301030964</v>
      </c>
      <c r="D99" s="308">
        <v>4607091382464</v>
      </c>
      <c r="E99" s="309"/>
      <c r="F99" s="301">
        <v>0.35</v>
      </c>
      <c r="G99" s="31">
        <v>8</v>
      </c>
      <c r="H99" s="301">
        <v>2.8</v>
      </c>
      <c r="I99" s="301">
        <v>2.964</v>
      </c>
      <c r="J99" s="31">
        <v>234</v>
      </c>
      <c r="K99" s="31" t="s">
        <v>164</v>
      </c>
      <c r="L99" s="32" t="s">
        <v>64</v>
      </c>
      <c r="M99" s="31">
        <v>40</v>
      </c>
      <c r="N99" s="5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0"/>
      <c r="P99" s="320"/>
      <c r="Q99" s="320"/>
      <c r="R99" s="309"/>
      <c r="S99" s="33"/>
      <c r="T99" s="33"/>
      <c r="U99" s="34" t="s">
        <v>65</v>
      </c>
      <c r="V99" s="302">
        <v>0</v>
      </c>
      <c r="W99" s="303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186</v>
      </c>
      <c r="B100" s="53" t="s">
        <v>187</v>
      </c>
      <c r="C100" s="30">
        <v>4301031234</v>
      </c>
      <c r="D100" s="308">
        <v>4680115883444</v>
      </c>
      <c r="E100" s="309"/>
      <c r="F100" s="301">
        <v>0.35</v>
      </c>
      <c r="G100" s="31">
        <v>8</v>
      </c>
      <c r="H100" s="301">
        <v>2.8</v>
      </c>
      <c r="I100" s="301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580" t="s">
        <v>188</v>
      </c>
      <c r="O100" s="320"/>
      <c r="P100" s="320"/>
      <c r="Q100" s="320"/>
      <c r="R100" s="309"/>
      <c r="S100" s="33"/>
      <c r="T100" s="33"/>
      <c r="U100" s="34" t="s">
        <v>65</v>
      </c>
      <c r="V100" s="302">
        <v>0</v>
      </c>
      <c r="W100" s="303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186</v>
      </c>
      <c r="B101" s="53" t="s">
        <v>189</v>
      </c>
      <c r="C101" s="30">
        <v>4301031235</v>
      </c>
      <c r="D101" s="308">
        <v>4680115883444</v>
      </c>
      <c r="E101" s="309"/>
      <c r="F101" s="301">
        <v>0.35</v>
      </c>
      <c r="G101" s="31">
        <v>8</v>
      </c>
      <c r="H101" s="301">
        <v>2.8</v>
      </c>
      <c r="I101" s="301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503" t="s">
        <v>188</v>
      </c>
      <c r="O101" s="320"/>
      <c r="P101" s="320"/>
      <c r="Q101" s="320"/>
      <c r="R101" s="309"/>
      <c r="S101" s="33"/>
      <c r="T101" s="33"/>
      <c r="U101" s="34" t="s">
        <v>65</v>
      </c>
      <c r="V101" s="302">
        <v>0</v>
      </c>
      <c r="W101" s="303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34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35"/>
      <c r="N102" s="321" t="s">
        <v>66</v>
      </c>
      <c r="O102" s="322"/>
      <c r="P102" s="322"/>
      <c r="Q102" s="322"/>
      <c r="R102" s="322"/>
      <c r="S102" s="322"/>
      <c r="T102" s="323"/>
      <c r="U102" s="36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35"/>
      <c r="N103" s="321" t="s">
        <v>66</v>
      </c>
      <c r="O103" s="322"/>
      <c r="P103" s="322"/>
      <c r="Q103" s="322"/>
      <c r="R103" s="322"/>
      <c r="S103" s="322"/>
      <c r="T103" s="323"/>
      <c r="U103" s="36" t="s">
        <v>65</v>
      </c>
      <c r="V103" s="304">
        <f>IFERROR(SUM(V92:V101),"0")</f>
        <v>0</v>
      </c>
      <c r="W103" s="304">
        <f>IFERROR(SUM(W92:W101),"0")</f>
        <v>0</v>
      </c>
      <c r="X103" s="36"/>
      <c r="Y103" s="305"/>
      <c r="Z103" s="305"/>
    </row>
    <row r="104" spans="1:53" ht="14.25" customHeight="1" x14ac:dyDescent="0.25">
      <c r="A104" s="330" t="s">
        <v>68</v>
      </c>
      <c r="B104" s="318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  <c r="O104" s="318"/>
      <c r="P104" s="318"/>
      <c r="Q104" s="318"/>
      <c r="R104" s="318"/>
      <c r="S104" s="318"/>
      <c r="T104" s="318"/>
      <c r="U104" s="318"/>
      <c r="V104" s="318"/>
      <c r="W104" s="318"/>
      <c r="X104" s="318"/>
      <c r="Y104" s="295"/>
      <c r="Z104" s="295"/>
    </row>
    <row r="105" spans="1:53" ht="27" customHeight="1" x14ac:dyDescent="0.25">
      <c r="A105" s="53" t="s">
        <v>190</v>
      </c>
      <c r="B105" s="53" t="s">
        <v>191</v>
      </c>
      <c r="C105" s="30">
        <v>4301051437</v>
      </c>
      <c r="D105" s="308">
        <v>4607091386967</v>
      </c>
      <c r="E105" s="309"/>
      <c r="F105" s="301">
        <v>1.35</v>
      </c>
      <c r="G105" s="31">
        <v>6</v>
      </c>
      <c r="H105" s="301">
        <v>8.1</v>
      </c>
      <c r="I105" s="301">
        <v>8.6639999999999997</v>
      </c>
      <c r="J105" s="31">
        <v>56</v>
      </c>
      <c r="K105" s="31" t="s">
        <v>98</v>
      </c>
      <c r="L105" s="32" t="s">
        <v>132</v>
      </c>
      <c r="M105" s="31">
        <v>45</v>
      </c>
      <c r="N105" s="409" t="s">
        <v>192</v>
      </c>
      <c r="O105" s="320"/>
      <c r="P105" s="320"/>
      <c r="Q105" s="320"/>
      <c r="R105" s="309"/>
      <c r="S105" s="33"/>
      <c r="T105" s="33"/>
      <c r="U105" s="34" t="s">
        <v>65</v>
      </c>
      <c r="V105" s="302">
        <v>0</v>
      </c>
      <c r="W105" s="303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190</v>
      </c>
      <c r="B106" s="53" t="s">
        <v>193</v>
      </c>
      <c r="C106" s="30">
        <v>4301051543</v>
      </c>
      <c r="D106" s="308">
        <v>4607091386967</v>
      </c>
      <c r="E106" s="309"/>
      <c r="F106" s="301">
        <v>1.4</v>
      </c>
      <c r="G106" s="31">
        <v>6</v>
      </c>
      <c r="H106" s="301">
        <v>8.4</v>
      </c>
      <c r="I106" s="301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607" t="s">
        <v>194</v>
      </c>
      <c r="O106" s="320"/>
      <c r="P106" s="320"/>
      <c r="Q106" s="320"/>
      <c r="R106" s="309"/>
      <c r="S106" s="33"/>
      <c r="T106" s="33"/>
      <c r="U106" s="34" t="s">
        <v>65</v>
      </c>
      <c r="V106" s="302">
        <v>0</v>
      </c>
      <c r="W106" s="303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195</v>
      </c>
      <c r="B107" s="53" t="s">
        <v>196</v>
      </c>
      <c r="C107" s="30">
        <v>4301051311</v>
      </c>
      <c r="D107" s="308">
        <v>4607091385304</v>
      </c>
      <c r="E107" s="309"/>
      <c r="F107" s="301">
        <v>1.35</v>
      </c>
      <c r="G107" s="31">
        <v>6</v>
      </c>
      <c r="H107" s="301">
        <v>8.1</v>
      </c>
      <c r="I107" s="301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41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0"/>
      <c r="P107" s="320"/>
      <c r="Q107" s="320"/>
      <c r="R107" s="309"/>
      <c r="S107" s="33"/>
      <c r="T107" s="33"/>
      <c r="U107" s="34" t="s">
        <v>65</v>
      </c>
      <c r="V107" s="302">
        <v>150</v>
      </c>
      <c r="W107" s="303">
        <f t="shared" si="6"/>
        <v>153.9</v>
      </c>
      <c r="X107" s="35">
        <f>IFERROR(IF(W107=0,"",ROUNDUP(W107/H107,0)*0.02175),"")</f>
        <v>0.41324999999999995</v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197</v>
      </c>
      <c r="B108" s="53" t="s">
        <v>198</v>
      </c>
      <c r="C108" s="30">
        <v>4301051306</v>
      </c>
      <c r="D108" s="308">
        <v>4607091386264</v>
      </c>
      <c r="E108" s="309"/>
      <c r="F108" s="301">
        <v>0.5</v>
      </c>
      <c r="G108" s="31">
        <v>6</v>
      </c>
      <c r="H108" s="301">
        <v>3</v>
      </c>
      <c r="I108" s="301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45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0"/>
      <c r="P108" s="320"/>
      <c r="Q108" s="320"/>
      <c r="R108" s="309"/>
      <c r="S108" s="33"/>
      <c r="T108" s="33"/>
      <c r="U108" s="34" t="s">
        <v>65</v>
      </c>
      <c r="V108" s="302">
        <v>0</v>
      </c>
      <c r="W108" s="303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199</v>
      </c>
      <c r="B109" s="53" t="s">
        <v>200</v>
      </c>
      <c r="C109" s="30">
        <v>4301051436</v>
      </c>
      <c r="D109" s="308">
        <v>4607091385731</v>
      </c>
      <c r="E109" s="309"/>
      <c r="F109" s="301">
        <v>0.45</v>
      </c>
      <c r="G109" s="31">
        <v>6</v>
      </c>
      <c r="H109" s="301">
        <v>2.7</v>
      </c>
      <c r="I109" s="301">
        <v>2.972</v>
      </c>
      <c r="J109" s="31">
        <v>156</v>
      </c>
      <c r="K109" s="31" t="s">
        <v>63</v>
      </c>
      <c r="L109" s="32" t="s">
        <v>132</v>
      </c>
      <c r="M109" s="31">
        <v>45</v>
      </c>
      <c r="N109" s="440" t="s">
        <v>201</v>
      </c>
      <c r="O109" s="320"/>
      <c r="P109" s="320"/>
      <c r="Q109" s="320"/>
      <c r="R109" s="309"/>
      <c r="S109" s="33"/>
      <c r="T109" s="33"/>
      <c r="U109" s="34" t="s">
        <v>65</v>
      </c>
      <c r="V109" s="302">
        <v>0</v>
      </c>
      <c r="W109" s="303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202</v>
      </c>
      <c r="B110" s="53" t="s">
        <v>203</v>
      </c>
      <c r="C110" s="30">
        <v>4301051439</v>
      </c>
      <c r="D110" s="308">
        <v>4680115880214</v>
      </c>
      <c r="E110" s="309"/>
      <c r="F110" s="301">
        <v>0.45</v>
      </c>
      <c r="G110" s="31">
        <v>6</v>
      </c>
      <c r="H110" s="301">
        <v>2.7</v>
      </c>
      <c r="I110" s="301">
        <v>2.988</v>
      </c>
      <c r="J110" s="31">
        <v>120</v>
      </c>
      <c r="K110" s="31" t="s">
        <v>63</v>
      </c>
      <c r="L110" s="32" t="s">
        <v>132</v>
      </c>
      <c r="M110" s="31">
        <v>45</v>
      </c>
      <c r="N110" s="422" t="s">
        <v>204</v>
      </c>
      <c r="O110" s="320"/>
      <c r="P110" s="320"/>
      <c r="Q110" s="320"/>
      <c r="R110" s="309"/>
      <c r="S110" s="33"/>
      <c r="T110" s="33"/>
      <c r="U110" s="34" t="s">
        <v>65</v>
      </c>
      <c r="V110" s="302">
        <v>0</v>
      </c>
      <c r="W110" s="303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205</v>
      </c>
      <c r="B111" s="53" t="s">
        <v>206</v>
      </c>
      <c r="C111" s="30">
        <v>4301051438</v>
      </c>
      <c r="D111" s="308">
        <v>4680115880894</v>
      </c>
      <c r="E111" s="309"/>
      <c r="F111" s="301">
        <v>0.33</v>
      </c>
      <c r="G111" s="31">
        <v>6</v>
      </c>
      <c r="H111" s="301">
        <v>1.98</v>
      </c>
      <c r="I111" s="301">
        <v>2.258</v>
      </c>
      <c r="J111" s="31">
        <v>156</v>
      </c>
      <c r="K111" s="31" t="s">
        <v>63</v>
      </c>
      <c r="L111" s="32" t="s">
        <v>132</v>
      </c>
      <c r="M111" s="31">
        <v>45</v>
      </c>
      <c r="N111" s="432" t="s">
        <v>207</v>
      </c>
      <c r="O111" s="320"/>
      <c r="P111" s="320"/>
      <c r="Q111" s="320"/>
      <c r="R111" s="309"/>
      <c r="S111" s="33"/>
      <c r="T111" s="33"/>
      <c r="U111" s="34" t="s">
        <v>65</v>
      </c>
      <c r="V111" s="302">
        <v>0</v>
      </c>
      <c r="W111" s="303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208</v>
      </c>
      <c r="B112" s="53" t="s">
        <v>209</v>
      </c>
      <c r="C112" s="30">
        <v>4301051313</v>
      </c>
      <c r="D112" s="308">
        <v>4607091385427</v>
      </c>
      <c r="E112" s="309"/>
      <c r="F112" s="301">
        <v>0.5</v>
      </c>
      <c r="G112" s="31">
        <v>6</v>
      </c>
      <c r="H112" s="301">
        <v>3</v>
      </c>
      <c r="I112" s="301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6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0"/>
      <c r="P112" s="320"/>
      <c r="Q112" s="320"/>
      <c r="R112" s="309"/>
      <c r="S112" s="33"/>
      <c r="T112" s="33"/>
      <c r="U112" s="34" t="s">
        <v>65</v>
      </c>
      <c r="V112" s="302">
        <v>0</v>
      </c>
      <c r="W112" s="303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210</v>
      </c>
      <c r="B113" s="53" t="s">
        <v>211</v>
      </c>
      <c r="C113" s="30">
        <v>4301051480</v>
      </c>
      <c r="D113" s="308">
        <v>4680115882645</v>
      </c>
      <c r="E113" s="309"/>
      <c r="F113" s="301">
        <v>0.3</v>
      </c>
      <c r="G113" s="31">
        <v>6</v>
      </c>
      <c r="H113" s="301">
        <v>1.8</v>
      </c>
      <c r="I113" s="301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578" t="s">
        <v>212</v>
      </c>
      <c r="O113" s="320"/>
      <c r="P113" s="320"/>
      <c r="Q113" s="320"/>
      <c r="R113" s="309"/>
      <c r="S113" s="33"/>
      <c r="T113" s="33"/>
      <c r="U113" s="34" t="s">
        <v>65</v>
      </c>
      <c r="V113" s="302">
        <v>0</v>
      </c>
      <c r="W113" s="303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34"/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35"/>
      <c r="N114" s="321" t="s">
        <v>66</v>
      </c>
      <c r="O114" s="322"/>
      <c r="P114" s="322"/>
      <c r="Q114" s="322"/>
      <c r="R114" s="322"/>
      <c r="S114" s="322"/>
      <c r="T114" s="323"/>
      <c r="U114" s="36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18.518518518518519</v>
      </c>
      <c r="W114" s="304">
        <f>IFERROR(W105/H105,"0")+IFERROR(W106/H106,"0")+IFERROR(W107/H107,"0")+IFERROR(W108/H108,"0")+IFERROR(W109/H109,"0")+IFERROR(W110/H110,"0")+IFERROR(W111/H111,"0")+IFERROR(W112/H112,"0")+IFERROR(W113/H113,"0")</f>
        <v>19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0.41324999999999995</v>
      </c>
      <c r="Y114" s="305"/>
      <c r="Z114" s="305"/>
    </row>
    <row r="115" spans="1:53" x14ac:dyDescent="0.2">
      <c r="A115" s="318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8"/>
      <c r="M115" s="335"/>
      <c r="N115" s="321" t="s">
        <v>66</v>
      </c>
      <c r="O115" s="322"/>
      <c r="P115" s="322"/>
      <c r="Q115" s="322"/>
      <c r="R115" s="322"/>
      <c r="S115" s="322"/>
      <c r="T115" s="323"/>
      <c r="U115" s="36" t="s">
        <v>65</v>
      </c>
      <c r="V115" s="304">
        <f>IFERROR(SUM(V105:V113),"0")</f>
        <v>150</v>
      </c>
      <c r="W115" s="304">
        <f>IFERROR(SUM(W105:W113),"0")</f>
        <v>153.9</v>
      </c>
      <c r="X115" s="36"/>
      <c r="Y115" s="305"/>
      <c r="Z115" s="305"/>
    </row>
    <row r="116" spans="1:53" ht="14.25" customHeight="1" x14ac:dyDescent="0.25">
      <c r="A116" s="330" t="s">
        <v>213</v>
      </c>
      <c r="B116" s="318"/>
      <c r="C116" s="318"/>
      <c r="D116" s="318"/>
      <c r="E116" s="318"/>
      <c r="F116" s="318"/>
      <c r="G116" s="318"/>
      <c r="H116" s="318"/>
      <c r="I116" s="318"/>
      <c r="J116" s="318"/>
      <c r="K116" s="318"/>
      <c r="L116" s="318"/>
      <c r="M116" s="318"/>
      <c r="N116" s="318"/>
      <c r="O116" s="318"/>
      <c r="P116" s="318"/>
      <c r="Q116" s="318"/>
      <c r="R116" s="318"/>
      <c r="S116" s="318"/>
      <c r="T116" s="318"/>
      <c r="U116" s="318"/>
      <c r="V116" s="318"/>
      <c r="W116" s="318"/>
      <c r="X116" s="318"/>
      <c r="Y116" s="295"/>
      <c r="Z116" s="295"/>
    </row>
    <row r="117" spans="1:53" ht="27" customHeight="1" x14ac:dyDescent="0.25">
      <c r="A117" s="53" t="s">
        <v>214</v>
      </c>
      <c r="B117" s="53" t="s">
        <v>215</v>
      </c>
      <c r="C117" s="30">
        <v>4301060296</v>
      </c>
      <c r="D117" s="308">
        <v>4607091383065</v>
      </c>
      <c r="E117" s="309"/>
      <c r="F117" s="301">
        <v>0.83</v>
      </c>
      <c r="G117" s="31">
        <v>4</v>
      </c>
      <c r="H117" s="301">
        <v>3.32</v>
      </c>
      <c r="I117" s="301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0"/>
      <c r="P117" s="320"/>
      <c r="Q117" s="320"/>
      <c r="R117" s="309"/>
      <c r="S117" s="33"/>
      <c r="T117" s="33"/>
      <c r="U117" s="34" t="s">
        <v>65</v>
      </c>
      <c r="V117" s="302">
        <v>0</v>
      </c>
      <c r="W117" s="303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216</v>
      </c>
      <c r="B118" s="53" t="s">
        <v>217</v>
      </c>
      <c r="C118" s="30">
        <v>4301060350</v>
      </c>
      <c r="D118" s="308">
        <v>4680115881532</v>
      </c>
      <c r="E118" s="309"/>
      <c r="F118" s="301">
        <v>1.35</v>
      </c>
      <c r="G118" s="31">
        <v>6</v>
      </c>
      <c r="H118" s="301">
        <v>8.1</v>
      </c>
      <c r="I118" s="301">
        <v>8.58</v>
      </c>
      <c r="J118" s="31">
        <v>56</v>
      </c>
      <c r="K118" s="31" t="s">
        <v>98</v>
      </c>
      <c r="L118" s="32" t="s">
        <v>132</v>
      </c>
      <c r="M118" s="31">
        <v>30</v>
      </c>
      <c r="N118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0"/>
      <c r="P118" s="320"/>
      <c r="Q118" s="320"/>
      <c r="R118" s="309"/>
      <c r="S118" s="33"/>
      <c r="T118" s="33"/>
      <c r="U118" s="34" t="s">
        <v>65</v>
      </c>
      <c r="V118" s="302">
        <v>0</v>
      </c>
      <c r="W118" s="303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218</v>
      </c>
      <c r="B119" s="53" t="s">
        <v>219</v>
      </c>
      <c r="C119" s="30">
        <v>4301060356</v>
      </c>
      <c r="D119" s="308">
        <v>4680115882652</v>
      </c>
      <c r="E119" s="309"/>
      <c r="F119" s="301">
        <v>0.33</v>
      </c>
      <c r="G119" s="31">
        <v>6</v>
      </c>
      <c r="H119" s="301">
        <v>1.98</v>
      </c>
      <c r="I119" s="301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433" t="s">
        <v>220</v>
      </c>
      <c r="O119" s="320"/>
      <c r="P119" s="320"/>
      <c r="Q119" s="320"/>
      <c r="R119" s="309"/>
      <c r="S119" s="33"/>
      <c r="T119" s="33"/>
      <c r="U119" s="34" t="s">
        <v>65</v>
      </c>
      <c r="V119" s="302">
        <v>0</v>
      </c>
      <c r="W119" s="303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221</v>
      </c>
      <c r="B120" s="53" t="s">
        <v>222</v>
      </c>
      <c r="C120" s="30">
        <v>4301060309</v>
      </c>
      <c r="D120" s="308">
        <v>4680115880238</v>
      </c>
      <c r="E120" s="309"/>
      <c r="F120" s="301">
        <v>0.33</v>
      </c>
      <c r="G120" s="31">
        <v>6</v>
      </c>
      <c r="H120" s="301">
        <v>1.98</v>
      </c>
      <c r="I120" s="301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59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0"/>
      <c r="P120" s="320"/>
      <c r="Q120" s="320"/>
      <c r="R120" s="309"/>
      <c r="S120" s="33"/>
      <c r="T120" s="33"/>
      <c r="U120" s="34" t="s">
        <v>65</v>
      </c>
      <c r="V120" s="302">
        <v>0</v>
      </c>
      <c r="W120" s="303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223</v>
      </c>
      <c r="B121" s="53" t="s">
        <v>224</v>
      </c>
      <c r="C121" s="30">
        <v>4301060351</v>
      </c>
      <c r="D121" s="308">
        <v>4680115881464</v>
      </c>
      <c r="E121" s="309"/>
      <c r="F121" s="301">
        <v>0.4</v>
      </c>
      <c r="G121" s="31">
        <v>6</v>
      </c>
      <c r="H121" s="301">
        <v>2.4</v>
      </c>
      <c r="I121" s="301">
        <v>2.6</v>
      </c>
      <c r="J121" s="31">
        <v>156</v>
      </c>
      <c r="K121" s="31" t="s">
        <v>63</v>
      </c>
      <c r="L121" s="32" t="s">
        <v>132</v>
      </c>
      <c r="M121" s="31">
        <v>30</v>
      </c>
      <c r="N121" s="460" t="s">
        <v>225</v>
      </c>
      <c r="O121" s="320"/>
      <c r="P121" s="320"/>
      <c r="Q121" s="320"/>
      <c r="R121" s="309"/>
      <c r="S121" s="33"/>
      <c r="T121" s="33"/>
      <c r="U121" s="34" t="s">
        <v>65</v>
      </c>
      <c r="V121" s="302">
        <v>0</v>
      </c>
      <c r="W121" s="303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34"/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  <c r="L122" s="318"/>
      <c r="M122" s="335"/>
      <c r="N122" s="321" t="s">
        <v>66</v>
      </c>
      <c r="O122" s="322"/>
      <c r="P122" s="322"/>
      <c r="Q122" s="322"/>
      <c r="R122" s="322"/>
      <c r="S122" s="322"/>
      <c r="T122" s="323"/>
      <c r="U122" s="36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8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35"/>
      <c r="N123" s="321" t="s">
        <v>66</v>
      </c>
      <c r="O123" s="322"/>
      <c r="P123" s="322"/>
      <c r="Q123" s="322"/>
      <c r="R123" s="322"/>
      <c r="S123" s="322"/>
      <c r="T123" s="323"/>
      <c r="U123" s="36" t="s">
        <v>65</v>
      </c>
      <c r="V123" s="304">
        <f>IFERROR(SUM(V117:V121),"0")</f>
        <v>0</v>
      </c>
      <c r="W123" s="304">
        <f>IFERROR(SUM(W117:W121),"0")</f>
        <v>0</v>
      </c>
      <c r="X123" s="36"/>
      <c r="Y123" s="305"/>
      <c r="Z123" s="305"/>
    </row>
    <row r="124" spans="1:53" ht="16.5" customHeight="1" x14ac:dyDescent="0.25">
      <c r="A124" s="317" t="s">
        <v>226</v>
      </c>
      <c r="B124" s="318"/>
      <c r="C124" s="318"/>
      <c r="D124" s="318"/>
      <c r="E124" s="318"/>
      <c r="F124" s="318"/>
      <c r="G124" s="318"/>
      <c r="H124" s="318"/>
      <c r="I124" s="318"/>
      <c r="J124" s="318"/>
      <c r="K124" s="318"/>
      <c r="L124" s="318"/>
      <c r="M124" s="318"/>
      <c r="N124" s="318"/>
      <c r="O124" s="318"/>
      <c r="P124" s="318"/>
      <c r="Q124" s="318"/>
      <c r="R124" s="318"/>
      <c r="S124" s="318"/>
      <c r="T124" s="318"/>
      <c r="U124" s="318"/>
      <c r="V124" s="318"/>
      <c r="W124" s="318"/>
      <c r="X124" s="318"/>
      <c r="Y124" s="298"/>
      <c r="Z124" s="298"/>
    </row>
    <row r="125" spans="1:53" ht="14.25" customHeight="1" x14ac:dyDescent="0.25">
      <c r="A125" s="330" t="s">
        <v>68</v>
      </c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18"/>
      <c r="N125" s="318"/>
      <c r="O125" s="318"/>
      <c r="P125" s="318"/>
      <c r="Q125" s="318"/>
      <c r="R125" s="318"/>
      <c r="S125" s="318"/>
      <c r="T125" s="318"/>
      <c r="U125" s="318"/>
      <c r="V125" s="318"/>
      <c r="W125" s="318"/>
      <c r="X125" s="318"/>
      <c r="Y125" s="295"/>
      <c r="Z125" s="295"/>
    </row>
    <row r="126" spans="1:53" ht="27" customHeight="1" x14ac:dyDescent="0.25">
      <c r="A126" s="53" t="s">
        <v>227</v>
      </c>
      <c r="B126" s="53" t="s">
        <v>228</v>
      </c>
      <c r="C126" s="30">
        <v>4301051360</v>
      </c>
      <c r="D126" s="308">
        <v>4607091385168</v>
      </c>
      <c r="E126" s="309"/>
      <c r="F126" s="301">
        <v>1.35</v>
      </c>
      <c r="G126" s="31">
        <v>6</v>
      </c>
      <c r="H126" s="301">
        <v>8.1</v>
      </c>
      <c r="I126" s="301">
        <v>8.6579999999999995</v>
      </c>
      <c r="J126" s="31">
        <v>56</v>
      </c>
      <c r="K126" s="31" t="s">
        <v>98</v>
      </c>
      <c r="L126" s="32" t="s">
        <v>132</v>
      </c>
      <c r="M126" s="31">
        <v>45</v>
      </c>
      <c r="N126" s="5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0"/>
      <c r="P126" s="320"/>
      <c r="Q126" s="320"/>
      <c r="R126" s="309"/>
      <c r="S126" s="33"/>
      <c r="T126" s="33"/>
      <c r="U126" s="34" t="s">
        <v>65</v>
      </c>
      <c r="V126" s="302">
        <v>0</v>
      </c>
      <c r="W126" s="303">
        <f>IFERROR(IF(V126="",0,CEILING((V126/$H126),1)*$H126),"")</f>
        <v>0</v>
      </c>
      <c r="X126" s="35" t="str">
        <f>IFERROR(IF(W126=0,"",ROUNDUP(W126/H126,0)*0.02175),"")</f>
        <v/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229</v>
      </c>
      <c r="B127" s="53" t="s">
        <v>230</v>
      </c>
      <c r="C127" s="30">
        <v>4301051362</v>
      </c>
      <c r="D127" s="308">
        <v>4607091383256</v>
      </c>
      <c r="E127" s="309"/>
      <c r="F127" s="301">
        <v>0.33</v>
      </c>
      <c r="G127" s="31">
        <v>6</v>
      </c>
      <c r="H127" s="301">
        <v>1.98</v>
      </c>
      <c r="I127" s="301">
        <v>2.246</v>
      </c>
      <c r="J127" s="31">
        <v>156</v>
      </c>
      <c r="K127" s="31" t="s">
        <v>63</v>
      </c>
      <c r="L127" s="32" t="s">
        <v>132</v>
      </c>
      <c r="M127" s="31">
        <v>45</v>
      </c>
      <c r="N127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0"/>
      <c r="P127" s="320"/>
      <c r="Q127" s="320"/>
      <c r="R127" s="309"/>
      <c r="S127" s="33"/>
      <c r="T127" s="33"/>
      <c r="U127" s="34" t="s">
        <v>65</v>
      </c>
      <c r="V127" s="302">
        <v>0</v>
      </c>
      <c r="W127" s="303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231</v>
      </c>
      <c r="B128" s="53" t="s">
        <v>232</v>
      </c>
      <c r="C128" s="30">
        <v>4301051358</v>
      </c>
      <c r="D128" s="308">
        <v>4607091385748</v>
      </c>
      <c r="E128" s="309"/>
      <c r="F128" s="301">
        <v>0.45</v>
      </c>
      <c r="G128" s="31">
        <v>6</v>
      </c>
      <c r="H128" s="301">
        <v>2.7</v>
      </c>
      <c r="I128" s="301">
        <v>2.972</v>
      </c>
      <c r="J128" s="31">
        <v>156</v>
      </c>
      <c r="K128" s="31" t="s">
        <v>63</v>
      </c>
      <c r="L128" s="32" t="s">
        <v>132</v>
      </c>
      <c r="M128" s="31">
        <v>45</v>
      </c>
      <c r="N128" s="5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0"/>
      <c r="P128" s="320"/>
      <c r="Q128" s="320"/>
      <c r="R128" s="309"/>
      <c r="S128" s="33"/>
      <c r="T128" s="33"/>
      <c r="U128" s="34" t="s">
        <v>65</v>
      </c>
      <c r="V128" s="302">
        <v>225.9</v>
      </c>
      <c r="W128" s="303">
        <f>IFERROR(IF(V128="",0,CEILING((V128/$H128),1)*$H128),"")</f>
        <v>226.8</v>
      </c>
      <c r="X128" s="35">
        <f>IFERROR(IF(W128=0,"",ROUNDUP(W128/H128,0)*0.00753),"")</f>
        <v>0.63251999999999997</v>
      </c>
      <c r="Y128" s="55"/>
      <c r="Z128" s="56"/>
      <c r="AD128" s="57"/>
      <c r="BA128" s="123" t="s">
        <v>1</v>
      </c>
    </row>
    <row r="129" spans="1:53" x14ac:dyDescent="0.2">
      <c r="A129" s="334"/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35"/>
      <c r="N129" s="321" t="s">
        <v>66</v>
      </c>
      <c r="O129" s="322"/>
      <c r="P129" s="322"/>
      <c r="Q129" s="322"/>
      <c r="R129" s="322"/>
      <c r="S129" s="322"/>
      <c r="T129" s="323"/>
      <c r="U129" s="36" t="s">
        <v>67</v>
      </c>
      <c r="V129" s="304">
        <f>IFERROR(V126/H126,"0")+IFERROR(V127/H127,"0")+IFERROR(V128/H128,"0")</f>
        <v>83.666666666666657</v>
      </c>
      <c r="W129" s="304">
        <f>IFERROR(W126/H126,"0")+IFERROR(W127/H127,"0")+IFERROR(W128/H128,"0")</f>
        <v>84</v>
      </c>
      <c r="X129" s="304">
        <f>IFERROR(IF(X126="",0,X126),"0")+IFERROR(IF(X127="",0,X127),"0")+IFERROR(IF(X128="",0,X128),"0")</f>
        <v>0.63251999999999997</v>
      </c>
      <c r="Y129" s="305"/>
      <c r="Z129" s="305"/>
    </row>
    <row r="130" spans="1:53" x14ac:dyDescent="0.2">
      <c r="A130" s="318"/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35"/>
      <c r="N130" s="321" t="s">
        <v>66</v>
      </c>
      <c r="O130" s="322"/>
      <c r="P130" s="322"/>
      <c r="Q130" s="322"/>
      <c r="R130" s="322"/>
      <c r="S130" s="322"/>
      <c r="T130" s="323"/>
      <c r="U130" s="36" t="s">
        <v>65</v>
      </c>
      <c r="V130" s="304">
        <f>IFERROR(SUM(V126:V128),"0")</f>
        <v>225.9</v>
      </c>
      <c r="W130" s="304">
        <f>IFERROR(SUM(W126:W128),"0")</f>
        <v>226.8</v>
      </c>
      <c r="X130" s="36"/>
      <c r="Y130" s="305"/>
      <c r="Z130" s="305"/>
    </row>
    <row r="131" spans="1:53" ht="27.75" customHeight="1" x14ac:dyDescent="0.2">
      <c r="A131" s="362" t="s">
        <v>233</v>
      </c>
      <c r="B131" s="363"/>
      <c r="C131" s="363"/>
      <c r="D131" s="363"/>
      <c r="E131" s="363"/>
      <c r="F131" s="363"/>
      <c r="G131" s="363"/>
      <c r="H131" s="363"/>
      <c r="I131" s="363"/>
      <c r="J131" s="363"/>
      <c r="K131" s="363"/>
      <c r="L131" s="363"/>
      <c r="M131" s="363"/>
      <c r="N131" s="363"/>
      <c r="O131" s="363"/>
      <c r="P131" s="363"/>
      <c r="Q131" s="363"/>
      <c r="R131" s="363"/>
      <c r="S131" s="363"/>
      <c r="T131" s="363"/>
      <c r="U131" s="363"/>
      <c r="V131" s="363"/>
      <c r="W131" s="363"/>
      <c r="X131" s="363"/>
      <c r="Y131" s="47"/>
      <c r="Z131" s="47"/>
    </row>
    <row r="132" spans="1:53" ht="16.5" customHeight="1" x14ac:dyDescent="0.25">
      <c r="A132" s="317" t="s">
        <v>234</v>
      </c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18"/>
      <c r="N132" s="318"/>
      <c r="O132" s="318"/>
      <c r="P132" s="318"/>
      <c r="Q132" s="318"/>
      <c r="R132" s="318"/>
      <c r="S132" s="318"/>
      <c r="T132" s="318"/>
      <c r="U132" s="318"/>
      <c r="V132" s="318"/>
      <c r="W132" s="318"/>
      <c r="X132" s="318"/>
      <c r="Y132" s="298"/>
      <c r="Z132" s="298"/>
    </row>
    <row r="133" spans="1:53" ht="14.25" customHeight="1" x14ac:dyDescent="0.25">
      <c r="A133" s="330" t="s">
        <v>103</v>
      </c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18"/>
      <c r="N133" s="318"/>
      <c r="O133" s="318"/>
      <c r="P133" s="318"/>
      <c r="Q133" s="318"/>
      <c r="R133" s="318"/>
      <c r="S133" s="318"/>
      <c r="T133" s="318"/>
      <c r="U133" s="318"/>
      <c r="V133" s="318"/>
      <c r="W133" s="318"/>
      <c r="X133" s="318"/>
      <c r="Y133" s="295"/>
      <c r="Z133" s="295"/>
    </row>
    <row r="134" spans="1:53" ht="27" customHeight="1" x14ac:dyDescent="0.25">
      <c r="A134" s="53" t="s">
        <v>235</v>
      </c>
      <c r="B134" s="53" t="s">
        <v>236</v>
      </c>
      <c r="C134" s="30">
        <v>4301011223</v>
      </c>
      <c r="D134" s="308">
        <v>4607091383423</v>
      </c>
      <c r="E134" s="309"/>
      <c r="F134" s="301">
        <v>1.35</v>
      </c>
      <c r="G134" s="31">
        <v>8</v>
      </c>
      <c r="H134" s="301">
        <v>10.8</v>
      </c>
      <c r="I134" s="301">
        <v>11.375999999999999</v>
      </c>
      <c r="J134" s="31">
        <v>56</v>
      </c>
      <c r="K134" s="31" t="s">
        <v>98</v>
      </c>
      <c r="L134" s="32" t="s">
        <v>132</v>
      </c>
      <c r="M134" s="31">
        <v>35</v>
      </c>
      <c r="N134" s="5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0"/>
      <c r="P134" s="320"/>
      <c r="Q134" s="320"/>
      <c r="R134" s="309"/>
      <c r="S134" s="33"/>
      <c r="T134" s="33"/>
      <c r="U134" s="34" t="s">
        <v>65</v>
      </c>
      <c r="V134" s="302">
        <v>0</v>
      </c>
      <c r="W134" s="303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237</v>
      </c>
      <c r="B135" s="53" t="s">
        <v>238</v>
      </c>
      <c r="C135" s="30">
        <v>4301011338</v>
      </c>
      <c r="D135" s="308">
        <v>4607091381405</v>
      </c>
      <c r="E135" s="309"/>
      <c r="F135" s="301">
        <v>1.35</v>
      </c>
      <c r="G135" s="31">
        <v>8</v>
      </c>
      <c r="H135" s="301">
        <v>10.8</v>
      </c>
      <c r="I135" s="301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4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0"/>
      <c r="P135" s="320"/>
      <c r="Q135" s="320"/>
      <c r="R135" s="309"/>
      <c r="S135" s="33"/>
      <c r="T135" s="33"/>
      <c r="U135" s="34" t="s">
        <v>65</v>
      </c>
      <c r="V135" s="302">
        <v>0</v>
      </c>
      <c r="W135" s="303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239</v>
      </c>
      <c r="B136" s="53" t="s">
        <v>240</v>
      </c>
      <c r="C136" s="30">
        <v>4301011333</v>
      </c>
      <c r="D136" s="308">
        <v>4607091386516</v>
      </c>
      <c r="E136" s="309"/>
      <c r="F136" s="301">
        <v>1.4</v>
      </c>
      <c r="G136" s="31">
        <v>8</v>
      </c>
      <c r="H136" s="301">
        <v>11.2</v>
      </c>
      <c r="I136" s="301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0"/>
      <c r="P136" s="320"/>
      <c r="Q136" s="320"/>
      <c r="R136" s="309"/>
      <c r="S136" s="33"/>
      <c r="T136" s="33"/>
      <c r="U136" s="34" t="s">
        <v>65</v>
      </c>
      <c r="V136" s="302">
        <v>0</v>
      </c>
      <c r="W136" s="303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34"/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35"/>
      <c r="N137" s="321" t="s">
        <v>66</v>
      </c>
      <c r="O137" s="322"/>
      <c r="P137" s="322"/>
      <c r="Q137" s="322"/>
      <c r="R137" s="322"/>
      <c r="S137" s="322"/>
      <c r="T137" s="323"/>
      <c r="U137" s="36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8"/>
      <c r="B138" s="318"/>
      <c r="C138" s="318"/>
      <c r="D138" s="318"/>
      <c r="E138" s="318"/>
      <c r="F138" s="318"/>
      <c r="G138" s="318"/>
      <c r="H138" s="318"/>
      <c r="I138" s="318"/>
      <c r="J138" s="318"/>
      <c r="K138" s="318"/>
      <c r="L138" s="318"/>
      <c r="M138" s="335"/>
      <c r="N138" s="321" t="s">
        <v>66</v>
      </c>
      <c r="O138" s="322"/>
      <c r="P138" s="322"/>
      <c r="Q138" s="322"/>
      <c r="R138" s="322"/>
      <c r="S138" s="322"/>
      <c r="T138" s="323"/>
      <c r="U138" s="36" t="s">
        <v>65</v>
      </c>
      <c r="V138" s="304">
        <f>IFERROR(SUM(V134:V136),"0")</f>
        <v>0</v>
      </c>
      <c r="W138" s="304">
        <f>IFERROR(SUM(W134:W136),"0")</f>
        <v>0</v>
      </c>
      <c r="X138" s="36"/>
      <c r="Y138" s="305"/>
      <c r="Z138" s="305"/>
    </row>
    <row r="139" spans="1:53" ht="16.5" customHeight="1" x14ac:dyDescent="0.25">
      <c r="A139" s="317" t="s">
        <v>241</v>
      </c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8"/>
      <c r="M139" s="318"/>
      <c r="N139" s="318"/>
      <c r="O139" s="318"/>
      <c r="P139" s="318"/>
      <c r="Q139" s="318"/>
      <c r="R139" s="318"/>
      <c r="S139" s="318"/>
      <c r="T139" s="318"/>
      <c r="U139" s="318"/>
      <c r="V139" s="318"/>
      <c r="W139" s="318"/>
      <c r="X139" s="318"/>
      <c r="Y139" s="298"/>
      <c r="Z139" s="298"/>
    </row>
    <row r="140" spans="1:53" ht="14.25" customHeight="1" x14ac:dyDescent="0.25">
      <c r="A140" s="330" t="s">
        <v>60</v>
      </c>
      <c r="B140" s="318"/>
      <c r="C140" s="318"/>
      <c r="D140" s="318"/>
      <c r="E140" s="318"/>
      <c r="F140" s="318"/>
      <c r="G140" s="318"/>
      <c r="H140" s="318"/>
      <c r="I140" s="318"/>
      <c r="J140" s="318"/>
      <c r="K140" s="318"/>
      <c r="L140" s="318"/>
      <c r="M140" s="318"/>
      <c r="N140" s="318"/>
      <c r="O140" s="318"/>
      <c r="P140" s="318"/>
      <c r="Q140" s="318"/>
      <c r="R140" s="318"/>
      <c r="S140" s="318"/>
      <c r="T140" s="318"/>
      <c r="U140" s="318"/>
      <c r="V140" s="318"/>
      <c r="W140" s="318"/>
      <c r="X140" s="318"/>
      <c r="Y140" s="295"/>
      <c r="Z140" s="295"/>
    </row>
    <row r="141" spans="1:53" ht="27" customHeight="1" x14ac:dyDescent="0.25">
      <c r="A141" s="53" t="s">
        <v>242</v>
      </c>
      <c r="B141" s="53" t="s">
        <v>243</v>
      </c>
      <c r="C141" s="30">
        <v>4301031191</v>
      </c>
      <c r="D141" s="308">
        <v>4680115880993</v>
      </c>
      <c r="E141" s="309"/>
      <c r="F141" s="301">
        <v>0.7</v>
      </c>
      <c r="G141" s="31">
        <v>6</v>
      </c>
      <c r="H141" s="301">
        <v>4.2</v>
      </c>
      <c r="I141" s="301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3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0"/>
      <c r="P141" s="320"/>
      <c r="Q141" s="320"/>
      <c r="R141" s="309"/>
      <c r="S141" s="33"/>
      <c r="T141" s="33"/>
      <c r="U141" s="34" t="s">
        <v>65</v>
      </c>
      <c r="V141" s="302">
        <v>0</v>
      </c>
      <c r="W141" s="303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244</v>
      </c>
      <c r="B142" s="53" t="s">
        <v>245</v>
      </c>
      <c r="C142" s="30">
        <v>4301031204</v>
      </c>
      <c r="D142" s="308">
        <v>4680115881761</v>
      </c>
      <c r="E142" s="309"/>
      <c r="F142" s="301">
        <v>0.7</v>
      </c>
      <c r="G142" s="31">
        <v>6</v>
      </c>
      <c r="H142" s="301">
        <v>4.2</v>
      </c>
      <c r="I142" s="301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5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0"/>
      <c r="P142" s="320"/>
      <c r="Q142" s="320"/>
      <c r="R142" s="309"/>
      <c r="S142" s="33"/>
      <c r="T142" s="33"/>
      <c r="U142" s="34" t="s">
        <v>65</v>
      </c>
      <c r="V142" s="302">
        <v>0</v>
      </c>
      <c r="W142" s="303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246</v>
      </c>
      <c r="B143" s="53" t="s">
        <v>247</v>
      </c>
      <c r="C143" s="30">
        <v>4301031201</v>
      </c>
      <c r="D143" s="308">
        <v>4680115881563</v>
      </c>
      <c r="E143" s="309"/>
      <c r="F143" s="301">
        <v>0.7</v>
      </c>
      <c r="G143" s="31">
        <v>6</v>
      </c>
      <c r="H143" s="301">
        <v>4.2</v>
      </c>
      <c r="I143" s="301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3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0"/>
      <c r="P143" s="320"/>
      <c r="Q143" s="320"/>
      <c r="R143" s="309"/>
      <c r="S143" s="33"/>
      <c r="T143" s="33"/>
      <c r="U143" s="34" t="s">
        <v>65</v>
      </c>
      <c r="V143" s="302">
        <v>0</v>
      </c>
      <c r="W143" s="303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248</v>
      </c>
      <c r="B144" s="53" t="s">
        <v>249</v>
      </c>
      <c r="C144" s="30">
        <v>4301031199</v>
      </c>
      <c r="D144" s="308">
        <v>4680115880986</v>
      </c>
      <c r="E144" s="309"/>
      <c r="F144" s="301">
        <v>0.35</v>
      </c>
      <c r="G144" s="31">
        <v>6</v>
      </c>
      <c r="H144" s="301">
        <v>2.1</v>
      </c>
      <c r="I144" s="301">
        <v>2.23</v>
      </c>
      <c r="J144" s="31">
        <v>234</v>
      </c>
      <c r="K144" s="31" t="s">
        <v>164</v>
      </c>
      <c r="L144" s="32" t="s">
        <v>64</v>
      </c>
      <c r="M144" s="31">
        <v>40</v>
      </c>
      <c r="N144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0"/>
      <c r="P144" s="320"/>
      <c r="Q144" s="320"/>
      <c r="R144" s="309"/>
      <c r="S144" s="33"/>
      <c r="T144" s="33"/>
      <c r="U144" s="34" t="s">
        <v>65</v>
      </c>
      <c r="V144" s="302">
        <v>0</v>
      </c>
      <c r="W144" s="303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250</v>
      </c>
      <c r="B145" s="53" t="s">
        <v>251</v>
      </c>
      <c r="C145" s="30">
        <v>4301031190</v>
      </c>
      <c r="D145" s="308">
        <v>4680115880207</v>
      </c>
      <c r="E145" s="309"/>
      <c r="F145" s="301">
        <v>0.4</v>
      </c>
      <c r="G145" s="31">
        <v>6</v>
      </c>
      <c r="H145" s="301">
        <v>2.4</v>
      </c>
      <c r="I145" s="301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0"/>
      <c r="P145" s="320"/>
      <c r="Q145" s="320"/>
      <c r="R145" s="309"/>
      <c r="S145" s="33"/>
      <c r="T145" s="33"/>
      <c r="U145" s="34" t="s">
        <v>65</v>
      </c>
      <c r="V145" s="302">
        <v>0</v>
      </c>
      <c r="W145" s="303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252</v>
      </c>
      <c r="B146" s="53" t="s">
        <v>253</v>
      </c>
      <c r="C146" s="30">
        <v>4301031205</v>
      </c>
      <c r="D146" s="308">
        <v>4680115881785</v>
      </c>
      <c r="E146" s="309"/>
      <c r="F146" s="301">
        <v>0.35</v>
      </c>
      <c r="G146" s="31">
        <v>6</v>
      </c>
      <c r="H146" s="301">
        <v>2.1</v>
      </c>
      <c r="I146" s="301">
        <v>2.23</v>
      </c>
      <c r="J146" s="31">
        <v>234</v>
      </c>
      <c r="K146" s="31" t="s">
        <v>164</v>
      </c>
      <c r="L146" s="32" t="s">
        <v>64</v>
      </c>
      <c r="M146" s="31">
        <v>40</v>
      </c>
      <c r="N146" s="38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0"/>
      <c r="P146" s="320"/>
      <c r="Q146" s="320"/>
      <c r="R146" s="309"/>
      <c r="S146" s="33"/>
      <c r="T146" s="33"/>
      <c r="U146" s="34" t="s">
        <v>65</v>
      </c>
      <c r="V146" s="302">
        <v>0</v>
      </c>
      <c r="W146" s="303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254</v>
      </c>
      <c r="B147" s="53" t="s">
        <v>255</v>
      </c>
      <c r="C147" s="30">
        <v>4301031202</v>
      </c>
      <c r="D147" s="308">
        <v>4680115881679</v>
      </c>
      <c r="E147" s="309"/>
      <c r="F147" s="301">
        <v>0.35</v>
      </c>
      <c r="G147" s="31">
        <v>6</v>
      </c>
      <c r="H147" s="301">
        <v>2.1</v>
      </c>
      <c r="I147" s="301">
        <v>2.2000000000000002</v>
      </c>
      <c r="J147" s="31">
        <v>234</v>
      </c>
      <c r="K147" s="31" t="s">
        <v>164</v>
      </c>
      <c r="L147" s="32" t="s">
        <v>64</v>
      </c>
      <c r="M147" s="31">
        <v>40</v>
      </c>
      <c r="N147" s="6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0"/>
      <c r="P147" s="320"/>
      <c r="Q147" s="320"/>
      <c r="R147" s="309"/>
      <c r="S147" s="33"/>
      <c r="T147" s="33"/>
      <c r="U147" s="34" t="s">
        <v>65</v>
      </c>
      <c r="V147" s="302">
        <v>0</v>
      </c>
      <c r="W147" s="303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256</v>
      </c>
      <c r="B148" s="53" t="s">
        <v>257</v>
      </c>
      <c r="C148" s="30">
        <v>4301031158</v>
      </c>
      <c r="D148" s="308">
        <v>4680115880191</v>
      </c>
      <c r="E148" s="309"/>
      <c r="F148" s="301">
        <v>0.4</v>
      </c>
      <c r="G148" s="31">
        <v>6</v>
      </c>
      <c r="H148" s="301">
        <v>2.4</v>
      </c>
      <c r="I148" s="301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0"/>
      <c r="P148" s="320"/>
      <c r="Q148" s="320"/>
      <c r="R148" s="309"/>
      <c r="S148" s="33"/>
      <c r="T148" s="33"/>
      <c r="U148" s="34" t="s">
        <v>65</v>
      </c>
      <c r="V148" s="302">
        <v>0</v>
      </c>
      <c r="W148" s="303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34"/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35"/>
      <c r="N149" s="321" t="s">
        <v>66</v>
      </c>
      <c r="O149" s="322"/>
      <c r="P149" s="322"/>
      <c r="Q149" s="322"/>
      <c r="R149" s="322"/>
      <c r="S149" s="322"/>
      <c r="T149" s="323"/>
      <c r="U149" s="36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18"/>
      <c r="M150" s="335"/>
      <c r="N150" s="321" t="s">
        <v>66</v>
      </c>
      <c r="O150" s="322"/>
      <c r="P150" s="322"/>
      <c r="Q150" s="322"/>
      <c r="R150" s="322"/>
      <c r="S150" s="322"/>
      <c r="T150" s="323"/>
      <c r="U150" s="36" t="s">
        <v>65</v>
      </c>
      <c r="V150" s="304">
        <f>IFERROR(SUM(V141:V148),"0")</f>
        <v>0</v>
      </c>
      <c r="W150" s="304">
        <f>IFERROR(SUM(W141:W148),"0")</f>
        <v>0</v>
      </c>
      <c r="X150" s="36"/>
      <c r="Y150" s="305"/>
      <c r="Z150" s="305"/>
    </row>
    <row r="151" spans="1:53" ht="16.5" customHeight="1" x14ac:dyDescent="0.25">
      <c r="A151" s="317" t="s">
        <v>258</v>
      </c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18"/>
      <c r="N151" s="318"/>
      <c r="O151" s="318"/>
      <c r="P151" s="318"/>
      <c r="Q151" s="318"/>
      <c r="R151" s="318"/>
      <c r="S151" s="318"/>
      <c r="T151" s="318"/>
      <c r="U151" s="318"/>
      <c r="V151" s="318"/>
      <c r="W151" s="318"/>
      <c r="X151" s="318"/>
      <c r="Y151" s="298"/>
      <c r="Z151" s="298"/>
    </row>
    <row r="152" spans="1:53" ht="14.25" customHeight="1" x14ac:dyDescent="0.25">
      <c r="A152" s="330" t="s">
        <v>103</v>
      </c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18"/>
      <c r="N152" s="318"/>
      <c r="O152" s="318"/>
      <c r="P152" s="318"/>
      <c r="Q152" s="318"/>
      <c r="R152" s="318"/>
      <c r="S152" s="318"/>
      <c r="T152" s="318"/>
      <c r="U152" s="318"/>
      <c r="V152" s="318"/>
      <c r="W152" s="318"/>
      <c r="X152" s="318"/>
      <c r="Y152" s="295"/>
      <c r="Z152" s="295"/>
    </row>
    <row r="153" spans="1:53" ht="16.5" customHeight="1" x14ac:dyDescent="0.25">
      <c r="A153" s="53" t="s">
        <v>259</v>
      </c>
      <c r="B153" s="53" t="s">
        <v>260</v>
      </c>
      <c r="C153" s="30">
        <v>4301011450</v>
      </c>
      <c r="D153" s="308">
        <v>4680115881402</v>
      </c>
      <c r="E153" s="309"/>
      <c r="F153" s="301">
        <v>1.35</v>
      </c>
      <c r="G153" s="31">
        <v>8</v>
      </c>
      <c r="H153" s="301">
        <v>10.8</v>
      </c>
      <c r="I153" s="301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0"/>
      <c r="P153" s="320"/>
      <c r="Q153" s="320"/>
      <c r="R153" s="309"/>
      <c r="S153" s="33"/>
      <c r="T153" s="33"/>
      <c r="U153" s="34" t="s">
        <v>65</v>
      </c>
      <c r="V153" s="302">
        <v>0</v>
      </c>
      <c r="W153" s="303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261</v>
      </c>
      <c r="B154" s="53" t="s">
        <v>262</v>
      </c>
      <c r="C154" s="30">
        <v>4301011454</v>
      </c>
      <c r="D154" s="308">
        <v>4680115881396</v>
      </c>
      <c r="E154" s="309"/>
      <c r="F154" s="301">
        <v>0.45</v>
      </c>
      <c r="G154" s="31">
        <v>6</v>
      </c>
      <c r="H154" s="301">
        <v>2.7</v>
      </c>
      <c r="I154" s="301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0"/>
      <c r="P154" s="320"/>
      <c r="Q154" s="320"/>
      <c r="R154" s="309"/>
      <c r="S154" s="33"/>
      <c r="T154" s="33"/>
      <c r="U154" s="34" t="s">
        <v>65</v>
      </c>
      <c r="V154" s="302">
        <v>0</v>
      </c>
      <c r="W154" s="303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34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35"/>
      <c r="N155" s="321" t="s">
        <v>66</v>
      </c>
      <c r="O155" s="322"/>
      <c r="P155" s="322"/>
      <c r="Q155" s="322"/>
      <c r="R155" s="322"/>
      <c r="S155" s="322"/>
      <c r="T155" s="323"/>
      <c r="U155" s="36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8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35"/>
      <c r="N156" s="321" t="s">
        <v>66</v>
      </c>
      <c r="O156" s="322"/>
      <c r="P156" s="322"/>
      <c r="Q156" s="322"/>
      <c r="R156" s="322"/>
      <c r="S156" s="322"/>
      <c r="T156" s="323"/>
      <c r="U156" s="36" t="s">
        <v>65</v>
      </c>
      <c r="V156" s="304">
        <f>IFERROR(SUM(V153:V154),"0")</f>
        <v>0</v>
      </c>
      <c r="W156" s="304">
        <f>IFERROR(SUM(W153:W154),"0")</f>
        <v>0</v>
      </c>
      <c r="X156" s="36"/>
      <c r="Y156" s="305"/>
      <c r="Z156" s="305"/>
    </row>
    <row r="157" spans="1:53" ht="14.25" customHeight="1" x14ac:dyDescent="0.25">
      <c r="A157" s="330" t="s">
        <v>95</v>
      </c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18"/>
      <c r="N157" s="318"/>
      <c r="O157" s="318"/>
      <c r="P157" s="318"/>
      <c r="Q157" s="318"/>
      <c r="R157" s="318"/>
      <c r="S157" s="318"/>
      <c r="T157" s="318"/>
      <c r="U157" s="318"/>
      <c r="V157" s="318"/>
      <c r="W157" s="318"/>
      <c r="X157" s="318"/>
      <c r="Y157" s="295"/>
      <c r="Z157" s="295"/>
    </row>
    <row r="158" spans="1:53" ht="16.5" customHeight="1" x14ac:dyDescent="0.25">
      <c r="A158" s="53" t="s">
        <v>263</v>
      </c>
      <c r="B158" s="53" t="s">
        <v>264</v>
      </c>
      <c r="C158" s="30">
        <v>4301020262</v>
      </c>
      <c r="D158" s="308">
        <v>4680115882935</v>
      </c>
      <c r="E158" s="309"/>
      <c r="F158" s="301">
        <v>1.35</v>
      </c>
      <c r="G158" s="31">
        <v>8</v>
      </c>
      <c r="H158" s="301">
        <v>10.8</v>
      </c>
      <c r="I158" s="301">
        <v>11.28</v>
      </c>
      <c r="J158" s="31">
        <v>56</v>
      </c>
      <c r="K158" s="31" t="s">
        <v>98</v>
      </c>
      <c r="L158" s="32" t="s">
        <v>132</v>
      </c>
      <c r="M158" s="31">
        <v>50</v>
      </c>
      <c r="N158" s="470" t="s">
        <v>265</v>
      </c>
      <c r="O158" s="320"/>
      <c r="P158" s="320"/>
      <c r="Q158" s="320"/>
      <c r="R158" s="309"/>
      <c r="S158" s="33"/>
      <c r="T158" s="33"/>
      <c r="U158" s="34" t="s">
        <v>65</v>
      </c>
      <c r="V158" s="302">
        <v>0</v>
      </c>
      <c r="W158" s="303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266</v>
      </c>
      <c r="B159" s="53" t="s">
        <v>267</v>
      </c>
      <c r="C159" s="30">
        <v>4301020220</v>
      </c>
      <c r="D159" s="308">
        <v>4680115880764</v>
      </c>
      <c r="E159" s="309"/>
      <c r="F159" s="301">
        <v>0.35</v>
      </c>
      <c r="G159" s="31">
        <v>6</v>
      </c>
      <c r="H159" s="301">
        <v>2.1</v>
      </c>
      <c r="I159" s="301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0"/>
      <c r="P159" s="320"/>
      <c r="Q159" s="320"/>
      <c r="R159" s="309"/>
      <c r="S159" s="33"/>
      <c r="T159" s="33"/>
      <c r="U159" s="34" t="s">
        <v>65</v>
      </c>
      <c r="V159" s="302">
        <v>0</v>
      </c>
      <c r="W159" s="303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34"/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35"/>
      <c r="N160" s="321" t="s">
        <v>66</v>
      </c>
      <c r="O160" s="322"/>
      <c r="P160" s="322"/>
      <c r="Q160" s="322"/>
      <c r="R160" s="322"/>
      <c r="S160" s="322"/>
      <c r="T160" s="323"/>
      <c r="U160" s="36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8"/>
      <c r="B161" s="318"/>
      <c r="C161" s="318"/>
      <c r="D161" s="318"/>
      <c r="E161" s="318"/>
      <c r="F161" s="318"/>
      <c r="G161" s="318"/>
      <c r="H161" s="318"/>
      <c r="I161" s="318"/>
      <c r="J161" s="318"/>
      <c r="K161" s="318"/>
      <c r="L161" s="318"/>
      <c r="M161" s="335"/>
      <c r="N161" s="321" t="s">
        <v>66</v>
      </c>
      <c r="O161" s="322"/>
      <c r="P161" s="322"/>
      <c r="Q161" s="322"/>
      <c r="R161" s="322"/>
      <c r="S161" s="322"/>
      <c r="T161" s="323"/>
      <c r="U161" s="36" t="s">
        <v>65</v>
      </c>
      <c r="V161" s="304">
        <f>IFERROR(SUM(V158:V159),"0")</f>
        <v>0</v>
      </c>
      <c r="W161" s="304">
        <f>IFERROR(SUM(W158:W159),"0")</f>
        <v>0</v>
      </c>
      <c r="X161" s="36"/>
      <c r="Y161" s="305"/>
      <c r="Z161" s="305"/>
    </row>
    <row r="162" spans="1:53" ht="14.25" customHeight="1" x14ac:dyDescent="0.25">
      <c r="A162" s="330" t="s">
        <v>60</v>
      </c>
      <c r="B162" s="318"/>
      <c r="C162" s="318"/>
      <c r="D162" s="318"/>
      <c r="E162" s="318"/>
      <c r="F162" s="318"/>
      <c r="G162" s="318"/>
      <c r="H162" s="318"/>
      <c r="I162" s="318"/>
      <c r="J162" s="318"/>
      <c r="K162" s="318"/>
      <c r="L162" s="318"/>
      <c r="M162" s="318"/>
      <c r="N162" s="318"/>
      <c r="O162" s="318"/>
      <c r="P162" s="318"/>
      <c r="Q162" s="318"/>
      <c r="R162" s="318"/>
      <c r="S162" s="318"/>
      <c r="T162" s="318"/>
      <c r="U162" s="318"/>
      <c r="V162" s="318"/>
      <c r="W162" s="318"/>
      <c r="X162" s="318"/>
      <c r="Y162" s="295"/>
      <c r="Z162" s="295"/>
    </row>
    <row r="163" spans="1:53" ht="27" customHeight="1" x14ac:dyDescent="0.25">
      <c r="A163" s="53" t="s">
        <v>268</v>
      </c>
      <c r="B163" s="53" t="s">
        <v>269</v>
      </c>
      <c r="C163" s="30">
        <v>4301031224</v>
      </c>
      <c r="D163" s="308">
        <v>4680115882683</v>
      </c>
      <c r="E163" s="309"/>
      <c r="F163" s="301">
        <v>0.9</v>
      </c>
      <c r="G163" s="31">
        <v>6</v>
      </c>
      <c r="H163" s="301">
        <v>5.4</v>
      </c>
      <c r="I163" s="301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0"/>
      <c r="P163" s="320"/>
      <c r="Q163" s="320"/>
      <c r="R163" s="309"/>
      <c r="S163" s="33"/>
      <c r="T163" s="33"/>
      <c r="U163" s="34" t="s">
        <v>65</v>
      </c>
      <c r="V163" s="302">
        <v>0</v>
      </c>
      <c r="W163" s="303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270</v>
      </c>
      <c r="B164" s="53" t="s">
        <v>271</v>
      </c>
      <c r="C164" s="30">
        <v>4301031230</v>
      </c>
      <c r="D164" s="308">
        <v>4680115882690</v>
      </c>
      <c r="E164" s="309"/>
      <c r="F164" s="301">
        <v>0.9</v>
      </c>
      <c r="G164" s="31">
        <v>6</v>
      </c>
      <c r="H164" s="301">
        <v>5.4</v>
      </c>
      <c r="I164" s="301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3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0"/>
      <c r="P164" s="320"/>
      <c r="Q164" s="320"/>
      <c r="R164" s="309"/>
      <c r="S164" s="33"/>
      <c r="T164" s="33"/>
      <c r="U164" s="34" t="s">
        <v>65</v>
      </c>
      <c r="V164" s="302">
        <v>0</v>
      </c>
      <c r="W164" s="303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272</v>
      </c>
      <c r="B165" s="53" t="s">
        <v>273</v>
      </c>
      <c r="C165" s="30">
        <v>4301031220</v>
      </c>
      <c r="D165" s="308">
        <v>4680115882669</v>
      </c>
      <c r="E165" s="309"/>
      <c r="F165" s="301">
        <v>0.9</v>
      </c>
      <c r="G165" s="31">
        <v>6</v>
      </c>
      <c r="H165" s="301">
        <v>5.4</v>
      </c>
      <c r="I165" s="301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6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0"/>
      <c r="P165" s="320"/>
      <c r="Q165" s="320"/>
      <c r="R165" s="309"/>
      <c r="S165" s="33"/>
      <c r="T165" s="33"/>
      <c r="U165" s="34" t="s">
        <v>65</v>
      </c>
      <c r="V165" s="302">
        <v>0</v>
      </c>
      <c r="W165" s="303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274</v>
      </c>
      <c r="B166" s="53" t="s">
        <v>275</v>
      </c>
      <c r="C166" s="30">
        <v>4301031221</v>
      </c>
      <c r="D166" s="308">
        <v>4680115882676</v>
      </c>
      <c r="E166" s="309"/>
      <c r="F166" s="301">
        <v>0.9</v>
      </c>
      <c r="G166" s="31">
        <v>6</v>
      </c>
      <c r="H166" s="301">
        <v>5.4</v>
      </c>
      <c r="I166" s="301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0"/>
      <c r="P166" s="320"/>
      <c r="Q166" s="320"/>
      <c r="R166" s="309"/>
      <c r="S166" s="33"/>
      <c r="T166" s="33"/>
      <c r="U166" s="34" t="s">
        <v>65</v>
      </c>
      <c r="V166" s="302">
        <v>0</v>
      </c>
      <c r="W166" s="303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34"/>
      <c r="B167" s="318"/>
      <c r="C167" s="318"/>
      <c r="D167" s="318"/>
      <c r="E167" s="318"/>
      <c r="F167" s="318"/>
      <c r="G167" s="318"/>
      <c r="H167" s="318"/>
      <c r="I167" s="318"/>
      <c r="J167" s="318"/>
      <c r="K167" s="318"/>
      <c r="L167" s="318"/>
      <c r="M167" s="335"/>
      <c r="N167" s="321" t="s">
        <v>66</v>
      </c>
      <c r="O167" s="322"/>
      <c r="P167" s="322"/>
      <c r="Q167" s="322"/>
      <c r="R167" s="322"/>
      <c r="S167" s="322"/>
      <c r="T167" s="323"/>
      <c r="U167" s="36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8"/>
      <c r="B168" s="318"/>
      <c r="C168" s="318"/>
      <c r="D168" s="318"/>
      <c r="E168" s="318"/>
      <c r="F168" s="318"/>
      <c r="G168" s="318"/>
      <c r="H168" s="318"/>
      <c r="I168" s="318"/>
      <c r="J168" s="318"/>
      <c r="K168" s="318"/>
      <c r="L168" s="318"/>
      <c r="M168" s="335"/>
      <c r="N168" s="321" t="s">
        <v>66</v>
      </c>
      <c r="O168" s="322"/>
      <c r="P168" s="322"/>
      <c r="Q168" s="322"/>
      <c r="R168" s="322"/>
      <c r="S168" s="322"/>
      <c r="T168" s="323"/>
      <c r="U168" s="36" t="s">
        <v>65</v>
      </c>
      <c r="V168" s="304">
        <f>IFERROR(SUM(V163:V166),"0")</f>
        <v>0</v>
      </c>
      <c r="W168" s="304">
        <f>IFERROR(SUM(W163:W166),"0")</f>
        <v>0</v>
      </c>
      <c r="X168" s="36"/>
      <c r="Y168" s="305"/>
      <c r="Z168" s="305"/>
    </row>
    <row r="169" spans="1:53" ht="14.25" customHeight="1" x14ac:dyDescent="0.25">
      <c r="A169" s="330" t="s">
        <v>68</v>
      </c>
      <c r="B169" s="318"/>
      <c r="C169" s="318"/>
      <c r="D169" s="318"/>
      <c r="E169" s="318"/>
      <c r="F169" s="318"/>
      <c r="G169" s="318"/>
      <c r="H169" s="318"/>
      <c r="I169" s="318"/>
      <c r="J169" s="318"/>
      <c r="K169" s="318"/>
      <c r="L169" s="318"/>
      <c r="M169" s="318"/>
      <c r="N169" s="318"/>
      <c r="O169" s="318"/>
      <c r="P169" s="318"/>
      <c r="Q169" s="318"/>
      <c r="R169" s="318"/>
      <c r="S169" s="318"/>
      <c r="T169" s="318"/>
      <c r="U169" s="318"/>
      <c r="V169" s="318"/>
      <c r="W169" s="318"/>
      <c r="X169" s="318"/>
      <c r="Y169" s="295"/>
      <c r="Z169" s="295"/>
    </row>
    <row r="170" spans="1:53" ht="27" customHeight="1" x14ac:dyDescent="0.25">
      <c r="A170" s="53" t="s">
        <v>276</v>
      </c>
      <c r="B170" s="53" t="s">
        <v>277</v>
      </c>
      <c r="C170" s="30">
        <v>4301051409</v>
      </c>
      <c r="D170" s="308">
        <v>4680115881556</v>
      </c>
      <c r="E170" s="309"/>
      <c r="F170" s="301">
        <v>1</v>
      </c>
      <c r="G170" s="31">
        <v>4</v>
      </c>
      <c r="H170" s="301">
        <v>4</v>
      </c>
      <c r="I170" s="301">
        <v>4.4080000000000004</v>
      </c>
      <c r="J170" s="31">
        <v>104</v>
      </c>
      <c r="K170" s="31" t="s">
        <v>98</v>
      </c>
      <c r="L170" s="32" t="s">
        <v>132</v>
      </c>
      <c r="M170" s="31">
        <v>45</v>
      </c>
      <c r="N170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0"/>
      <c r="P170" s="320"/>
      <c r="Q170" s="320"/>
      <c r="R170" s="309"/>
      <c r="S170" s="33"/>
      <c r="T170" s="33"/>
      <c r="U170" s="34" t="s">
        <v>65</v>
      </c>
      <c r="V170" s="302">
        <v>0</v>
      </c>
      <c r="W170" s="303">
        <f t="shared" ref="W170:W185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278</v>
      </c>
      <c r="B171" s="53" t="s">
        <v>279</v>
      </c>
      <c r="C171" s="30">
        <v>4301051538</v>
      </c>
      <c r="D171" s="308">
        <v>4680115880573</v>
      </c>
      <c r="E171" s="309"/>
      <c r="F171" s="301">
        <v>1.45</v>
      </c>
      <c r="G171" s="31">
        <v>6</v>
      </c>
      <c r="H171" s="301">
        <v>8.6999999999999993</v>
      </c>
      <c r="I171" s="301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04" t="s">
        <v>280</v>
      </c>
      <c r="O171" s="320"/>
      <c r="P171" s="320"/>
      <c r="Q171" s="320"/>
      <c r="R171" s="309"/>
      <c r="S171" s="33"/>
      <c r="T171" s="33"/>
      <c r="U171" s="34" t="s">
        <v>65</v>
      </c>
      <c r="V171" s="302">
        <v>0</v>
      </c>
      <c r="W171" s="303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281</v>
      </c>
      <c r="B172" s="53" t="s">
        <v>282</v>
      </c>
      <c r="C172" s="30">
        <v>4301051408</v>
      </c>
      <c r="D172" s="308">
        <v>4680115881594</v>
      </c>
      <c r="E172" s="309"/>
      <c r="F172" s="301">
        <v>1.35</v>
      </c>
      <c r="G172" s="31">
        <v>6</v>
      </c>
      <c r="H172" s="301">
        <v>8.1</v>
      </c>
      <c r="I172" s="301">
        <v>8.6639999999999997</v>
      </c>
      <c r="J172" s="31">
        <v>56</v>
      </c>
      <c r="K172" s="31" t="s">
        <v>98</v>
      </c>
      <c r="L172" s="32" t="s">
        <v>132</v>
      </c>
      <c r="M172" s="31">
        <v>40</v>
      </c>
      <c r="N172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0"/>
      <c r="P172" s="320"/>
      <c r="Q172" s="320"/>
      <c r="R172" s="309"/>
      <c r="S172" s="33"/>
      <c r="T172" s="33"/>
      <c r="U172" s="34" t="s">
        <v>65</v>
      </c>
      <c r="V172" s="302">
        <v>0</v>
      </c>
      <c r="W172" s="303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283</v>
      </c>
      <c r="B173" s="53" t="s">
        <v>284</v>
      </c>
      <c r="C173" s="30">
        <v>4301051505</v>
      </c>
      <c r="D173" s="308">
        <v>4680115881587</v>
      </c>
      <c r="E173" s="309"/>
      <c r="F173" s="301">
        <v>1</v>
      </c>
      <c r="G173" s="31">
        <v>4</v>
      </c>
      <c r="H173" s="301">
        <v>4</v>
      </c>
      <c r="I173" s="301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579" t="s">
        <v>285</v>
      </c>
      <c r="O173" s="320"/>
      <c r="P173" s="320"/>
      <c r="Q173" s="320"/>
      <c r="R173" s="309"/>
      <c r="S173" s="33"/>
      <c r="T173" s="33"/>
      <c r="U173" s="34" t="s">
        <v>65</v>
      </c>
      <c r="V173" s="302">
        <v>50</v>
      </c>
      <c r="W173" s="303">
        <f t="shared" si="8"/>
        <v>52</v>
      </c>
      <c r="X173" s="35">
        <f>IFERROR(IF(W173=0,"",ROUNDUP(W173/H173,0)*0.01196),"")</f>
        <v>0.15548000000000001</v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286</v>
      </c>
      <c r="B174" s="53" t="s">
        <v>287</v>
      </c>
      <c r="C174" s="30">
        <v>4301051380</v>
      </c>
      <c r="D174" s="308">
        <v>4680115880962</v>
      </c>
      <c r="E174" s="309"/>
      <c r="F174" s="301">
        <v>1.3</v>
      </c>
      <c r="G174" s="31">
        <v>6</v>
      </c>
      <c r="H174" s="301">
        <v>7.8</v>
      </c>
      <c r="I174" s="301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0"/>
      <c r="P174" s="320"/>
      <c r="Q174" s="320"/>
      <c r="R174" s="309"/>
      <c r="S174" s="33"/>
      <c r="T174" s="33"/>
      <c r="U174" s="34" t="s">
        <v>65</v>
      </c>
      <c r="V174" s="302">
        <v>0</v>
      </c>
      <c r="W174" s="303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288</v>
      </c>
      <c r="B175" s="53" t="s">
        <v>289</v>
      </c>
      <c r="C175" s="30">
        <v>4301051411</v>
      </c>
      <c r="D175" s="308">
        <v>4680115881617</v>
      </c>
      <c r="E175" s="309"/>
      <c r="F175" s="301">
        <v>1.35</v>
      </c>
      <c r="G175" s="31">
        <v>6</v>
      </c>
      <c r="H175" s="301">
        <v>8.1</v>
      </c>
      <c r="I175" s="301">
        <v>8.6460000000000008</v>
      </c>
      <c r="J175" s="31">
        <v>56</v>
      </c>
      <c r="K175" s="31" t="s">
        <v>98</v>
      </c>
      <c r="L175" s="32" t="s">
        <v>132</v>
      </c>
      <c r="M175" s="31">
        <v>40</v>
      </c>
      <c r="N175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0"/>
      <c r="P175" s="320"/>
      <c r="Q175" s="320"/>
      <c r="R175" s="309"/>
      <c r="S175" s="33"/>
      <c r="T175" s="33"/>
      <c r="U175" s="34" t="s">
        <v>65</v>
      </c>
      <c r="V175" s="302">
        <v>0</v>
      </c>
      <c r="W175" s="303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290</v>
      </c>
      <c r="B176" s="53" t="s">
        <v>291</v>
      </c>
      <c r="C176" s="30">
        <v>4301051487</v>
      </c>
      <c r="D176" s="308">
        <v>4680115881228</v>
      </c>
      <c r="E176" s="309"/>
      <c r="F176" s="301">
        <v>0.4</v>
      </c>
      <c r="G176" s="31">
        <v>6</v>
      </c>
      <c r="H176" s="301">
        <v>2.4</v>
      </c>
      <c r="I176" s="301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593" t="s">
        <v>292</v>
      </c>
      <c r="O176" s="320"/>
      <c r="P176" s="320"/>
      <c r="Q176" s="320"/>
      <c r="R176" s="309"/>
      <c r="S176" s="33"/>
      <c r="T176" s="33"/>
      <c r="U176" s="34" t="s">
        <v>65</v>
      </c>
      <c r="V176" s="302">
        <v>0</v>
      </c>
      <c r="W176" s="303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293</v>
      </c>
      <c r="B177" s="53" t="s">
        <v>294</v>
      </c>
      <c r="C177" s="30">
        <v>4301051506</v>
      </c>
      <c r="D177" s="308">
        <v>4680115881037</v>
      </c>
      <c r="E177" s="309"/>
      <c r="F177" s="301">
        <v>0.84</v>
      </c>
      <c r="G177" s="31">
        <v>4</v>
      </c>
      <c r="H177" s="301">
        <v>3.36</v>
      </c>
      <c r="I177" s="301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437" t="s">
        <v>295</v>
      </c>
      <c r="O177" s="320"/>
      <c r="P177" s="320"/>
      <c r="Q177" s="320"/>
      <c r="R177" s="309"/>
      <c r="S177" s="33"/>
      <c r="T177" s="33"/>
      <c r="U177" s="34" t="s">
        <v>65</v>
      </c>
      <c r="V177" s="302">
        <v>0</v>
      </c>
      <c r="W177" s="303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296</v>
      </c>
      <c r="B178" s="53" t="s">
        <v>297</v>
      </c>
      <c r="C178" s="30">
        <v>4301051384</v>
      </c>
      <c r="D178" s="308">
        <v>4680115881211</v>
      </c>
      <c r="E178" s="309"/>
      <c r="F178" s="301">
        <v>0.4</v>
      </c>
      <c r="G178" s="31">
        <v>6</v>
      </c>
      <c r="H178" s="301">
        <v>2.4</v>
      </c>
      <c r="I178" s="301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59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0"/>
      <c r="P178" s="320"/>
      <c r="Q178" s="320"/>
      <c r="R178" s="309"/>
      <c r="S178" s="33"/>
      <c r="T178" s="33"/>
      <c r="U178" s="34" t="s">
        <v>65</v>
      </c>
      <c r="V178" s="302">
        <v>60</v>
      </c>
      <c r="W178" s="303">
        <f t="shared" si="8"/>
        <v>60</v>
      </c>
      <c r="X178" s="35">
        <f>IFERROR(IF(W178=0,"",ROUNDUP(W178/H178,0)*0.00753),"")</f>
        <v>0.18825</v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298</v>
      </c>
      <c r="B179" s="53" t="s">
        <v>299</v>
      </c>
      <c r="C179" s="30">
        <v>4301051378</v>
      </c>
      <c r="D179" s="308">
        <v>4680115881020</v>
      </c>
      <c r="E179" s="309"/>
      <c r="F179" s="301">
        <v>0.84</v>
      </c>
      <c r="G179" s="31">
        <v>4</v>
      </c>
      <c r="H179" s="301">
        <v>3.36</v>
      </c>
      <c r="I179" s="301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46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0"/>
      <c r="P179" s="320"/>
      <c r="Q179" s="320"/>
      <c r="R179" s="309"/>
      <c r="S179" s="33"/>
      <c r="T179" s="33"/>
      <c r="U179" s="34" t="s">
        <v>65</v>
      </c>
      <c r="V179" s="302">
        <v>0</v>
      </c>
      <c r="W179" s="303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300</v>
      </c>
      <c r="B180" s="53" t="s">
        <v>301</v>
      </c>
      <c r="C180" s="30">
        <v>4301051407</v>
      </c>
      <c r="D180" s="308">
        <v>4680115882195</v>
      </c>
      <c r="E180" s="309"/>
      <c r="F180" s="301">
        <v>0.4</v>
      </c>
      <c r="G180" s="31">
        <v>6</v>
      </c>
      <c r="H180" s="301">
        <v>2.4</v>
      </c>
      <c r="I180" s="301">
        <v>2.69</v>
      </c>
      <c r="J180" s="31">
        <v>156</v>
      </c>
      <c r="K180" s="31" t="s">
        <v>63</v>
      </c>
      <c r="L180" s="32" t="s">
        <v>132</v>
      </c>
      <c r="M180" s="31">
        <v>40</v>
      </c>
      <c r="N180" s="3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0"/>
      <c r="P180" s="320"/>
      <c r="Q180" s="320"/>
      <c r="R180" s="309"/>
      <c r="S180" s="33"/>
      <c r="T180" s="33"/>
      <c r="U180" s="34" t="s">
        <v>65</v>
      </c>
      <c r="V180" s="302">
        <v>0</v>
      </c>
      <c r="W180" s="303">
        <f t="shared" si="8"/>
        <v>0</v>
      </c>
      <c r="X180" s="35" t="str">
        <f t="shared" ref="X180:X185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302</v>
      </c>
      <c r="B181" s="53" t="s">
        <v>303</v>
      </c>
      <c r="C181" s="30">
        <v>4301051468</v>
      </c>
      <c r="D181" s="308">
        <v>4680115880092</v>
      </c>
      <c r="E181" s="309"/>
      <c r="F181" s="301">
        <v>0.4</v>
      </c>
      <c r="G181" s="31">
        <v>6</v>
      </c>
      <c r="H181" s="301">
        <v>2.4</v>
      </c>
      <c r="I181" s="301">
        <v>2.6720000000000002</v>
      </c>
      <c r="J181" s="31">
        <v>156</v>
      </c>
      <c r="K181" s="31" t="s">
        <v>63</v>
      </c>
      <c r="L181" s="32" t="s">
        <v>132</v>
      </c>
      <c r="M181" s="31">
        <v>45</v>
      </c>
      <c r="N181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20"/>
      <c r="P181" s="320"/>
      <c r="Q181" s="320"/>
      <c r="R181" s="309"/>
      <c r="S181" s="33"/>
      <c r="T181" s="33"/>
      <c r="U181" s="34" t="s">
        <v>65</v>
      </c>
      <c r="V181" s="302">
        <v>0</v>
      </c>
      <c r="W181" s="303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304</v>
      </c>
      <c r="B182" s="53" t="s">
        <v>305</v>
      </c>
      <c r="C182" s="30">
        <v>4301051469</v>
      </c>
      <c r="D182" s="308">
        <v>4680115880221</v>
      </c>
      <c r="E182" s="309"/>
      <c r="F182" s="301">
        <v>0.4</v>
      </c>
      <c r="G182" s="31">
        <v>6</v>
      </c>
      <c r="H182" s="301">
        <v>2.4</v>
      </c>
      <c r="I182" s="301">
        <v>2.6720000000000002</v>
      </c>
      <c r="J182" s="31">
        <v>156</v>
      </c>
      <c r="K182" s="31" t="s">
        <v>63</v>
      </c>
      <c r="L182" s="32" t="s">
        <v>132</v>
      </c>
      <c r="M182" s="31">
        <v>45</v>
      </c>
      <c r="N182" s="3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20"/>
      <c r="P182" s="320"/>
      <c r="Q182" s="320"/>
      <c r="R182" s="309"/>
      <c r="S182" s="33"/>
      <c r="T182" s="33"/>
      <c r="U182" s="34" t="s">
        <v>65</v>
      </c>
      <c r="V182" s="302">
        <v>360</v>
      </c>
      <c r="W182" s="303">
        <f t="shared" si="8"/>
        <v>360</v>
      </c>
      <c r="X182" s="35">
        <f t="shared" si="9"/>
        <v>1.1294999999999999</v>
      </c>
      <c r="Y182" s="55"/>
      <c r="Z182" s="56"/>
      <c r="AD182" s="57"/>
      <c r="BA182" s="155" t="s">
        <v>1</v>
      </c>
    </row>
    <row r="183" spans="1:53" ht="16.5" customHeight="1" x14ac:dyDescent="0.25">
      <c r="A183" s="53" t="s">
        <v>306</v>
      </c>
      <c r="B183" s="53" t="s">
        <v>307</v>
      </c>
      <c r="C183" s="30">
        <v>4301051523</v>
      </c>
      <c r="D183" s="308">
        <v>4680115882942</v>
      </c>
      <c r="E183" s="309"/>
      <c r="F183" s="301">
        <v>0.3</v>
      </c>
      <c r="G183" s="31">
        <v>6</v>
      </c>
      <c r="H183" s="301">
        <v>1.8</v>
      </c>
      <c r="I183" s="301">
        <v>2.0720000000000001</v>
      </c>
      <c r="J183" s="31">
        <v>156</v>
      </c>
      <c r="K183" s="31" t="s">
        <v>63</v>
      </c>
      <c r="L183" s="32" t="s">
        <v>64</v>
      </c>
      <c r="M183" s="31">
        <v>40</v>
      </c>
      <c r="N183" s="4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20"/>
      <c r="P183" s="320"/>
      <c r="Q183" s="320"/>
      <c r="R183" s="309"/>
      <c r="S183" s="33"/>
      <c r="T183" s="33"/>
      <c r="U183" s="34" t="s">
        <v>65</v>
      </c>
      <c r="V183" s="302">
        <v>0</v>
      </c>
      <c r="W183" s="303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308</v>
      </c>
      <c r="B184" s="53" t="s">
        <v>309</v>
      </c>
      <c r="C184" s="30">
        <v>4301051326</v>
      </c>
      <c r="D184" s="308">
        <v>4680115880504</v>
      </c>
      <c r="E184" s="309"/>
      <c r="F184" s="301">
        <v>0.4</v>
      </c>
      <c r="G184" s="31">
        <v>6</v>
      </c>
      <c r="H184" s="301">
        <v>2.4</v>
      </c>
      <c r="I184" s="301">
        <v>2.6720000000000002</v>
      </c>
      <c r="J184" s="31">
        <v>156</v>
      </c>
      <c r="K184" s="31" t="s">
        <v>63</v>
      </c>
      <c r="L184" s="32" t="s">
        <v>64</v>
      </c>
      <c r="M184" s="31">
        <v>40</v>
      </c>
      <c r="N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20"/>
      <c r="P184" s="320"/>
      <c r="Q184" s="320"/>
      <c r="R184" s="309"/>
      <c r="S184" s="33"/>
      <c r="T184" s="33"/>
      <c r="U184" s="34" t="s">
        <v>65</v>
      </c>
      <c r="V184" s="302">
        <v>40.799999999999997</v>
      </c>
      <c r="W184" s="303">
        <f t="shared" si="8"/>
        <v>40.799999999999997</v>
      </c>
      <c r="X184" s="35">
        <f t="shared" si="9"/>
        <v>0.12801000000000001</v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310</v>
      </c>
      <c r="B185" s="53" t="s">
        <v>311</v>
      </c>
      <c r="C185" s="30">
        <v>4301051410</v>
      </c>
      <c r="D185" s="308">
        <v>4680115882164</v>
      </c>
      <c r="E185" s="309"/>
      <c r="F185" s="301">
        <v>0.4</v>
      </c>
      <c r="G185" s="31">
        <v>6</v>
      </c>
      <c r="H185" s="301">
        <v>2.4</v>
      </c>
      <c r="I185" s="301">
        <v>2.6779999999999999</v>
      </c>
      <c r="J185" s="31">
        <v>156</v>
      </c>
      <c r="K185" s="31" t="s">
        <v>63</v>
      </c>
      <c r="L185" s="32" t="s">
        <v>132</v>
      </c>
      <c r="M185" s="31">
        <v>40</v>
      </c>
      <c r="N185" s="3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20"/>
      <c r="P185" s="320"/>
      <c r="Q185" s="320"/>
      <c r="R185" s="309"/>
      <c r="S185" s="33"/>
      <c r="T185" s="33"/>
      <c r="U185" s="34" t="s">
        <v>65</v>
      </c>
      <c r="V185" s="302">
        <v>0</v>
      </c>
      <c r="W185" s="303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x14ac:dyDescent="0.2">
      <c r="A186" s="334"/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35"/>
      <c r="N186" s="321" t="s">
        <v>66</v>
      </c>
      <c r="O186" s="322"/>
      <c r="P186" s="322"/>
      <c r="Q186" s="322"/>
      <c r="R186" s="322"/>
      <c r="S186" s="322"/>
      <c r="T186" s="323"/>
      <c r="U186" s="36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204.5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205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1.60124</v>
      </c>
      <c r="Y186" s="305"/>
      <c r="Z186" s="305"/>
    </row>
    <row r="187" spans="1:53" x14ac:dyDescent="0.2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18"/>
      <c r="M187" s="335"/>
      <c r="N187" s="321" t="s">
        <v>66</v>
      </c>
      <c r="O187" s="322"/>
      <c r="P187" s="322"/>
      <c r="Q187" s="322"/>
      <c r="R187" s="322"/>
      <c r="S187" s="322"/>
      <c r="T187" s="323"/>
      <c r="U187" s="36" t="s">
        <v>65</v>
      </c>
      <c r="V187" s="304">
        <f>IFERROR(SUM(V170:V185),"0")</f>
        <v>510.8</v>
      </c>
      <c r="W187" s="304">
        <f>IFERROR(SUM(W170:W185),"0")</f>
        <v>512.79999999999995</v>
      </c>
      <c r="X187" s="36"/>
      <c r="Y187" s="305"/>
      <c r="Z187" s="305"/>
    </row>
    <row r="188" spans="1:53" ht="14.25" customHeight="1" x14ac:dyDescent="0.25">
      <c r="A188" s="330" t="s">
        <v>213</v>
      </c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8"/>
      <c r="N188" s="318"/>
      <c r="O188" s="318"/>
      <c r="P188" s="318"/>
      <c r="Q188" s="318"/>
      <c r="R188" s="318"/>
      <c r="S188" s="318"/>
      <c r="T188" s="318"/>
      <c r="U188" s="318"/>
      <c r="V188" s="318"/>
      <c r="W188" s="318"/>
      <c r="X188" s="318"/>
      <c r="Y188" s="295"/>
      <c r="Z188" s="295"/>
    </row>
    <row r="189" spans="1:53" ht="16.5" customHeight="1" x14ac:dyDescent="0.25">
      <c r="A189" s="53" t="s">
        <v>312</v>
      </c>
      <c r="B189" s="53" t="s">
        <v>313</v>
      </c>
      <c r="C189" s="30">
        <v>4301060338</v>
      </c>
      <c r="D189" s="308">
        <v>4680115880801</v>
      </c>
      <c r="E189" s="309"/>
      <c r="F189" s="301">
        <v>0.4</v>
      </c>
      <c r="G189" s="31">
        <v>6</v>
      </c>
      <c r="H189" s="301">
        <v>2.4</v>
      </c>
      <c r="I189" s="301">
        <v>2.6720000000000002</v>
      </c>
      <c r="J189" s="31">
        <v>156</v>
      </c>
      <c r="K189" s="31" t="s">
        <v>63</v>
      </c>
      <c r="L189" s="32" t="s">
        <v>64</v>
      </c>
      <c r="M189" s="31">
        <v>40</v>
      </c>
      <c r="N189" s="3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0"/>
      <c r="P189" s="320"/>
      <c r="Q189" s="320"/>
      <c r="R189" s="309"/>
      <c r="S189" s="33"/>
      <c r="T189" s="33"/>
      <c r="U189" s="34" t="s">
        <v>65</v>
      </c>
      <c r="V189" s="302">
        <v>0</v>
      </c>
      <c r="W189" s="303">
        <f>IFERROR(IF(V189="",0,CEILING((V189/$H189),1)*$H189),"")</f>
        <v>0</v>
      </c>
      <c r="X189" s="35" t="str">
        <f>IFERROR(IF(W189=0,"",ROUNDUP(W189/H189,0)*0.00753),"")</f>
        <v/>
      </c>
      <c r="Y189" s="55"/>
      <c r="Z189" s="56"/>
      <c r="AD189" s="57"/>
      <c r="BA189" s="159" t="s">
        <v>1</v>
      </c>
    </row>
    <row r="190" spans="1:53" ht="27" customHeight="1" x14ac:dyDescent="0.25">
      <c r="A190" s="53" t="s">
        <v>314</v>
      </c>
      <c r="B190" s="53" t="s">
        <v>315</v>
      </c>
      <c r="C190" s="30">
        <v>4301060339</v>
      </c>
      <c r="D190" s="308">
        <v>4680115880818</v>
      </c>
      <c r="E190" s="309"/>
      <c r="F190" s="301">
        <v>0.4</v>
      </c>
      <c r="G190" s="31">
        <v>6</v>
      </c>
      <c r="H190" s="301">
        <v>2.4</v>
      </c>
      <c r="I190" s="301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4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0"/>
      <c r="P190" s="320"/>
      <c r="Q190" s="320"/>
      <c r="R190" s="309"/>
      <c r="S190" s="33"/>
      <c r="T190" s="33"/>
      <c r="U190" s="34" t="s">
        <v>65</v>
      </c>
      <c r="V190" s="302">
        <v>0</v>
      </c>
      <c r="W190" s="303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x14ac:dyDescent="0.2">
      <c r="A191" s="334"/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35"/>
      <c r="N191" s="321" t="s">
        <v>66</v>
      </c>
      <c r="O191" s="322"/>
      <c r="P191" s="322"/>
      <c r="Q191" s="322"/>
      <c r="R191" s="322"/>
      <c r="S191" s="322"/>
      <c r="T191" s="323"/>
      <c r="U191" s="36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8"/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35"/>
      <c r="N192" s="321" t="s">
        <v>66</v>
      </c>
      <c r="O192" s="322"/>
      <c r="P192" s="322"/>
      <c r="Q192" s="322"/>
      <c r="R192" s="322"/>
      <c r="S192" s="322"/>
      <c r="T192" s="323"/>
      <c r="U192" s="36" t="s">
        <v>65</v>
      </c>
      <c r="V192" s="304">
        <f>IFERROR(SUM(V189:V190),"0")</f>
        <v>0</v>
      </c>
      <c r="W192" s="304">
        <f>IFERROR(SUM(W189:W190),"0")</f>
        <v>0</v>
      </c>
      <c r="X192" s="36"/>
      <c r="Y192" s="305"/>
      <c r="Z192" s="305"/>
    </row>
    <row r="193" spans="1:53" ht="16.5" customHeight="1" x14ac:dyDescent="0.25">
      <c r="A193" s="317" t="s">
        <v>316</v>
      </c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318"/>
      <c r="Y193" s="298"/>
      <c r="Z193" s="298"/>
    </row>
    <row r="194" spans="1:53" ht="14.25" customHeight="1" x14ac:dyDescent="0.25">
      <c r="A194" s="330" t="s">
        <v>103</v>
      </c>
      <c r="B194" s="318"/>
      <c r="C194" s="318"/>
      <c r="D194" s="318"/>
      <c r="E194" s="318"/>
      <c r="F194" s="318"/>
      <c r="G194" s="318"/>
      <c r="H194" s="318"/>
      <c r="I194" s="318"/>
      <c r="J194" s="318"/>
      <c r="K194" s="318"/>
      <c r="L194" s="318"/>
      <c r="M194" s="318"/>
      <c r="N194" s="318"/>
      <c r="O194" s="318"/>
      <c r="P194" s="318"/>
      <c r="Q194" s="318"/>
      <c r="R194" s="318"/>
      <c r="S194" s="318"/>
      <c r="T194" s="318"/>
      <c r="U194" s="318"/>
      <c r="V194" s="318"/>
      <c r="W194" s="318"/>
      <c r="X194" s="318"/>
      <c r="Y194" s="295"/>
      <c r="Z194" s="295"/>
    </row>
    <row r="195" spans="1:53" ht="27" customHeight="1" x14ac:dyDescent="0.25">
      <c r="A195" s="53" t="s">
        <v>317</v>
      </c>
      <c r="B195" s="53" t="s">
        <v>318</v>
      </c>
      <c r="C195" s="30">
        <v>4301011346</v>
      </c>
      <c r="D195" s="308">
        <v>4607091387445</v>
      </c>
      <c r="E195" s="309"/>
      <c r="F195" s="301">
        <v>0.9</v>
      </c>
      <c r="G195" s="31">
        <v>10</v>
      </c>
      <c r="H195" s="301">
        <v>9</v>
      </c>
      <c r="I195" s="301">
        <v>9.6300000000000008</v>
      </c>
      <c r="J195" s="31">
        <v>56</v>
      </c>
      <c r="K195" s="31" t="s">
        <v>98</v>
      </c>
      <c r="L195" s="32" t="s">
        <v>99</v>
      </c>
      <c r="M195" s="31">
        <v>31</v>
      </c>
      <c r="N195" s="5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20"/>
      <c r="P195" s="320"/>
      <c r="Q195" s="320"/>
      <c r="R195" s="309"/>
      <c r="S195" s="33"/>
      <c r="T195" s="33"/>
      <c r="U195" s="34" t="s">
        <v>65</v>
      </c>
      <c r="V195" s="302">
        <v>0</v>
      </c>
      <c r="W195" s="303">
        <f t="shared" ref="W195:W209" si="10">IFERROR(IF(V195="",0,CEILING((V195/$H195),1)*$H195),"")</f>
        <v>0</v>
      </c>
      <c r="X195" s="35" t="str">
        <f>IFERROR(IF(W195=0,"",ROUNDUP(W195/H195,0)*0.02175),"")</f>
        <v/>
      </c>
      <c r="Y195" s="55"/>
      <c r="Z195" s="56"/>
      <c r="AD195" s="57"/>
      <c r="BA195" s="161" t="s">
        <v>1</v>
      </c>
    </row>
    <row r="196" spans="1:53" ht="27" customHeight="1" x14ac:dyDescent="0.25">
      <c r="A196" s="53" t="s">
        <v>319</v>
      </c>
      <c r="B196" s="53" t="s">
        <v>320</v>
      </c>
      <c r="C196" s="30">
        <v>4301011362</v>
      </c>
      <c r="D196" s="308">
        <v>4607091386004</v>
      </c>
      <c r="E196" s="309"/>
      <c r="F196" s="301">
        <v>1.35</v>
      </c>
      <c r="G196" s="31">
        <v>8</v>
      </c>
      <c r="H196" s="301">
        <v>10.8</v>
      </c>
      <c r="I196" s="301">
        <v>11.28</v>
      </c>
      <c r="J196" s="31">
        <v>48</v>
      </c>
      <c r="K196" s="31" t="s">
        <v>98</v>
      </c>
      <c r="L196" s="32" t="s">
        <v>106</v>
      </c>
      <c r="M196" s="31">
        <v>55</v>
      </c>
      <c r="N196" s="3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0"/>
      <c r="P196" s="320"/>
      <c r="Q196" s="320"/>
      <c r="R196" s="309"/>
      <c r="S196" s="33"/>
      <c r="T196" s="33"/>
      <c r="U196" s="34" t="s">
        <v>65</v>
      </c>
      <c r="V196" s="302">
        <v>0</v>
      </c>
      <c r="W196" s="303">
        <f t="shared" si="10"/>
        <v>0</v>
      </c>
      <c r="X196" s="35" t="str">
        <f>IFERROR(IF(W196=0,"",ROUNDUP(W196/H196,0)*0.02039),"")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319</v>
      </c>
      <c r="B197" s="53" t="s">
        <v>321</v>
      </c>
      <c r="C197" s="30">
        <v>4301011308</v>
      </c>
      <c r="D197" s="308">
        <v>4607091386004</v>
      </c>
      <c r="E197" s="309"/>
      <c r="F197" s="301">
        <v>1.35</v>
      </c>
      <c r="G197" s="31">
        <v>8</v>
      </c>
      <c r="H197" s="301">
        <v>10.8</v>
      </c>
      <c r="I197" s="301">
        <v>11.28</v>
      </c>
      <c r="J197" s="31">
        <v>56</v>
      </c>
      <c r="K197" s="31" t="s">
        <v>98</v>
      </c>
      <c r="L197" s="32" t="s">
        <v>99</v>
      </c>
      <c r="M197" s="31">
        <v>55</v>
      </c>
      <c r="N197" s="56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0"/>
      <c r="P197" s="320"/>
      <c r="Q197" s="320"/>
      <c r="R197" s="309"/>
      <c r="S197" s="33"/>
      <c r="T197" s="33"/>
      <c r="U197" s="34" t="s">
        <v>65</v>
      </c>
      <c r="V197" s="302">
        <v>0</v>
      </c>
      <c r="W197" s="303">
        <f t="shared" si="10"/>
        <v>0</v>
      </c>
      <c r="X197" s="35" t="str">
        <f>IFERROR(IF(W197=0,"",ROUNDUP(W197/H197,0)*0.02175),"")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322</v>
      </c>
      <c r="B198" s="53" t="s">
        <v>323</v>
      </c>
      <c r="C198" s="30">
        <v>4301011347</v>
      </c>
      <c r="D198" s="308">
        <v>4607091386073</v>
      </c>
      <c r="E198" s="309"/>
      <c r="F198" s="301">
        <v>0.9</v>
      </c>
      <c r="G198" s="31">
        <v>10</v>
      </c>
      <c r="H198" s="301">
        <v>9</v>
      </c>
      <c r="I198" s="301">
        <v>9.6300000000000008</v>
      </c>
      <c r="J198" s="31">
        <v>56</v>
      </c>
      <c r="K198" s="31" t="s">
        <v>98</v>
      </c>
      <c r="L198" s="32" t="s">
        <v>99</v>
      </c>
      <c r="M198" s="31">
        <v>31</v>
      </c>
      <c r="N198" s="3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20"/>
      <c r="P198" s="320"/>
      <c r="Q198" s="320"/>
      <c r="R198" s="309"/>
      <c r="S198" s="33"/>
      <c r="T198" s="33"/>
      <c r="U198" s="34" t="s">
        <v>65</v>
      </c>
      <c r="V198" s="302">
        <v>0</v>
      </c>
      <c r="W198" s="303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324</v>
      </c>
      <c r="B199" s="53" t="s">
        <v>325</v>
      </c>
      <c r="C199" s="30">
        <v>4301010928</v>
      </c>
      <c r="D199" s="308">
        <v>4607091387322</v>
      </c>
      <c r="E199" s="309"/>
      <c r="F199" s="301">
        <v>1.35</v>
      </c>
      <c r="G199" s="31">
        <v>8</v>
      </c>
      <c r="H199" s="301">
        <v>10.8</v>
      </c>
      <c r="I199" s="301">
        <v>11.28</v>
      </c>
      <c r="J199" s="31">
        <v>56</v>
      </c>
      <c r="K199" s="31" t="s">
        <v>98</v>
      </c>
      <c r="L199" s="32" t="s">
        <v>99</v>
      </c>
      <c r="M199" s="31">
        <v>55</v>
      </c>
      <c r="N199" s="6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0"/>
      <c r="P199" s="320"/>
      <c r="Q199" s="320"/>
      <c r="R199" s="309"/>
      <c r="S199" s="33"/>
      <c r="T199" s="33"/>
      <c r="U199" s="34" t="s">
        <v>65</v>
      </c>
      <c r="V199" s="302">
        <v>0</v>
      </c>
      <c r="W199" s="303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324</v>
      </c>
      <c r="B200" s="53" t="s">
        <v>326</v>
      </c>
      <c r="C200" s="30">
        <v>4301011395</v>
      </c>
      <c r="D200" s="308">
        <v>4607091387322</v>
      </c>
      <c r="E200" s="309"/>
      <c r="F200" s="301">
        <v>1.35</v>
      </c>
      <c r="G200" s="31">
        <v>8</v>
      </c>
      <c r="H200" s="301">
        <v>10.8</v>
      </c>
      <c r="I200" s="301">
        <v>11.28</v>
      </c>
      <c r="J200" s="31">
        <v>48</v>
      </c>
      <c r="K200" s="31" t="s">
        <v>98</v>
      </c>
      <c r="L200" s="32" t="s">
        <v>106</v>
      </c>
      <c r="M200" s="31">
        <v>55</v>
      </c>
      <c r="N200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0"/>
      <c r="P200" s="320"/>
      <c r="Q200" s="320"/>
      <c r="R200" s="309"/>
      <c r="S200" s="33"/>
      <c r="T200" s="33"/>
      <c r="U200" s="34" t="s">
        <v>65</v>
      </c>
      <c r="V200" s="302">
        <v>0</v>
      </c>
      <c r="W200" s="303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327</v>
      </c>
      <c r="B201" s="53" t="s">
        <v>328</v>
      </c>
      <c r="C201" s="30">
        <v>4301011311</v>
      </c>
      <c r="D201" s="308">
        <v>4607091387377</v>
      </c>
      <c r="E201" s="309"/>
      <c r="F201" s="301">
        <v>1.35</v>
      </c>
      <c r="G201" s="31">
        <v>8</v>
      </c>
      <c r="H201" s="301">
        <v>10.8</v>
      </c>
      <c r="I201" s="301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40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20"/>
      <c r="P201" s="320"/>
      <c r="Q201" s="320"/>
      <c r="R201" s="309"/>
      <c r="S201" s="33"/>
      <c r="T201" s="33"/>
      <c r="U201" s="34" t="s">
        <v>65</v>
      </c>
      <c r="V201" s="302">
        <v>0</v>
      </c>
      <c r="W201" s="303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329</v>
      </c>
      <c r="B202" s="53" t="s">
        <v>330</v>
      </c>
      <c r="C202" s="30">
        <v>4301010945</v>
      </c>
      <c r="D202" s="308">
        <v>4607091387353</v>
      </c>
      <c r="E202" s="309"/>
      <c r="F202" s="301">
        <v>1.35</v>
      </c>
      <c r="G202" s="31">
        <v>8</v>
      </c>
      <c r="H202" s="301">
        <v>10.8</v>
      </c>
      <c r="I202" s="301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20"/>
      <c r="P202" s="320"/>
      <c r="Q202" s="320"/>
      <c r="R202" s="309"/>
      <c r="S202" s="33"/>
      <c r="T202" s="33"/>
      <c r="U202" s="34" t="s">
        <v>65</v>
      </c>
      <c r="V202" s="302">
        <v>0</v>
      </c>
      <c r="W202" s="303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331</v>
      </c>
      <c r="B203" s="53" t="s">
        <v>332</v>
      </c>
      <c r="C203" s="30">
        <v>4301011328</v>
      </c>
      <c r="D203" s="308">
        <v>4607091386011</v>
      </c>
      <c r="E203" s="309"/>
      <c r="F203" s="301">
        <v>0.5</v>
      </c>
      <c r="G203" s="31">
        <v>10</v>
      </c>
      <c r="H203" s="301">
        <v>5</v>
      </c>
      <c r="I203" s="301">
        <v>5.21</v>
      </c>
      <c r="J203" s="31">
        <v>120</v>
      </c>
      <c r="K203" s="31" t="s">
        <v>63</v>
      </c>
      <c r="L203" s="32" t="s">
        <v>64</v>
      </c>
      <c r="M203" s="31">
        <v>55</v>
      </c>
      <c r="N203" s="4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20"/>
      <c r="P203" s="320"/>
      <c r="Q203" s="320"/>
      <c r="R203" s="309"/>
      <c r="S203" s="33"/>
      <c r="T203" s="33"/>
      <c r="U203" s="34" t="s">
        <v>65</v>
      </c>
      <c r="V203" s="302">
        <v>0</v>
      </c>
      <c r="W203" s="303">
        <f t="shared" si="10"/>
        <v>0</v>
      </c>
      <c r="X203" s="35" t="str">
        <f t="shared" ref="X203:X209" si="11">IFERROR(IF(W203=0,"",ROUNDUP(W203/H203,0)*0.00937),"")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333</v>
      </c>
      <c r="B204" s="53" t="s">
        <v>334</v>
      </c>
      <c r="C204" s="30">
        <v>4301011329</v>
      </c>
      <c r="D204" s="308">
        <v>4607091387308</v>
      </c>
      <c r="E204" s="309"/>
      <c r="F204" s="301">
        <v>0.5</v>
      </c>
      <c r="G204" s="31">
        <v>10</v>
      </c>
      <c r="H204" s="301">
        <v>5</v>
      </c>
      <c r="I204" s="301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20"/>
      <c r="P204" s="320"/>
      <c r="Q204" s="320"/>
      <c r="R204" s="309"/>
      <c r="S204" s="33"/>
      <c r="T204" s="33"/>
      <c r="U204" s="34" t="s">
        <v>65</v>
      </c>
      <c r="V204" s="302">
        <v>0</v>
      </c>
      <c r="W204" s="303">
        <f t="shared" si="10"/>
        <v>0</v>
      </c>
      <c r="X204" s="35" t="str">
        <f t="shared" si="11"/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335</v>
      </c>
      <c r="B205" s="53" t="s">
        <v>336</v>
      </c>
      <c r="C205" s="30">
        <v>4301011049</v>
      </c>
      <c r="D205" s="308">
        <v>4607091387339</v>
      </c>
      <c r="E205" s="309"/>
      <c r="F205" s="301">
        <v>0.5</v>
      </c>
      <c r="G205" s="31">
        <v>10</v>
      </c>
      <c r="H205" s="301">
        <v>5</v>
      </c>
      <c r="I205" s="301">
        <v>5.24</v>
      </c>
      <c r="J205" s="31">
        <v>120</v>
      </c>
      <c r="K205" s="31" t="s">
        <v>63</v>
      </c>
      <c r="L205" s="32" t="s">
        <v>99</v>
      </c>
      <c r="M205" s="31">
        <v>55</v>
      </c>
      <c r="N205" s="52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20"/>
      <c r="P205" s="320"/>
      <c r="Q205" s="320"/>
      <c r="R205" s="309"/>
      <c r="S205" s="33"/>
      <c r="T205" s="33"/>
      <c r="U205" s="34" t="s">
        <v>65</v>
      </c>
      <c r="V205" s="302">
        <v>0</v>
      </c>
      <c r="W205" s="303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337</v>
      </c>
      <c r="B206" s="53" t="s">
        <v>338</v>
      </c>
      <c r="C206" s="30">
        <v>4301011433</v>
      </c>
      <c r="D206" s="308">
        <v>4680115882638</v>
      </c>
      <c r="E206" s="309"/>
      <c r="F206" s="301">
        <v>0.4</v>
      </c>
      <c r="G206" s="31">
        <v>10</v>
      </c>
      <c r="H206" s="301">
        <v>4</v>
      </c>
      <c r="I206" s="301">
        <v>4.24</v>
      </c>
      <c r="J206" s="31">
        <v>120</v>
      </c>
      <c r="K206" s="31" t="s">
        <v>63</v>
      </c>
      <c r="L206" s="32" t="s">
        <v>99</v>
      </c>
      <c r="M206" s="31">
        <v>90</v>
      </c>
      <c r="N206" s="4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20"/>
      <c r="P206" s="320"/>
      <c r="Q206" s="320"/>
      <c r="R206" s="309"/>
      <c r="S206" s="33"/>
      <c r="T206" s="33"/>
      <c r="U206" s="34" t="s">
        <v>65</v>
      </c>
      <c r="V206" s="302">
        <v>0</v>
      </c>
      <c r="W206" s="303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339</v>
      </c>
      <c r="B207" s="53" t="s">
        <v>340</v>
      </c>
      <c r="C207" s="30">
        <v>4301011573</v>
      </c>
      <c r="D207" s="308">
        <v>4680115881938</v>
      </c>
      <c r="E207" s="309"/>
      <c r="F207" s="301">
        <v>0.4</v>
      </c>
      <c r="G207" s="31">
        <v>10</v>
      </c>
      <c r="H207" s="301">
        <v>4</v>
      </c>
      <c r="I207" s="301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5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20"/>
      <c r="P207" s="320"/>
      <c r="Q207" s="320"/>
      <c r="R207" s="309"/>
      <c r="S207" s="33"/>
      <c r="T207" s="33"/>
      <c r="U207" s="34" t="s">
        <v>65</v>
      </c>
      <c r="V207" s="302">
        <v>0</v>
      </c>
      <c r="W207" s="303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341</v>
      </c>
      <c r="B208" s="53" t="s">
        <v>342</v>
      </c>
      <c r="C208" s="30">
        <v>4301010944</v>
      </c>
      <c r="D208" s="308">
        <v>4607091387346</v>
      </c>
      <c r="E208" s="309"/>
      <c r="F208" s="301">
        <v>0.4</v>
      </c>
      <c r="G208" s="31">
        <v>10</v>
      </c>
      <c r="H208" s="301">
        <v>4</v>
      </c>
      <c r="I208" s="301">
        <v>4.24</v>
      </c>
      <c r="J208" s="31">
        <v>120</v>
      </c>
      <c r="K208" s="31" t="s">
        <v>63</v>
      </c>
      <c r="L208" s="32" t="s">
        <v>99</v>
      </c>
      <c r="M208" s="31">
        <v>55</v>
      </c>
      <c r="N208" s="41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20"/>
      <c r="P208" s="320"/>
      <c r="Q208" s="320"/>
      <c r="R208" s="309"/>
      <c r="S208" s="33"/>
      <c r="T208" s="33"/>
      <c r="U208" s="34" t="s">
        <v>65</v>
      </c>
      <c r="V208" s="302">
        <v>0</v>
      </c>
      <c r="W208" s="303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343</v>
      </c>
      <c r="B209" s="53" t="s">
        <v>344</v>
      </c>
      <c r="C209" s="30">
        <v>4301011353</v>
      </c>
      <c r="D209" s="308">
        <v>4607091389807</v>
      </c>
      <c r="E209" s="309"/>
      <c r="F209" s="301">
        <v>0.4</v>
      </c>
      <c r="G209" s="31">
        <v>10</v>
      </c>
      <c r="H209" s="301">
        <v>4</v>
      </c>
      <c r="I209" s="301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3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20"/>
      <c r="P209" s="320"/>
      <c r="Q209" s="320"/>
      <c r="R209" s="309"/>
      <c r="S209" s="33"/>
      <c r="T209" s="33"/>
      <c r="U209" s="34" t="s">
        <v>65</v>
      </c>
      <c r="V209" s="302">
        <v>0</v>
      </c>
      <c r="W209" s="303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x14ac:dyDescent="0.2">
      <c r="A210" s="334"/>
      <c r="B210" s="318"/>
      <c r="C210" s="318"/>
      <c r="D210" s="318"/>
      <c r="E210" s="318"/>
      <c r="F210" s="318"/>
      <c r="G210" s="318"/>
      <c r="H210" s="318"/>
      <c r="I210" s="318"/>
      <c r="J210" s="318"/>
      <c r="K210" s="318"/>
      <c r="L210" s="318"/>
      <c r="M210" s="335"/>
      <c r="N210" s="321" t="s">
        <v>66</v>
      </c>
      <c r="O210" s="322"/>
      <c r="P210" s="322"/>
      <c r="Q210" s="322"/>
      <c r="R210" s="322"/>
      <c r="S210" s="322"/>
      <c r="T210" s="323"/>
      <c r="U210" s="36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35"/>
      <c r="N211" s="321" t="s">
        <v>66</v>
      </c>
      <c r="O211" s="322"/>
      <c r="P211" s="322"/>
      <c r="Q211" s="322"/>
      <c r="R211" s="322"/>
      <c r="S211" s="322"/>
      <c r="T211" s="323"/>
      <c r="U211" s="36" t="s">
        <v>65</v>
      </c>
      <c r="V211" s="304">
        <f>IFERROR(SUM(V195:V209),"0")</f>
        <v>0</v>
      </c>
      <c r="W211" s="304">
        <f>IFERROR(SUM(W195:W209),"0")</f>
        <v>0</v>
      </c>
      <c r="X211" s="36"/>
      <c r="Y211" s="305"/>
      <c r="Z211" s="305"/>
    </row>
    <row r="212" spans="1:53" ht="14.25" customHeight="1" x14ac:dyDescent="0.25">
      <c r="A212" s="330" t="s">
        <v>95</v>
      </c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8"/>
      <c r="N212" s="318"/>
      <c r="O212" s="318"/>
      <c r="P212" s="318"/>
      <c r="Q212" s="318"/>
      <c r="R212" s="318"/>
      <c r="S212" s="318"/>
      <c r="T212" s="318"/>
      <c r="U212" s="318"/>
      <c r="V212" s="318"/>
      <c r="W212" s="318"/>
      <c r="X212" s="318"/>
      <c r="Y212" s="295"/>
      <c r="Z212" s="295"/>
    </row>
    <row r="213" spans="1:53" ht="27" customHeight="1" x14ac:dyDescent="0.25">
      <c r="A213" s="53" t="s">
        <v>345</v>
      </c>
      <c r="B213" s="53" t="s">
        <v>346</v>
      </c>
      <c r="C213" s="30">
        <v>4301020254</v>
      </c>
      <c r="D213" s="308">
        <v>4680115881914</v>
      </c>
      <c r="E213" s="309"/>
      <c r="F213" s="301">
        <v>0.4</v>
      </c>
      <c r="G213" s="31">
        <v>10</v>
      </c>
      <c r="H213" s="301">
        <v>4</v>
      </c>
      <c r="I213" s="301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53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20"/>
      <c r="P213" s="320"/>
      <c r="Q213" s="320"/>
      <c r="R213" s="309"/>
      <c r="S213" s="33"/>
      <c r="T213" s="33"/>
      <c r="U213" s="34" t="s">
        <v>65</v>
      </c>
      <c r="V213" s="302">
        <v>0</v>
      </c>
      <c r="W213" s="303">
        <f>IFERROR(IF(V213="",0,CEILING((V213/$H213),1)*$H213),"")</f>
        <v>0</v>
      </c>
      <c r="X213" s="35" t="str">
        <f>IFERROR(IF(W213=0,"",ROUNDUP(W213/H213,0)*0.00937),"")</f>
        <v/>
      </c>
      <c r="Y213" s="55"/>
      <c r="Z213" s="56"/>
      <c r="AD213" s="57"/>
      <c r="BA213" s="176" t="s">
        <v>1</v>
      </c>
    </row>
    <row r="214" spans="1:53" x14ac:dyDescent="0.2">
      <c r="A214" s="334"/>
      <c r="B214" s="318"/>
      <c r="C214" s="318"/>
      <c r="D214" s="318"/>
      <c r="E214" s="318"/>
      <c r="F214" s="318"/>
      <c r="G214" s="318"/>
      <c r="H214" s="318"/>
      <c r="I214" s="318"/>
      <c r="J214" s="318"/>
      <c r="K214" s="318"/>
      <c r="L214" s="318"/>
      <c r="M214" s="335"/>
      <c r="N214" s="321" t="s">
        <v>66</v>
      </c>
      <c r="O214" s="322"/>
      <c r="P214" s="322"/>
      <c r="Q214" s="322"/>
      <c r="R214" s="322"/>
      <c r="S214" s="322"/>
      <c r="T214" s="323"/>
      <c r="U214" s="36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35"/>
      <c r="N215" s="321" t="s">
        <v>66</v>
      </c>
      <c r="O215" s="322"/>
      <c r="P215" s="322"/>
      <c r="Q215" s="322"/>
      <c r="R215" s="322"/>
      <c r="S215" s="322"/>
      <c r="T215" s="323"/>
      <c r="U215" s="36" t="s">
        <v>65</v>
      </c>
      <c r="V215" s="304">
        <f>IFERROR(SUM(V213:V213),"0")</f>
        <v>0</v>
      </c>
      <c r="W215" s="304">
        <f>IFERROR(SUM(W213:W213),"0")</f>
        <v>0</v>
      </c>
      <c r="X215" s="36"/>
      <c r="Y215" s="305"/>
      <c r="Z215" s="305"/>
    </row>
    <row r="216" spans="1:53" ht="14.25" customHeight="1" x14ac:dyDescent="0.25">
      <c r="A216" s="330" t="s">
        <v>60</v>
      </c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8"/>
      <c r="N216" s="318"/>
      <c r="O216" s="318"/>
      <c r="P216" s="318"/>
      <c r="Q216" s="318"/>
      <c r="R216" s="318"/>
      <c r="S216" s="318"/>
      <c r="T216" s="318"/>
      <c r="U216" s="318"/>
      <c r="V216" s="318"/>
      <c r="W216" s="318"/>
      <c r="X216" s="318"/>
      <c r="Y216" s="295"/>
      <c r="Z216" s="295"/>
    </row>
    <row r="217" spans="1:53" ht="27" customHeight="1" x14ac:dyDescent="0.25">
      <c r="A217" s="53" t="s">
        <v>347</v>
      </c>
      <c r="B217" s="53" t="s">
        <v>348</v>
      </c>
      <c r="C217" s="30">
        <v>4301030878</v>
      </c>
      <c r="D217" s="308">
        <v>4607091387193</v>
      </c>
      <c r="E217" s="309"/>
      <c r="F217" s="301">
        <v>0.7</v>
      </c>
      <c r="G217" s="31">
        <v>6</v>
      </c>
      <c r="H217" s="301">
        <v>4.2</v>
      </c>
      <c r="I217" s="301">
        <v>4.46</v>
      </c>
      <c r="J217" s="31">
        <v>156</v>
      </c>
      <c r="K217" s="31" t="s">
        <v>63</v>
      </c>
      <c r="L217" s="32" t="s">
        <v>64</v>
      </c>
      <c r="M217" s="31">
        <v>35</v>
      </c>
      <c r="N217" s="3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20"/>
      <c r="P217" s="320"/>
      <c r="Q217" s="320"/>
      <c r="R217" s="309"/>
      <c r="S217" s="33"/>
      <c r="T217" s="33"/>
      <c r="U217" s="34" t="s">
        <v>65</v>
      </c>
      <c r="V217" s="302">
        <v>100</v>
      </c>
      <c r="W217" s="303">
        <f>IFERROR(IF(V217="",0,CEILING((V217/$H217),1)*$H217),"")</f>
        <v>100.80000000000001</v>
      </c>
      <c r="X217" s="35">
        <f>IFERROR(IF(W217=0,"",ROUNDUP(W217/H217,0)*0.00753),"")</f>
        <v>0.18071999999999999</v>
      </c>
      <c r="Y217" s="55"/>
      <c r="Z217" s="56"/>
      <c r="AD217" s="57"/>
      <c r="BA217" s="177" t="s">
        <v>1</v>
      </c>
    </row>
    <row r="218" spans="1:53" ht="27" customHeight="1" x14ac:dyDescent="0.25">
      <c r="A218" s="53" t="s">
        <v>349</v>
      </c>
      <c r="B218" s="53" t="s">
        <v>350</v>
      </c>
      <c r="C218" s="30">
        <v>4301031153</v>
      </c>
      <c r="D218" s="308">
        <v>4607091387230</v>
      </c>
      <c r="E218" s="309"/>
      <c r="F218" s="301">
        <v>0.7</v>
      </c>
      <c r="G218" s="31">
        <v>6</v>
      </c>
      <c r="H218" s="301">
        <v>4.2</v>
      </c>
      <c r="I218" s="301">
        <v>4.46</v>
      </c>
      <c r="J218" s="31">
        <v>156</v>
      </c>
      <c r="K218" s="31" t="s">
        <v>63</v>
      </c>
      <c r="L218" s="32" t="s">
        <v>64</v>
      </c>
      <c r="M218" s="31">
        <v>40</v>
      </c>
      <c r="N218" s="5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20"/>
      <c r="P218" s="320"/>
      <c r="Q218" s="320"/>
      <c r="R218" s="309"/>
      <c r="S218" s="33"/>
      <c r="T218" s="33"/>
      <c r="U218" s="34" t="s">
        <v>65</v>
      </c>
      <c r="V218" s="302">
        <v>0</v>
      </c>
      <c r="W218" s="303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351</v>
      </c>
      <c r="B219" s="53" t="s">
        <v>352</v>
      </c>
      <c r="C219" s="30">
        <v>4301031152</v>
      </c>
      <c r="D219" s="308">
        <v>4607091387285</v>
      </c>
      <c r="E219" s="309"/>
      <c r="F219" s="301">
        <v>0.35</v>
      </c>
      <c r="G219" s="31">
        <v>6</v>
      </c>
      <c r="H219" s="301">
        <v>2.1</v>
      </c>
      <c r="I219" s="301">
        <v>2.23</v>
      </c>
      <c r="J219" s="31">
        <v>234</v>
      </c>
      <c r="K219" s="31" t="s">
        <v>164</v>
      </c>
      <c r="L219" s="32" t="s">
        <v>64</v>
      </c>
      <c r="M219" s="31">
        <v>40</v>
      </c>
      <c r="N219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20"/>
      <c r="P219" s="320"/>
      <c r="Q219" s="320"/>
      <c r="R219" s="309"/>
      <c r="S219" s="33"/>
      <c r="T219" s="33"/>
      <c r="U219" s="34" t="s">
        <v>65</v>
      </c>
      <c r="V219" s="302">
        <v>0</v>
      </c>
      <c r="W219" s="303">
        <f>IFERROR(IF(V219="",0,CEILING((V219/$H219),1)*$H219),"")</f>
        <v>0</v>
      </c>
      <c r="X219" s="35" t="str">
        <f>IFERROR(IF(W219=0,"",ROUNDUP(W219/H219,0)*0.00502),"")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353</v>
      </c>
      <c r="B220" s="53" t="s">
        <v>354</v>
      </c>
      <c r="C220" s="30">
        <v>4301031151</v>
      </c>
      <c r="D220" s="308">
        <v>4607091389845</v>
      </c>
      <c r="E220" s="309"/>
      <c r="F220" s="301">
        <v>0.35</v>
      </c>
      <c r="G220" s="31">
        <v>6</v>
      </c>
      <c r="H220" s="301">
        <v>2.1</v>
      </c>
      <c r="I220" s="301">
        <v>2.2000000000000002</v>
      </c>
      <c r="J220" s="31">
        <v>234</v>
      </c>
      <c r="K220" s="31" t="s">
        <v>164</v>
      </c>
      <c r="L220" s="32" t="s">
        <v>64</v>
      </c>
      <c r="M220" s="31">
        <v>40</v>
      </c>
      <c r="N220" s="5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20"/>
      <c r="P220" s="320"/>
      <c r="Q220" s="320"/>
      <c r="R220" s="309"/>
      <c r="S220" s="33"/>
      <c r="T220" s="33"/>
      <c r="U220" s="34" t="s">
        <v>65</v>
      </c>
      <c r="V220" s="302">
        <v>0</v>
      </c>
      <c r="W220" s="303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x14ac:dyDescent="0.2">
      <c r="A221" s="334"/>
      <c r="B221" s="318"/>
      <c r="C221" s="318"/>
      <c r="D221" s="318"/>
      <c r="E221" s="318"/>
      <c r="F221" s="318"/>
      <c r="G221" s="318"/>
      <c r="H221" s="318"/>
      <c r="I221" s="318"/>
      <c r="J221" s="318"/>
      <c r="K221" s="318"/>
      <c r="L221" s="318"/>
      <c r="M221" s="335"/>
      <c r="N221" s="321" t="s">
        <v>66</v>
      </c>
      <c r="O221" s="322"/>
      <c r="P221" s="322"/>
      <c r="Q221" s="322"/>
      <c r="R221" s="322"/>
      <c r="S221" s="322"/>
      <c r="T221" s="323"/>
      <c r="U221" s="36" t="s">
        <v>67</v>
      </c>
      <c r="V221" s="304">
        <f>IFERROR(V217/H217,"0")+IFERROR(V218/H218,"0")+IFERROR(V219/H219,"0")+IFERROR(V220/H220,"0")</f>
        <v>23.80952380952381</v>
      </c>
      <c r="W221" s="304">
        <f>IFERROR(W217/H217,"0")+IFERROR(W218/H218,"0")+IFERROR(W219/H219,"0")+IFERROR(W220/H220,"0")</f>
        <v>24</v>
      </c>
      <c r="X221" s="304">
        <f>IFERROR(IF(X217="",0,X217),"0")+IFERROR(IF(X218="",0,X218),"0")+IFERROR(IF(X219="",0,X219),"0")+IFERROR(IF(X220="",0,X220),"0")</f>
        <v>0.18071999999999999</v>
      </c>
      <c r="Y221" s="305"/>
      <c r="Z221" s="305"/>
    </row>
    <row r="222" spans="1:53" x14ac:dyDescent="0.2">
      <c r="A222" s="318"/>
      <c r="B222" s="318"/>
      <c r="C222" s="318"/>
      <c r="D222" s="318"/>
      <c r="E222" s="318"/>
      <c r="F222" s="318"/>
      <c r="G222" s="318"/>
      <c r="H222" s="318"/>
      <c r="I222" s="318"/>
      <c r="J222" s="318"/>
      <c r="K222" s="318"/>
      <c r="L222" s="318"/>
      <c r="M222" s="335"/>
      <c r="N222" s="321" t="s">
        <v>66</v>
      </c>
      <c r="O222" s="322"/>
      <c r="P222" s="322"/>
      <c r="Q222" s="322"/>
      <c r="R222" s="322"/>
      <c r="S222" s="322"/>
      <c r="T222" s="323"/>
      <c r="U222" s="36" t="s">
        <v>65</v>
      </c>
      <c r="V222" s="304">
        <f>IFERROR(SUM(V217:V220),"0")</f>
        <v>100</v>
      </c>
      <c r="W222" s="304">
        <f>IFERROR(SUM(W217:W220),"0")</f>
        <v>100.80000000000001</v>
      </c>
      <c r="X222" s="36"/>
      <c r="Y222" s="305"/>
      <c r="Z222" s="305"/>
    </row>
    <row r="223" spans="1:53" ht="14.25" customHeight="1" x14ac:dyDescent="0.25">
      <c r="A223" s="330" t="s">
        <v>68</v>
      </c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18"/>
      <c r="N223" s="318"/>
      <c r="O223" s="318"/>
      <c r="P223" s="318"/>
      <c r="Q223" s="318"/>
      <c r="R223" s="318"/>
      <c r="S223" s="318"/>
      <c r="T223" s="318"/>
      <c r="U223" s="318"/>
      <c r="V223" s="318"/>
      <c r="W223" s="318"/>
      <c r="X223" s="318"/>
      <c r="Y223" s="295"/>
      <c r="Z223" s="295"/>
    </row>
    <row r="224" spans="1:53" ht="16.5" customHeight="1" x14ac:dyDescent="0.25">
      <c r="A224" s="53" t="s">
        <v>355</v>
      </c>
      <c r="B224" s="53" t="s">
        <v>356</v>
      </c>
      <c r="C224" s="30">
        <v>4301051100</v>
      </c>
      <c r="D224" s="308">
        <v>4607091387766</v>
      </c>
      <c r="E224" s="309"/>
      <c r="F224" s="301">
        <v>1.35</v>
      </c>
      <c r="G224" s="31">
        <v>6</v>
      </c>
      <c r="H224" s="301">
        <v>8.1</v>
      </c>
      <c r="I224" s="301">
        <v>8.6579999999999995</v>
      </c>
      <c r="J224" s="31">
        <v>56</v>
      </c>
      <c r="K224" s="31" t="s">
        <v>98</v>
      </c>
      <c r="L224" s="32" t="s">
        <v>132</v>
      </c>
      <c r="M224" s="31">
        <v>40</v>
      </c>
      <c r="N224" s="3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20"/>
      <c r="P224" s="320"/>
      <c r="Q224" s="320"/>
      <c r="R224" s="309"/>
      <c r="S224" s="33"/>
      <c r="T224" s="33"/>
      <c r="U224" s="34" t="s">
        <v>65</v>
      </c>
      <c r="V224" s="302">
        <v>200</v>
      </c>
      <c r="W224" s="303">
        <f t="shared" ref="W224:W230" si="12">IFERROR(IF(V224="",0,CEILING((V224/$H224),1)*$H224),"")</f>
        <v>202.5</v>
      </c>
      <c r="X224" s="35">
        <f>IFERROR(IF(W224=0,"",ROUNDUP(W224/H224,0)*0.02175),"")</f>
        <v>0.54374999999999996</v>
      </c>
      <c r="Y224" s="55"/>
      <c r="Z224" s="56"/>
      <c r="AD224" s="57"/>
      <c r="BA224" s="181" t="s">
        <v>1</v>
      </c>
    </row>
    <row r="225" spans="1:53" ht="27" customHeight="1" x14ac:dyDescent="0.25">
      <c r="A225" s="53" t="s">
        <v>357</v>
      </c>
      <c r="B225" s="53" t="s">
        <v>358</v>
      </c>
      <c r="C225" s="30">
        <v>4301051116</v>
      </c>
      <c r="D225" s="308">
        <v>4607091387957</v>
      </c>
      <c r="E225" s="309"/>
      <c r="F225" s="301">
        <v>1.3</v>
      </c>
      <c r="G225" s="31">
        <v>6</v>
      </c>
      <c r="H225" s="301">
        <v>7.8</v>
      </c>
      <c r="I225" s="301">
        <v>8.3640000000000008</v>
      </c>
      <c r="J225" s="31">
        <v>56</v>
      </c>
      <c r="K225" s="31" t="s">
        <v>98</v>
      </c>
      <c r="L225" s="32" t="s">
        <v>64</v>
      </c>
      <c r="M225" s="31">
        <v>40</v>
      </c>
      <c r="N225" s="3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20"/>
      <c r="P225" s="320"/>
      <c r="Q225" s="320"/>
      <c r="R225" s="309"/>
      <c r="S225" s="33"/>
      <c r="T225" s="33"/>
      <c r="U225" s="34" t="s">
        <v>65</v>
      </c>
      <c r="V225" s="302">
        <v>0</v>
      </c>
      <c r="W225" s="303">
        <f t="shared" si="12"/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359</v>
      </c>
      <c r="B226" s="53" t="s">
        <v>360</v>
      </c>
      <c r="C226" s="30">
        <v>4301051115</v>
      </c>
      <c r="D226" s="308">
        <v>4607091387964</v>
      </c>
      <c r="E226" s="309"/>
      <c r="F226" s="301">
        <v>1.35</v>
      </c>
      <c r="G226" s="31">
        <v>6</v>
      </c>
      <c r="H226" s="301">
        <v>8.1</v>
      </c>
      <c r="I226" s="301">
        <v>8.6460000000000008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5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20"/>
      <c r="P226" s="320"/>
      <c r="Q226" s="320"/>
      <c r="R226" s="309"/>
      <c r="S226" s="33"/>
      <c r="T226" s="33"/>
      <c r="U226" s="34" t="s">
        <v>65</v>
      </c>
      <c r="V226" s="302">
        <v>0</v>
      </c>
      <c r="W226" s="303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16.5" customHeight="1" x14ac:dyDescent="0.25">
      <c r="A227" s="53" t="s">
        <v>361</v>
      </c>
      <c r="B227" s="53" t="s">
        <v>362</v>
      </c>
      <c r="C227" s="30">
        <v>4301051134</v>
      </c>
      <c r="D227" s="308">
        <v>4607091381672</v>
      </c>
      <c r="E227" s="309"/>
      <c r="F227" s="301">
        <v>0.6</v>
      </c>
      <c r="G227" s="31">
        <v>6</v>
      </c>
      <c r="H227" s="301">
        <v>3.6</v>
      </c>
      <c r="I227" s="301">
        <v>3.8759999999999999</v>
      </c>
      <c r="J227" s="31">
        <v>120</v>
      </c>
      <c r="K227" s="31" t="s">
        <v>63</v>
      </c>
      <c r="L227" s="32" t="s">
        <v>64</v>
      </c>
      <c r="M227" s="31">
        <v>40</v>
      </c>
      <c r="N227" s="4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0"/>
      <c r="P227" s="320"/>
      <c r="Q227" s="320"/>
      <c r="R227" s="309"/>
      <c r="S227" s="33"/>
      <c r="T227" s="33"/>
      <c r="U227" s="34" t="s">
        <v>65</v>
      </c>
      <c r="V227" s="302">
        <v>0</v>
      </c>
      <c r="W227" s="303">
        <f t="shared" si="12"/>
        <v>0</v>
      </c>
      <c r="X227" s="35" t="str">
        <f>IFERROR(IF(W227=0,"",ROUNDUP(W227/H227,0)*0.00937),"")</f>
        <v/>
      </c>
      <c r="Y227" s="55"/>
      <c r="Z227" s="56"/>
      <c r="AD227" s="57"/>
      <c r="BA227" s="184" t="s">
        <v>1</v>
      </c>
    </row>
    <row r="228" spans="1:53" ht="27" customHeight="1" x14ac:dyDescent="0.25">
      <c r="A228" s="53" t="s">
        <v>363</v>
      </c>
      <c r="B228" s="53" t="s">
        <v>364</v>
      </c>
      <c r="C228" s="30">
        <v>4301051130</v>
      </c>
      <c r="D228" s="308">
        <v>4607091387537</v>
      </c>
      <c r="E228" s="309"/>
      <c r="F228" s="301">
        <v>0.45</v>
      </c>
      <c r="G228" s="31">
        <v>6</v>
      </c>
      <c r="H228" s="301">
        <v>2.7</v>
      </c>
      <c r="I228" s="301">
        <v>2.99</v>
      </c>
      <c r="J228" s="31">
        <v>156</v>
      </c>
      <c r="K228" s="31" t="s">
        <v>63</v>
      </c>
      <c r="L228" s="32" t="s">
        <v>64</v>
      </c>
      <c r="M228" s="31">
        <v>40</v>
      </c>
      <c r="N228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0"/>
      <c r="P228" s="320"/>
      <c r="Q228" s="320"/>
      <c r="R228" s="309"/>
      <c r="S228" s="33"/>
      <c r="T228" s="33"/>
      <c r="U228" s="34" t="s">
        <v>65</v>
      </c>
      <c r="V228" s="302">
        <v>0</v>
      </c>
      <c r="W228" s="303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365</v>
      </c>
      <c r="B229" s="53" t="s">
        <v>366</v>
      </c>
      <c r="C229" s="30">
        <v>4301051132</v>
      </c>
      <c r="D229" s="308">
        <v>4607091387513</v>
      </c>
      <c r="E229" s="309"/>
      <c r="F229" s="301">
        <v>0.45</v>
      </c>
      <c r="G229" s="31">
        <v>6</v>
      </c>
      <c r="H229" s="301">
        <v>2.7</v>
      </c>
      <c r="I229" s="301">
        <v>2.9780000000000002</v>
      </c>
      <c r="J229" s="31">
        <v>156</v>
      </c>
      <c r="K229" s="31" t="s">
        <v>63</v>
      </c>
      <c r="L229" s="32" t="s">
        <v>64</v>
      </c>
      <c r="M229" s="31">
        <v>40</v>
      </c>
      <c r="N229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0"/>
      <c r="P229" s="320"/>
      <c r="Q229" s="320"/>
      <c r="R229" s="309"/>
      <c r="S229" s="33"/>
      <c r="T229" s="33"/>
      <c r="U229" s="34" t="s">
        <v>65</v>
      </c>
      <c r="V229" s="302">
        <v>0</v>
      </c>
      <c r="W229" s="303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367</v>
      </c>
      <c r="B230" s="53" t="s">
        <v>368</v>
      </c>
      <c r="C230" s="30">
        <v>4301051277</v>
      </c>
      <c r="D230" s="308">
        <v>4680115880511</v>
      </c>
      <c r="E230" s="309"/>
      <c r="F230" s="301">
        <v>0.33</v>
      </c>
      <c r="G230" s="31">
        <v>6</v>
      </c>
      <c r="H230" s="301">
        <v>1.98</v>
      </c>
      <c r="I230" s="301">
        <v>2.1800000000000002</v>
      </c>
      <c r="J230" s="31">
        <v>156</v>
      </c>
      <c r="K230" s="31" t="s">
        <v>63</v>
      </c>
      <c r="L230" s="32" t="s">
        <v>132</v>
      </c>
      <c r="M230" s="31">
        <v>40</v>
      </c>
      <c r="N230" s="39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0"/>
      <c r="P230" s="320"/>
      <c r="Q230" s="320"/>
      <c r="R230" s="309"/>
      <c r="S230" s="33"/>
      <c r="T230" s="33"/>
      <c r="U230" s="34" t="s">
        <v>65</v>
      </c>
      <c r="V230" s="302">
        <v>0</v>
      </c>
      <c r="W230" s="303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x14ac:dyDescent="0.2">
      <c r="A231" s="334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35"/>
      <c r="N231" s="321" t="s">
        <v>66</v>
      </c>
      <c r="O231" s="322"/>
      <c r="P231" s="322"/>
      <c r="Q231" s="322"/>
      <c r="R231" s="322"/>
      <c r="S231" s="322"/>
      <c r="T231" s="323"/>
      <c r="U231" s="36" t="s">
        <v>67</v>
      </c>
      <c r="V231" s="304">
        <f>IFERROR(V224/H224,"0")+IFERROR(V225/H225,"0")+IFERROR(V226/H226,"0")+IFERROR(V227/H227,"0")+IFERROR(V228/H228,"0")+IFERROR(V229/H229,"0")+IFERROR(V230/H230,"0")</f>
        <v>24.691358024691358</v>
      </c>
      <c r="W231" s="304">
        <f>IFERROR(W224/H224,"0")+IFERROR(W225/H225,"0")+IFERROR(W226/H226,"0")+IFERROR(W227/H227,"0")+IFERROR(W228/H228,"0")+IFERROR(W229/H229,"0")+IFERROR(W230/H230,"0")</f>
        <v>25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0.54374999999999996</v>
      </c>
      <c r="Y231" s="305"/>
      <c r="Z231" s="305"/>
    </row>
    <row r="232" spans="1:53" x14ac:dyDescent="0.2">
      <c r="A232" s="318"/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35"/>
      <c r="N232" s="321" t="s">
        <v>66</v>
      </c>
      <c r="O232" s="322"/>
      <c r="P232" s="322"/>
      <c r="Q232" s="322"/>
      <c r="R232" s="322"/>
      <c r="S232" s="322"/>
      <c r="T232" s="323"/>
      <c r="U232" s="36" t="s">
        <v>65</v>
      </c>
      <c r="V232" s="304">
        <f>IFERROR(SUM(V224:V230),"0")</f>
        <v>200</v>
      </c>
      <c r="W232" s="304">
        <f>IFERROR(SUM(W224:W230),"0")</f>
        <v>202.5</v>
      </c>
      <c r="X232" s="36"/>
      <c r="Y232" s="305"/>
      <c r="Z232" s="305"/>
    </row>
    <row r="233" spans="1:53" ht="14.25" customHeight="1" x14ac:dyDescent="0.25">
      <c r="A233" s="330" t="s">
        <v>213</v>
      </c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8"/>
      <c r="N233" s="318"/>
      <c r="O233" s="318"/>
      <c r="P233" s="318"/>
      <c r="Q233" s="318"/>
      <c r="R233" s="318"/>
      <c r="S233" s="318"/>
      <c r="T233" s="318"/>
      <c r="U233" s="318"/>
      <c r="V233" s="318"/>
      <c r="W233" s="318"/>
      <c r="X233" s="318"/>
      <c r="Y233" s="295"/>
      <c r="Z233" s="295"/>
    </row>
    <row r="234" spans="1:53" ht="16.5" customHeight="1" x14ac:dyDescent="0.25">
      <c r="A234" s="53" t="s">
        <v>369</v>
      </c>
      <c r="B234" s="53" t="s">
        <v>370</v>
      </c>
      <c r="C234" s="30">
        <v>4301060326</v>
      </c>
      <c r="D234" s="308">
        <v>4607091380880</v>
      </c>
      <c r="E234" s="309"/>
      <c r="F234" s="301">
        <v>1.4</v>
      </c>
      <c r="G234" s="31">
        <v>6</v>
      </c>
      <c r="H234" s="301">
        <v>8.4</v>
      </c>
      <c r="I234" s="301">
        <v>8.9640000000000004</v>
      </c>
      <c r="J234" s="31">
        <v>56</v>
      </c>
      <c r="K234" s="31" t="s">
        <v>98</v>
      </c>
      <c r="L234" s="32" t="s">
        <v>64</v>
      </c>
      <c r="M234" s="31">
        <v>30</v>
      </c>
      <c r="N234" s="49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0"/>
      <c r="P234" s="320"/>
      <c r="Q234" s="320"/>
      <c r="R234" s="309"/>
      <c r="S234" s="33"/>
      <c r="T234" s="33"/>
      <c r="U234" s="34" t="s">
        <v>65</v>
      </c>
      <c r="V234" s="302">
        <v>0</v>
      </c>
      <c r="W234" s="303">
        <f>IFERROR(IF(V234="",0,CEILING((V234/$H234),1)*$H234),"")</f>
        <v>0</v>
      </c>
      <c r="X234" s="35" t="str">
        <f>IFERROR(IF(W234=0,"",ROUNDUP(W234/H234,0)*0.02175),"")</f>
        <v/>
      </c>
      <c r="Y234" s="55"/>
      <c r="Z234" s="56"/>
      <c r="AD234" s="57"/>
      <c r="BA234" s="188" t="s">
        <v>1</v>
      </c>
    </row>
    <row r="235" spans="1:53" ht="27" customHeight="1" x14ac:dyDescent="0.25">
      <c r="A235" s="53" t="s">
        <v>371</v>
      </c>
      <c r="B235" s="53" t="s">
        <v>372</v>
      </c>
      <c r="C235" s="30">
        <v>4301060308</v>
      </c>
      <c r="D235" s="308">
        <v>4607091384482</v>
      </c>
      <c r="E235" s="309"/>
      <c r="F235" s="301">
        <v>1.3</v>
      </c>
      <c r="G235" s="31">
        <v>6</v>
      </c>
      <c r="H235" s="301">
        <v>7.8</v>
      </c>
      <c r="I235" s="301">
        <v>8.3640000000000008</v>
      </c>
      <c r="J235" s="31">
        <v>56</v>
      </c>
      <c r="K235" s="31" t="s">
        <v>98</v>
      </c>
      <c r="L235" s="32" t="s">
        <v>64</v>
      </c>
      <c r="M235" s="31">
        <v>30</v>
      </c>
      <c r="N235" s="35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0"/>
      <c r="P235" s="320"/>
      <c r="Q235" s="320"/>
      <c r="R235" s="309"/>
      <c r="S235" s="33"/>
      <c r="T235" s="33"/>
      <c r="U235" s="34" t="s">
        <v>65</v>
      </c>
      <c r="V235" s="302">
        <v>800</v>
      </c>
      <c r="W235" s="303">
        <f>IFERROR(IF(V235="",0,CEILING((V235/$H235),1)*$H235),"")</f>
        <v>803.4</v>
      </c>
      <c r="X235" s="35">
        <f>IFERROR(IF(W235=0,"",ROUNDUP(W235/H235,0)*0.02175),"")</f>
        <v>2.2402499999999996</v>
      </c>
      <c r="Y235" s="55"/>
      <c r="Z235" s="56"/>
      <c r="AD235" s="57"/>
      <c r="BA235" s="189" t="s">
        <v>1</v>
      </c>
    </row>
    <row r="236" spans="1:53" ht="16.5" customHeight="1" x14ac:dyDescent="0.25">
      <c r="A236" s="53" t="s">
        <v>373</v>
      </c>
      <c r="B236" s="53" t="s">
        <v>374</v>
      </c>
      <c r="C236" s="30">
        <v>4301060325</v>
      </c>
      <c r="D236" s="308">
        <v>4607091380897</v>
      </c>
      <c r="E236" s="309"/>
      <c r="F236" s="301">
        <v>1.4</v>
      </c>
      <c r="G236" s="31">
        <v>6</v>
      </c>
      <c r="H236" s="301">
        <v>8.4</v>
      </c>
      <c r="I236" s="301">
        <v>8.9640000000000004</v>
      </c>
      <c r="J236" s="31">
        <v>56</v>
      </c>
      <c r="K236" s="31" t="s">
        <v>98</v>
      </c>
      <c r="L236" s="32" t="s">
        <v>64</v>
      </c>
      <c r="M236" s="31">
        <v>30</v>
      </c>
      <c r="N236" s="5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0"/>
      <c r="P236" s="320"/>
      <c r="Q236" s="320"/>
      <c r="R236" s="309"/>
      <c r="S236" s="33"/>
      <c r="T236" s="33"/>
      <c r="U236" s="34" t="s">
        <v>65</v>
      </c>
      <c r="V236" s="302">
        <v>0</v>
      </c>
      <c r="W236" s="303">
        <f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90" t="s">
        <v>1</v>
      </c>
    </row>
    <row r="237" spans="1:53" x14ac:dyDescent="0.2">
      <c r="A237" s="334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35"/>
      <c r="N237" s="321" t="s">
        <v>66</v>
      </c>
      <c r="O237" s="322"/>
      <c r="P237" s="322"/>
      <c r="Q237" s="322"/>
      <c r="R237" s="322"/>
      <c r="S237" s="322"/>
      <c r="T237" s="323"/>
      <c r="U237" s="36" t="s">
        <v>67</v>
      </c>
      <c r="V237" s="304">
        <f>IFERROR(V234/H234,"0")+IFERROR(V235/H235,"0")+IFERROR(V236/H236,"0")</f>
        <v>102.56410256410257</v>
      </c>
      <c r="W237" s="304">
        <f>IFERROR(W234/H234,"0")+IFERROR(W235/H235,"0")+IFERROR(W236/H236,"0")</f>
        <v>103</v>
      </c>
      <c r="X237" s="304">
        <f>IFERROR(IF(X234="",0,X234),"0")+IFERROR(IF(X235="",0,X235),"0")+IFERROR(IF(X236="",0,X236),"0")</f>
        <v>2.2402499999999996</v>
      </c>
      <c r="Y237" s="305"/>
      <c r="Z237" s="305"/>
    </row>
    <row r="238" spans="1:53" x14ac:dyDescent="0.2">
      <c r="A238" s="318"/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35"/>
      <c r="N238" s="321" t="s">
        <v>66</v>
      </c>
      <c r="O238" s="322"/>
      <c r="P238" s="322"/>
      <c r="Q238" s="322"/>
      <c r="R238" s="322"/>
      <c r="S238" s="322"/>
      <c r="T238" s="323"/>
      <c r="U238" s="36" t="s">
        <v>65</v>
      </c>
      <c r="V238" s="304">
        <f>IFERROR(SUM(V234:V236),"0")</f>
        <v>800</v>
      </c>
      <c r="W238" s="304">
        <f>IFERROR(SUM(W234:W236),"0")</f>
        <v>803.4</v>
      </c>
      <c r="X238" s="36"/>
      <c r="Y238" s="305"/>
      <c r="Z238" s="305"/>
    </row>
    <row r="239" spans="1:53" ht="14.25" customHeight="1" x14ac:dyDescent="0.25">
      <c r="A239" s="330" t="s">
        <v>81</v>
      </c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18"/>
      <c r="N239" s="318"/>
      <c r="O239" s="318"/>
      <c r="P239" s="318"/>
      <c r="Q239" s="318"/>
      <c r="R239" s="318"/>
      <c r="S239" s="318"/>
      <c r="T239" s="318"/>
      <c r="U239" s="318"/>
      <c r="V239" s="318"/>
      <c r="W239" s="318"/>
      <c r="X239" s="318"/>
      <c r="Y239" s="295"/>
      <c r="Z239" s="295"/>
    </row>
    <row r="240" spans="1:53" ht="16.5" customHeight="1" x14ac:dyDescent="0.25">
      <c r="A240" s="53" t="s">
        <v>375</v>
      </c>
      <c r="B240" s="53" t="s">
        <v>376</v>
      </c>
      <c r="C240" s="30">
        <v>4301030232</v>
      </c>
      <c r="D240" s="308">
        <v>4607091388374</v>
      </c>
      <c r="E240" s="309"/>
      <c r="F240" s="301">
        <v>0.38</v>
      </c>
      <c r="G240" s="31">
        <v>8</v>
      </c>
      <c r="H240" s="301">
        <v>3.04</v>
      </c>
      <c r="I240" s="301">
        <v>3.28</v>
      </c>
      <c r="J240" s="31">
        <v>156</v>
      </c>
      <c r="K240" s="31" t="s">
        <v>63</v>
      </c>
      <c r="L240" s="32" t="s">
        <v>84</v>
      </c>
      <c r="M240" s="31">
        <v>180</v>
      </c>
      <c r="N240" s="455" t="s">
        <v>377</v>
      </c>
      <c r="O240" s="320"/>
      <c r="P240" s="320"/>
      <c r="Q240" s="320"/>
      <c r="R240" s="309"/>
      <c r="S240" s="33"/>
      <c r="T240" s="33"/>
      <c r="U240" s="34" t="s">
        <v>65</v>
      </c>
      <c r="V240" s="302">
        <v>0</v>
      </c>
      <c r="W240" s="303">
        <f>IFERROR(IF(V240="",0,CEILING((V240/$H240),1)*$H240),"")</f>
        <v>0</v>
      </c>
      <c r="X240" s="35" t="str">
        <f>IFERROR(IF(W240=0,"",ROUNDUP(W240/H240,0)*0.00753),"")</f>
        <v/>
      </c>
      <c r="Y240" s="55"/>
      <c r="Z240" s="56"/>
      <c r="AD240" s="57"/>
      <c r="BA240" s="191" t="s">
        <v>1</v>
      </c>
    </row>
    <row r="241" spans="1:53" ht="27" customHeight="1" x14ac:dyDescent="0.25">
      <c r="A241" s="53" t="s">
        <v>378</v>
      </c>
      <c r="B241" s="53" t="s">
        <v>379</v>
      </c>
      <c r="C241" s="30">
        <v>4301030235</v>
      </c>
      <c r="D241" s="308">
        <v>4607091388381</v>
      </c>
      <c r="E241" s="309"/>
      <c r="F241" s="301">
        <v>0.38</v>
      </c>
      <c r="G241" s="31">
        <v>8</v>
      </c>
      <c r="H241" s="301">
        <v>3.04</v>
      </c>
      <c r="I241" s="301">
        <v>3.32</v>
      </c>
      <c r="J241" s="31">
        <v>156</v>
      </c>
      <c r="K241" s="31" t="s">
        <v>63</v>
      </c>
      <c r="L241" s="32" t="s">
        <v>84</v>
      </c>
      <c r="M241" s="31">
        <v>180</v>
      </c>
      <c r="N241" s="532" t="s">
        <v>380</v>
      </c>
      <c r="O241" s="320"/>
      <c r="P241" s="320"/>
      <c r="Q241" s="320"/>
      <c r="R241" s="309"/>
      <c r="S241" s="33"/>
      <c r="T241" s="33"/>
      <c r="U241" s="34" t="s">
        <v>65</v>
      </c>
      <c r="V241" s="302">
        <v>0</v>
      </c>
      <c r="W241" s="303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381</v>
      </c>
      <c r="B242" s="53" t="s">
        <v>382</v>
      </c>
      <c r="C242" s="30">
        <v>4301030233</v>
      </c>
      <c r="D242" s="308">
        <v>4607091388404</v>
      </c>
      <c r="E242" s="309"/>
      <c r="F242" s="301">
        <v>0.17</v>
      </c>
      <c r="G242" s="31">
        <v>15</v>
      </c>
      <c r="H242" s="301">
        <v>2.5499999999999998</v>
      </c>
      <c r="I242" s="301">
        <v>2.9</v>
      </c>
      <c r="J242" s="31">
        <v>156</v>
      </c>
      <c r="K242" s="31" t="s">
        <v>63</v>
      </c>
      <c r="L242" s="32" t="s">
        <v>84</v>
      </c>
      <c r="M242" s="31">
        <v>180</v>
      </c>
      <c r="N242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0"/>
      <c r="P242" s="320"/>
      <c r="Q242" s="320"/>
      <c r="R242" s="309"/>
      <c r="S242" s="33"/>
      <c r="T242" s="33"/>
      <c r="U242" s="34" t="s">
        <v>65</v>
      </c>
      <c r="V242" s="302">
        <v>0</v>
      </c>
      <c r="W242" s="303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x14ac:dyDescent="0.2">
      <c r="A243" s="334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35"/>
      <c r="N243" s="321" t="s">
        <v>66</v>
      </c>
      <c r="O243" s="322"/>
      <c r="P243" s="322"/>
      <c r="Q243" s="322"/>
      <c r="R243" s="322"/>
      <c r="S243" s="322"/>
      <c r="T243" s="323"/>
      <c r="U243" s="36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8"/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35"/>
      <c r="N244" s="321" t="s">
        <v>66</v>
      </c>
      <c r="O244" s="322"/>
      <c r="P244" s="322"/>
      <c r="Q244" s="322"/>
      <c r="R244" s="322"/>
      <c r="S244" s="322"/>
      <c r="T244" s="323"/>
      <c r="U244" s="36" t="s">
        <v>65</v>
      </c>
      <c r="V244" s="304">
        <f>IFERROR(SUM(V240:V242),"0")</f>
        <v>0</v>
      </c>
      <c r="W244" s="304">
        <f>IFERROR(SUM(W240:W242),"0")</f>
        <v>0</v>
      </c>
      <c r="X244" s="36"/>
      <c r="Y244" s="305"/>
      <c r="Z244" s="305"/>
    </row>
    <row r="245" spans="1:53" ht="14.25" customHeight="1" x14ac:dyDescent="0.25">
      <c r="A245" s="330" t="s">
        <v>383</v>
      </c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8"/>
      <c r="M245" s="318"/>
      <c r="N245" s="318"/>
      <c r="O245" s="318"/>
      <c r="P245" s="318"/>
      <c r="Q245" s="318"/>
      <c r="R245" s="318"/>
      <c r="S245" s="318"/>
      <c r="T245" s="318"/>
      <c r="U245" s="318"/>
      <c r="V245" s="318"/>
      <c r="W245" s="318"/>
      <c r="X245" s="318"/>
      <c r="Y245" s="295"/>
      <c r="Z245" s="295"/>
    </row>
    <row r="246" spans="1:53" ht="16.5" customHeight="1" x14ac:dyDescent="0.25">
      <c r="A246" s="53" t="s">
        <v>384</v>
      </c>
      <c r="B246" s="53" t="s">
        <v>385</v>
      </c>
      <c r="C246" s="30">
        <v>4301180007</v>
      </c>
      <c r="D246" s="308">
        <v>4680115881808</v>
      </c>
      <c r="E246" s="309"/>
      <c r="F246" s="301">
        <v>0.1</v>
      </c>
      <c r="G246" s="31">
        <v>20</v>
      </c>
      <c r="H246" s="301">
        <v>2</v>
      </c>
      <c r="I246" s="301">
        <v>2.2400000000000002</v>
      </c>
      <c r="J246" s="31">
        <v>238</v>
      </c>
      <c r="K246" s="31" t="s">
        <v>386</v>
      </c>
      <c r="L246" s="32" t="s">
        <v>387</v>
      </c>
      <c r="M246" s="31">
        <v>730</v>
      </c>
      <c r="N246" s="3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0"/>
      <c r="P246" s="320"/>
      <c r="Q246" s="320"/>
      <c r="R246" s="309"/>
      <c r="S246" s="33"/>
      <c r="T246" s="33"/>
      <c r="U246" s="34" t="s">
        <v>65</v>
      </c>
      <c r="V246" s="302">
        <v>0</v>
      </c>
      <c r="W246" s="303">
        <f>IFERROR(IF(V246="",0,CEILING((V246/$H246),1)*$H246),"")</f>
        <v>0</v>
      </c>
      <c r="X246" s="35" t="str">
        <f>IFERROR(IF(W246=0,"",ROUNDUP(W246/H246,0)*0.00474),"")</f>
        <v/>
      </c>
      <c r="Y246" s="55"/>
      <c r="Z246" s="56"/>
      <c r="AD246" s="57"/>
      <c r="BA246" s="194" t="s">
        <v>1</v>
      </c>
    </row>
    <row r="247" spans="1:53" ht="27" customHeight="1" x14ac:dyDescent="0.25">
      <c r="A247" s="53" t="s">
        <v>388</v>
      </c>
      <c r="B247" s="53" t="s">
        <v>389</v>
      </c>
      <c r="C247" s="30">
        <v>4301180006</v>
      </c>
      <c r="D247" s="308">
        <v>4680115881822</v>
      </c>
      <c r="E247" s="309"/>
      <c r="F247" s="301">
        <v>0.1</v>
      </c>
      <c r="G247" s="31">
        <v>20</v>
      </c>
      <c r="H247" s="301">
        <v>2</v>
      </c>
      <c r="I247" s="301">
        <v>2.2400000000000002</v>
      </c>
      <c r="J247" s="31">
        <v>238</v>
      </c>
      <c r="K247" s="31" t="s">
        <v>386</v>
      </c>
      <c r="L247" s="32" t="s">
        <v>387</v>
      </c>
      <c r="M247" s="31">
        <v>730</v>
      </c>
      <c r="N247" s="3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0"/>
      <c r="P247" s="320"/>
      <c r="Q247" s="320"/>
      <c r="R247" s="309"/>
      <c r="S247" s="33"/>
      <c r="T247" s="33"/>
      <c r="U247" s="34" t="s">
        <v>65</v>
      </c>
      <c r="V247" s="302">
        <v>0</v>
      </c>
      <c r="W247" s="303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customHeight="1" x14ac:dyDescent="0.25">
      <c r="A248" s="53" t="s">
        <v>390</v>
      </c>
      <c r="B248" s="53" t="s">
        <v>391</v>
      </c>
      <c r="C248" s="30">
        <v>4301180001</v>
      </c>
      <c r="D248" s="308">
        <v>4680115880016</v>
      </c>
      <c r="E248" s="309"/>
      <c r="F248" s="301">
        <v>0.1</v>
      </c>
      <c r="G248" s="31">
        <v>20</v>
      </c>
      <c r="H248" s="301">
        <v>2</v>
      </c>
      <c r="I248" s="301">
        <v>2.2400000000000002</v>
      </c>
      <c r="J248" s="31">
        <v>238</v>
      </c>
      <c r="K248" s="31" t="s">
        <v>386</v>
      </c>
      <c r="L248" s="32" t="s">
        <v>387</v>
      </c>
      <c r="M248" s="31">
        <v>730</v>
      </c>
      <c r="N248" s="3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0"/>
      <c r="P248" s="320"/>
      <c r="Q248" s="320"/>
      <c r="R248" s="309"/>
      <c r="S248" s="33"/>
      <c r="T248" s="33"/>
      <c r="U248" s="34" t="s">
        <v>65</v>
      </c>
      <c r="V248" s="302">
        <v>0</v>
      </c>
      <c r="W248" s="303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x14ac:dyDescent="0.2">
      <c r="A249" s="334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35"/>
      <c r="N249" s="321" t="s">
        <v>66</v>
      </c>
      <c r="O249" s="322"/>
      <c r="P249" s="322"/>
      <c r="Q249" s="322"/>
      <c r="R249" s="322"/>
      <c r="S249" s="322"/>
      <c r="T249" s="323"/>
      <c r="U249" s="36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8"/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35"/>
      <c r="N250" s="321" t="s">
        <v>66</v>
      </c>
      <c r="O250" s="322"/>
      <c r="P250" s="322"/>
      <c r="Q250" s="322"/>
      <c r="R250" s="322"/>
      <c r="S250" s="322"/>
      <c r="T250" s="323"/>
      <c r="U250" s="36" t="s">
        <v>65</v>
      </c>
      <c r="V250" s="304">
        <f>IFERROR(SUM(V246:V248),"0")</f>
        <v>0</v>
      </c>
      <c r="W250" s="304">
        <f>IFERROR(SUM(W246:W248),"0")</f>
        <v>0</v>
      </c>
      <c r="X250" s="36"/>
      <c r="Y250" s="305"/>
      <c r="Z250" s="305"/>
    </row>
    <row r="251" spans="1:53" ht="16.5" customHeight="1" x14ac:dyDescent="0.25">
      <c r="A251" s="317" t="s">
        <v>392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298"/>
      <c r="Z251" s="298"/>
    </row>
    <row r="252" spans="1:53" ht="14.25" customHeight="1" x14ac:dyDescent="0.25">
      <c r="A252" s="330" t="s">
        <v>103</v>
      </c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8"/>
      <c r="M252" s="318"/>
      <c r="N252" s="318"/>
      <c r="O252" s="318"/>
      <c r="P252" s="318"/>
      <c r="Q252" s="318"/>
      <c r="R252" s="318"/>
      <c r="S252" s="318"/>
      <c r="T252" s="318"/>
      <c r="U252" s="318"/>
      <c r="V252" s="318"/>
      <c r="W252" s="318"/>
      <c r="X252" s="318"/>
      <c r="Y252" s="295"/>
      <c r="Z252" s="295"/>
    </row>
    <row r="253" spans="1:53" ht="27" customHeight="1" x14ac:dyDescent="0.25">
      <c r="A253" s="53" t="s">
        <v>393</v>
      </c>
      <c r="B253" s="53" t="s">
        <v>394</v>
      </c>
      <c r="C253" s="30">
        <v>4301011315</v>
      </c>
      <c r="D253" s="308">
        <v>4607091387421</v>
      </c>
      <c r="E253" s="309"/>
      <c r="F253" s="301">
        <v>1.35</v>
      </c>
      <c r="G253" s="31">
        <v>8</v>
      </c>
      <c r="H253" s="301">
        <v>10.8</v>
      </c>
      <c r="I253" s="301">
        <v>11.28</v>
      </c>
      <c r="J253" s="31">
        <v>56</v>
      </c>
      <c r="K253" s="31" t="s">
        <v>98</v>
      </c>
      <c r="L253" s="32" t="s">
        <v>99</v>
      </c>
      <c r="M253" s="31">
        <v>55</v>
      </c>
      <c r="N253" s="37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0"/>
      <c r="P253" s="320"/>
      <c r="Q253" s="320"/>
      <c r="R253" s="309"/>
      <c r="S253" s="33"/>
      <c r="T253" s="33"/>
      <c r="U253" s="34" t="s">
        <v>65</v>
      </c>
      <c r="V253" s="302">
        <v>0</v>
      </c>
      <c r="W253" s="303">
        <f t="shared" ref="W253:W259" si="13">IFERROR(IF(V253="",0,CEILING((V253/$H253),1)*$H253),"")</f>
        <v>0</v>
      </c>
      <c r="X253" s="35" t="str">
        <f>IFERROR(IF(W253=0,"",ROUNDUP(W253/H253,0)*0.02175),"")</f>
        <v/>
      </c>
      <c r="Y253" s="55"/>
      <c r="Z253" s="56"/>
      <c r="AD253" s="57"/>
      <c r="BA253" s="197" t="s">
        <v>1</v>
      </c>
    </row>
    <row r="254" spans="1:53" ht="27" customHeight="1" x14ac:dyDescent="0.25">
      <c r="A254" s="53" t="s">
        <v>393</v>
      </c>
      <c r="B254" s="53" t="s">
        <v>395</v>
      </c>
      <c r="C254" s="30">
        <v>4301011121</v>
      </c>
      <c r="D254" s="308">
        <v>4607091387421</v>
      </c>
      <c r="E254" s="309"/>
      <c r="F254" s="301">
        <v>1.35</v>
      </c>
      <c r="G254" s="31">
        <v>8</v>
      </c>
      <c r="H254" s="301">
        <v>10.8</v>
      </c>
      <c r="I254" s="301">
        <v>11.28</v>
      </c>
      <c r="J254" s="31">
        <v>48</v>
      </c>
      <c r="K254" s="31" t="s">
        <v>98</v>
      </c>
      <c r="L254" s="32" t="s">
        <v>106</v>
      </c>
      <c r="M254" s="31">
        <v>55</v>
      </c>
      <c r="N254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0"/>
      <c r="P254" s="320"/>
      <c r="Q254" s="320"/>
      <c r="R254" s="309"/>
      <c r="S254" s="33"/>
      <c r="T254" s="33"/>
      <c r="U254" s="34" t="s">
        <v>65</v>
      </c>
      <c r="V254" s="302">
        <v>0</v>
      </c>
      <c r="W254" s="303">
        <f t="shared" si="13"/>
        <v>0</v>
      </c>
      <c r="X254" s="35" t="str">
        <f>IFERROR(IF(W254=0,"",ROUNDUP(W254/H254,0)*0.02039),"")</f>
        <v/>
      </c>
      <c r="Y254" s="55"/>
      <c r="Z254" s="56"/>
      <c r="AD254" s="57"/>
      <c r="BA254" s="198" t="s">
        <v>1</v>
      </c>
    </row>
    <row r="255" spans="1:53" ht="27" customHeight="1" x14ac:dyDescent="0.25">
      <c r="A255" s="53" t="s">
        <v>396</v>
      </c>
      <c r="B255" s="53" t="s">
        <v>397</v>
      </c>
      <c r="C255" s="30">
        <v>4301011619</v>
      </c>
      <c r="D255" s="308">
        <v>4607091387452</v>
      </c>
      <c r="E255" s="309"/>
      <c r="F255" s="301">
        <v>1.45</v>
      </c>
      <c r="G255" s="31">
        <v>8</v>
      </c>
      <c r="H255" s="301">
        <v>11.6</v>
      </c>
      <c r="I255" s="301">
        <v>12.08</v>
      </c>
      <c r="J255" s="31">
        <v>56</v>
      </c>
      <c r="K255" s="31" t="s">
        <v>98</v>
      </c>
      <c r="L255" s="32" t="s">
        <v>99</v>
      </c>
      <c r="M255" s="31">
        <v>55</v>
      </c>
      <c r="N255" s="539" t="s">
        <v>398</v>
      </c>
      <c r="O255" s="320"/>
      <c r="P255" s="320"/>
      <c r="Q255" s="320"/>
      <c r="R255" s="309"/>
      <c r="S255" s="33"/>
      <c r="T255" s="33"/>
      <c r="U255" s="34" t="s">
        <v>65</v>
      </c>
      <c r="V255" s="302">
        <v>0</v>
      </c>
      <c r="W255" s="303">
        <f t="shared" si="13"/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396</v>
      </c>
      <c r="B256" s="53" t="s">
        <v>399</v>
      </c>
      <c r="C256" s="30">
        <v>4301011396</v>
      </c>
      <c r="D256" s="308">
        <v>4607091387452</v>
      </c>
      <c r="E256" s="309"/>
      <c r="F256" s="301">
        <v>1.35</v>
      </c>
      <c r="G256" s="31">
        <v>8</v>
      </c>
      <c r="H256" s="301">
        <v>10.8</v>
      </c>
      <c r="I256" s="301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45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0"/>
      <c r="P256" s="320"/>
      <c r="Q256" s="320"/>
      <c r="R256" s="309"/>
      <c r="S256" s="33"/>
      <c r="T256" s="33"/>
      <c r="U256" s="34" t="s">
        <v>65</v>
      </c>
      <c r="V256" s="302">
        <v>0</v>
      </c>
      <c r="W256" s="303">
        <f t="shared" si="13"/>
        <v>0</v>
      </c>
      <c r="X256" s="35" t="str">
        <f>IFERROR(IF(W256=0,"",ROUNDUP(W256/H256,0)*0.02039),"")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400</v>
      </c>
      <c r="B257" s="53" t="s">
        <v>401</v>
      </c>
      <c r="C257" s="30">
        <v>4301011313</v>
      </c>
      <c r="D257" s="308">
        <v>4607091385984</v>
      </c>
      <c r="E257" s="309"/>
      <c r="F257" s="301">
        <v>1.35</v>
      </c>
      <c r="G257" s="31">
        <v>8</v>
      </c>
      <c r="H257" s="301">
        <v>10.8</v>
      </c>
      <c r="I257" s="301">
        <v>11.28</v>
      </c>
      <c r="J257" s="31">
        <v>56</v>
      </c>
      <c r="K257" s="31" t="s">
        <v>98</v>
      </c>
      <c r="L257" s="32" t="s">
        <v>99</v>
      </c>
      <c r="M257" s="31">
        <v>55</v>
      </c>
      <c r="N257" s="6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0"/>
      <c r="P257" s="320"/>
      <c r="Q257" s="320"/>
      <c r="R257" s="309"/>
      <c r="S257" s="33"/>
      <c r="T257" s="33"/>
      <c r="U257" s="34" t="s">
        <v>65</v>
      </c>
      <c r="V257" s="302">
        <v>0</v>
      </c>
      <c r="W257" s="303">
        <f t="shared" si="13"/>
        <v>0</v>
      </c>
      <c r="X257" s="35" t="str">
        <f>IFERROR(IF(W257=0,"",ROUNDUP(W257/H257,0)*0.02175),"")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402</v>
      </c>
      <c r="B258" s="53" t="s">
        <v>403</v>
      </c>
      <c r="C258" s="30">
        <v>4301011316</v>
      </c>
      <c r="D258" s="308">
        <v>4607091387438</v>
      </c>
      <c r="E258" s="309"/>
      <c r="F258" s="301">
        <v>0.5</v>
      </c>
      <c r="G258" s="31">
        <v>10</v>
      </c>
      <c r="H258" s="301">
        <v>5</v>
      </c>
      <c r="I258" s="301">
        <v>5.24</v>
      </c>
      <c r="J258" s="31">
        <v>120</v>
      </c>
      <c r="K258" s="31" t="s">
        <v>63</v>
      </c>
      <c r="L258" s="32" t="s">
        <v>99</v>
      </c>
      <c r="M258" s="31">
        <v>55</v>
      </c>
      <c r="N258" s="4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0"/>
      <c r="P258" s="320"/>
      <c r="Q258" s="320"/>
      <c r="R258" s="309"/>
      <c r="S258" s="33"/>
      <c r="T258" s="33"/>
      <c r="U258" s="34" t="s">
        <v>65</v>
      </c>
      <c r="V258" s="302">
        <v>0</v>
      </c>
      <c r="W258" s="303">
        <f t="shared" si="13"/>
        <v>0</v>
      </c>
      <c r="X258" s="35" t="str">
        <f>IFERROR(IF(W258=0,"",ROUNDUP(W258/H258,0)*0.00937),"")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404</v>
      </c>
      <c r="B259" s="53" t="s">
        <v>405</v>
      </c>
      <c r="C259" s="30">
        <v>4301011318</v>
      </c>
      <c r="D259" s="308">
        <v>4607091387469</v>
      </c>
      <c r="E259" s="309"/>
      <c r="F259" s="301">
        <v>0.5</v>
      </c>
      <c r="G259" s="31">
        <v>10</v>
      </c>
      <c r="H259" s="301">
        <v>5</v>
      </c>
      <c r="I259" s="301">
        <v>5.21</v>
      </c>
      <c r="J259" s="31">
        <v>120</v>
      </c>
      <c r="K259" s="31" t="s">
        <v>63</v>
      </c>
      <c r="L259" s="32" t="s">
        <v>64</v>
      </c>
      <c r="M259" s="31">
        <v>55</v>
      </c>
      <c r="N259" s="3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0"/>
      <c r="P259" s="320"/>
      <c r="Q259" s="320"/>
      <c r="R259" s="309"/>
      <c r="S259" s="33"/>
      <c r="T259" s="33"/>
      <c r="U259" s="34" t="s">
        <v>65</v>
      </c>
      <c r="V259" s="302">
        <v>0</v>
      </c>
      <c r="W259" s="303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x14ac:dyDescent="0.2">
      <c r="A260" s="334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35"/>
      <c r="N260" s="321" t="s">
        <v>66</v>
      </c>
      <c r="O260" s="322"/>
      <c r="P260" s="322"/>
      <c r="Q260" s="322"/>
      <c r="R260" s="322"/>
      <c r="S260" s="322"/>
      <c r="T260" s="323"/>
      <c r="U260" s="36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8"/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35"/>
      <c r="N261" s="321" t="s">
        <v>66</v>
      </c>
      <c r="O261" s="322"/>
      <c r="P261" s="322"/>
      <c r="Q261" s="322"/>
      <c r="R261" s="322"/>
      <c r="S261" s="322"/>
      <c r="T261" s="323"/>
      <c r="U261" s="36" t="s">
        <v>65</v>
      </c>
      <c r="V261" s="304">
        <f>IFERROR(SUM(V253:V259),"0")</f>
        <v>0</v>
      </c>
      <c r="W261" s="304">
        <f>IFERROR(SUM(W253:W259),"0")</f>
        <v>0</v>
      </c>
      <c r="X261" s="36"/>
      <c r="Y261" s="305"/>
      <c r="Z261" s="305"/>
    </row>
    <row r="262" spans="1:53" ht="14.25" customHeight="1" x14ac:dyDescent="0.25">
      <c r="A262" s="330" t="s">
        <v>60</v>
      </c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18"/>
      <c r="M262" s="318"/>
      <c r="N262" s="318"/>
      <c r="O262" s="318"/>
      <c r="P262" s="318"/>
      <c r="Q262" s="318"/>
      <c r="R262" s="318"/>
      <c r="S262" s="318"/>
      <c r="T262" s="318"/>
      <c r="U262" s="318"/>
      <c r="V262" s="318"/>
      <c r="W262" s="318"/>
      <c r="X262" s="318"/>
      <c r="Y262" s="295"/>
      <c r="Z262" s="295"/>
    </row>
    <row r="263" spans="1:53" ht="27" customHeight="1" x14ac:dyDescent="0.25">
      <c r="A263" s="53" t="s">
        <v>406</v>
      </c>
      <c r="B263" s="53" t="s">
        <v>407</v>
      </c>
      <c r="C263" s="30">
        <v>4301031154</v>
      </c>
      <c r="D263" s="308">
        <v>4607091387292</v>
      </c>
      <c r="E263" s="309"/>
      <c r="F263" s="301">
        <v>0.73</v>
      </c>
      <c r="G263" s="31">
        <v>6</v>
      </c>
      <c r="H263" s="301">
        <v>4.38</v>
      </c>
      <c r="I263" s="301">
        <v>4.6399999999999997</v>
      </c>
      <c r="J263" s="31">
        <v>156</v>
      </c>
      <c r="K263" s="31" t="s">
        <v>63</v>
      </c>
      <c r="L263" s="32" t="s">
        <v>64</v>
      </c>
      <c r="M263" s="31">
        <v>45</v>
      </c>
      <c r="N263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0"/>
      <c r="P263" s="320"/>
      <c r="Q263" s="320"/>
      <c r="R263" s="309"/>
      <c r="S263" s="33"/>
      <c r="T263" s="33"/>
      <c r="U263" s="34" t="s">
        <v>65</v>
      </c>
      <c r="V263" s="302">
        <v>0</v>
      </c>
      <c r="W263" s="303">
        <f>IFERROR(IF(V263="",0,CEILING((V263/$H263),1)*$H263),"")</f>
        <v>0</v>
      </c>
      <c r="X263" s="35" t="str">
        <f>IFERROR(IF(W263=0,"",ROUNDUP(W263/H263,0)*0.00753),"")</f>
        <v/>
      </c>
      <c r="Y263" s="55"/>
      <c r="Z263" s="56"/>
      <c r="AD263" s="57"/>
      <c r="BA263" s="204" t="s">
        <v>1</v>
      </c>
    </row>
    <row r="264" spans="1:53" ht="27" customHeight="1" x14ac:dyDescent="0.25">
      <c r="A264" s="53" t="s">
        <v>408</v>
      </c>
      <c r="B264" s="53" t="s">
        <v>409</v>
      </c>
      <c r="C264" s="30">
        <v>4301031155</v>
      </c>
      <c r="D264" s="308">
        <v>4607091387315</v>
      </c>
      <c r="E264" s="309"/>
      <c r="F264" s="301">
        <v>0.7</v>
      </c>
      <c r="G264" s="31">
        <v>4</v>
      </c>
      <c r="H264" s="301">
        <v>2.8</v>
      </c>
      <c r="I264" s="301">
        <v>3.048</v>
      </c>
      <c r="J264" s="31">
        <v>156</v>
      </c>
      <c r="K264" s="31" t="s">
        <v>63</v>
      </c>
      <c r="L264" s="32" t="s">
        <v>64</v>
      </c>
      <c r="M264" s="31">
        <v>45</v>
      </c>
      <c r="N264" s="61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0"/>
      <c r="P264" s="320"/>
      <c r="Q264" s="320"/>
      <c r="R264" s="309"/>
      <c r="S264" s="33"/>
      <c r="T264" s="33"/>
      <c r="U264" s="34" t="s">
        <v>65</v>
      </c>
      <c r="V264" s="302">
        <v>0</v>
      </c>
      <c r="W264" s="303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x14ac:dyDescent="0.2">
      <c r="A265" s="334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35"/>
      <c r="N265" s="321" t="s">
        <v>66</v>
      </c>
      <c r="O265" s="322"/>
      <c r="P265" s="322"/>
      <c r="Q265" s="322"/>
      <c r="R265" s="322"/>
      <c r="S265" s="322"/>
      <c r="T265" s="323"/>
      <c r="U265" s="36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8"/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35"/>
      <c r="N266" s="321" t="s">
        <v>66</v>
      </c>
      <c r="O266" s="322"/>
      <c r="P266" s="322"/>
      <c r="Q266" s="322"/>
      <c r="R266" s="322"/>
      <c r="S266" s="322"/>
      <c r="T266" s="323"/>
      <c r="U266" s="36" t="s">
        <v>65</v>
      </c>
      <c r="V266" s="304">
        <f>IFERROR(SUM(V263:V264),"0")</f>
        <v>0</v>
      </c>
      <c r="W266" s="304">
        <f>IFERROR(SUM(W263:W264),"0")</f>
        <v>0</v>
      </c>
      <c r="X266" s="36"/>
      <c r="Y266" s="305"/>
      <c r="Z266" s="305"/>
    </row>
    <row r="267" spans="1:53" ht="16.5" customHeight="1" x14ac:dyDescent="0.25">
      <c r="A267" s="317" t="s">
        <v>410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298"/>
      <c r="Z267" s="298"/>
    </row>
    <row r="268" spans="1:53" ht="14.25" customHeight="1" x14ac:dyDescent="0.25">
      <c r="A268" s="330" t="s">
        <v>60</v>
      </c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18"/>
      <c r="N268" s="318"/>
      <c r="O268" s="318"/>
      <c r="P268" s="318"/>
      <c r="Q268" s="318"/>
      <c r="R268" s="318"/>
      <c r="S268" s="318"/>
      <c r="T268" s="318"/>
      <c r="U268" s="318"/>
      <c r="V268" s="318"/>
      <c r="W268" s="318"/>
      <c r="X268" s="318"/>
      <c r="Y268" s="295"/>
      <c r="Z268" s="295"/>
    </row>
    <row r="269" spans="1:53" ht="27" customHeight="1" x14ac:dyDescent="0.25">
      <c r="A269" s="53" t="s">
        <v>411</v>
      </c>
      <c r="B269" s="53" t="s">
        <v>412</v>
      </c>
      <c r="C269" s="30">
        <v>4301031066</v>
      </c>
      <c r="D269" s="308">
        <v>4607091383836</v>
      </c>
      <c r="E269" s="309"/>
      <c r="F269" s="301">
        <v>0.3</v>
      </c>
      <c r="G269" s="31">
        <v>6</v>
      </c>
      <c r="H269" s="301">
        <v>1.8</v>
      </c>
      <c r="I269" s="301">
        <v>2.048</v>
      </c>
      <c r="J269" s="31">
        <v>156</v>
      </c>
      <c r="K269" s="31" t="s">
        <v>63</v>
      </c>
      <c r="L269" s="32" t="s">
        <v>64</v>
      </c>
      <c r="M269" s="31">
        <v>40</v>
      </c>
      <c r="N269" s="4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0"/>
      <c r="P269" s="320"/>
      <c r="Q269" s="320"/>
      <c r="R269" s="309"/>
      <c r="S269" s="33"/>
      <c r="T269" s="33"/>
      <c r="U269" s="34" t="s">
        <v>65</v>
      </c>
      <c r="V269" s="302">
        <v>0</v>
      </c>
      <c r="W269" s="303">
        <f>IFERROR(IF(V269="",0,CEILING((V269/$H269),1)*$H269),"")</f>
        <v>0</v>
      </c>
      <c r="X269" s="35" t="str">
        <f>IFERROR(IF(W269=0,"",ROUNDUP(W269/H269,0)*0.00753),"")</f>
        <v/>
      </c>
      <c r="Y269" s="55"/>
      <c r="Z269" s="56"/>
      <c r="AD269" s="57"/>
      <c r="BA269" s="206" t="s">
        <v>1</v>
      </c>
    </row>
    <row r="270" spans="1:53" x14ac:dyDescent="0.2">
      <c r="A270" s="334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35"/>
      <c r="N270" s="321" t="s">
        <v>66</v>
      </c>
      <c r="O270" s="322"/>
      <c r="P270" s="322"/>
      <c r="Q270" s="322"/>
      <c r="R270" s="322"/>
      <c r="S270" s="322"/>
      <c r="T270" s="323"/>
      <c r="U270" s="36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8"/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35"/>
      <c r="N271" s="321" t="s">
        <v>66</v>
      </c>
      <c r="O271" s="322"/>
      <c r="P271" s="322"/>
      <c r="Q271" s="322"/>
      <c r="R271" s="322"/>
      <c r="S271" s="322"/>
      <c r="T271" s="323"/>
      <c r="U271" s="36" t="s">
        <v>65</v>
      </c>
      <c r="V271" s="304">
        <f>IFERROR(SUM(V269:V269),"0")</f>
        <v>0</v>
      </c>
      <c r="W271" s="304">
        <f>IFERROR(SUM(W269:W269),"0")</f>
        <v>0</v>
      </c>
      <c r="X271" s="36"/>
      <c r="Y271" s="305"/>
      <c r="Z271" s="305"/>
    </row>
    <row r="272" spans="1:53" ht="14.25" customHeight="1" x14ac:dyDescent="0.25">
      <c r="A272" s="330" t="s">
        <v>68</v>
      </c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8"/>
      <c r="N272" s="318"/>
      <c r="O272" s="318"/>
      <c r="P272" s="318"/>
      <c r="Q272" s="318"/>
      <c r="R272" s="318"/>
      <c r="S272" s="318"/>
      <c r="T272" s="318"/>
      <c r="U272" s="318"/>
      <c r="V272" s="318"/>
      <c r="W272" s="318"/>
      <c r="X272" s="318"/>
      <c r="Y272" s="295"/>
      <c r="Z272" s="295"/>
    </row>
    <row r="273" spans="1:53" ht="27" customHeight="1" x14ac:dyDescent="0.25">
      <c r="A273" s="53" t="s">
        <v>413</v>
      </c>
      <c r="B273" s="53" t="s">
        <v>414</v>
      </c>
      <c r="C273" s="30">
        <v>4301051142</v>
      </c>
      <c r="D273" s="308">
        <v>4607091387919</v>
      </c>
      <c r="E273" s="309"/>
      <c r="F273" s="301">
        <v>1.35</v>
      </c>
      <c r="G273" s="31">
        <v>6</v>
      </c>
      <c r="H273" s="301">
        <v>8.1</v>
      </c>
      <c r="I273" s="301">
        <v>8.6639999999999997</v>
      </c>
      <c r="J273" s="31">
        <v>56</v>
      </c>
      <c r="K273" s="31" t="s">
        <v>98</v>
      </c>
      <c r="L273" s="32" t="s">
        <v>64</v>
      </c>
      <c r="M273" s="31">
        <v>45</v>
      </c>
      <c r="N273" s="5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0"/>
      <c r="P273" s="320"/>
      <c r="Q273" s="320"/>
      <c r="R273" s="309"/>
      <c r="S273" s="33"/>
      <c r="T273" s="33"/>
      <c r="U273" s="34" t="s">
        <v>65</v>
      </c>
      <c r="V273" s="302">
        <v>0</v>
      </c>
      <c r="W273" s="303">
        <f>IFERROR(IF(V273="",0,CEILING((V273/$H273),1)*$H273),"")</f>
        <v>0</v>
      </c>
      <c r="X273" s="35" t="str">
        <f>IFERROR(IF(W273=0,"",ROUNDUP(W273/H273,0)*0.02175),"")</f>
        <v/>
      </c>
      <c r="Y273" s="55"/>
      <c r="Z273" s="56"/>
      <c r="AD273" s="57"/>
      <c r="BA273" s="207" t="s">
        <v>1</v>
      </c>
    </row>
    <row r="274" spans="1:53" ht="27" customHeight="1" x14ac:dyDescent="0.25">
      <c r="A274" s="53" t="s">
        <v>415</v>
      </c>
      <c r="B274" s="53" t="s">
        <v>416</v>
      </c>
      <c r="C274" s="30">
        <v>4301051109</v>
      </c>
      <c r="D274" s="308">
        <v>4607091383942</v>
      </c>
      <c r="E274" s="309"/>
      <c r="F274" s="301">
        <v>0.42</v>
      </c>
      <c r="G274" s="31">
        <v>6</v>
      </c>
      <c r="H274" s="301">
        <v>2.52</v>
      </c>
      <c r="I274" s="301">
        <v>2.7919999999999998</v>
      </c>
      <c r="J274" s="31">
        <v>156</v>
      </c>
      <c r="K274" s="31" t="s">
        <v>63</v>
      </c>
      <c r="L274" s="32" t="s">
        <v>132</v>
      </c>
      <c r="M274" s="31">
        <v>45</v>
      </c>
      <c r="N274" s="3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0"/>
      <c r="P274" s="320"/>
      <c r="Q274" s="320"/>
      <c r="R274" s="309"/>
      <c r="S274" s="33"/>
      <c r="T274" s="33"/>
      <c r="U274" s="34" t="s">
        <v>65</v>
      </c>
      <c r="V274" s="302">
        <v>300</v>
      </c>
      <c r="W274" s="303">
        <f>IFERROR(IF(V274="",0,CEILING((V274/$H274),1)*$H274),"")</f>
        <v>302.39999999999998</v>
      </c>
      <c r="X274" s="35">
        <f>IFERROR(IF(W274=0,"",ROUNDUP(W274/H274,0)*0.00753),"")</f>
        <v>0.90360000000000007</v>
      </c>
      <c r="Y274" s="55"/>
      <c r="Z274" s="56"/>
      <c r="AD274" s="57"/>
      <c r="BA274" s="208" t="s">
        <v>1</v>
      </c>
    </row>
    <row r="275" spans="1:53" ht="27" customHeight="1" x14ac:dyDescent="0.25">
      <c r="A275" s="53" t="s">
        <v>417</v>
      </c>
      <c r="B275" s="53" t="s">
        <v>418</v>
      </c>
      <c r="C275" s="30">
        <v>4301051518</v>
      </c>
      <c r="D275" s="308">
        <v>4607091383959</v>
      </c>
      <c r="E275" s="309"/>
      <c r="F275" s="301">
        <v>0.42</v>
      </c>
      <c r="G275" s="31">
        <v>6</v>
      </c>
      <c r="H275" s="301">
        <v>2.52</v>
      </c>
      <c r="I275" s="301">
        <v>2.78</v>
      </c>
      <c r="J275" s="31">
        <v>156</v>
      </c>
      <c r="K275" s="31" t="s">
        <v>63</v>
      </c>
      <c r="L275" s="32" t="s">
        <v>64</v>
      </c>
      <c r="M275" s="31">
        <v>40</v>
      </c>
      <c r="N275" s="602" t="s">
        <v>419</v>
      </c>
      <c r="O275" s="320"/>
      <c r="P275" s="320"/>
      <c r="Q275" s="320"/>
      <c r="R275" s="309"/>
      <c r="S275" s="33"/>
      <c r="T275" s="33"/>
      <c r="U275" s="34" t="s">
        <v>65</v>
      </c>
      <c r="V275" s="302">
        <v>150</v>
      </c>
      <c r="W275" s="303">
        <f>IFERROR(IF(V275="",0,CEILING((V275/$H275),1)*$H275),"")</f>
        <v>151.19999999999999</v>
      </c>
      <c r="X275" s="35">
        <f>IFERROR(IF(W275=0,"",ROUNDUP(W275/H275,0)*0.00753),"")</f>
        <v>0.45180000000000003</v>
      </c>
      <c r="Y275" s="55"/>
      <c r="Z275" s="56"/>
      <c r="AD275" s="57"/>
      <c r="BA275" s="209" t="s">
        <v>1</v>
      </c>
    </row>
    <row r="276" spans="1:53" x14ac:dyDescent="0.2">
      <c r="A276" s="334"/>
      <c r="B276" s="318"/>
      <c r="C276" s="318"/>
      <c r="D276" s="318"/>
      <c r="E276" s="318"/>
      <c r="F276" s="318"/>
      <c r="G276" s="318"/>
      <c r="H276" s="318"/>
      <c r="I276" s="318"/>
      <c r="J276" s="318"/>
      <c r="K276" s="318"/>
      <c r="L276" s="318"/>
      <c r="M276" s="335"/>
      <c r="N276" s="321" t="s">
        <v>66</v>
      </c>
      <c r="O276" s="322"/>
      <c r="P276" s="322"/>
      <c r="Q276" s="322"/>
      <c r="R276" s="322"/>
      <c r="S276" s="322"/>
      <c r="T276" s="323"/>
      <c r="U276" s="36" t="s">
        <v>67</v>
      </c>
      <c r="V276" s="304">
        <f>IFERROR(V273/H273,"0")+IFERROR(V274/H274,"0")+IFERROR(V275/H275,"0")</f>
        <v>178.57142857142858</v>
      </c>
      <c r="W276" s="304">
        <f>IFERROR(W273/H273,"0")+IFERROR(W274/H274,"0")+IFERROR(W275/H275,"0")</f>
        <v>179.99999999999997</v>
      </c>
      <c r="X276" s="304">
        <f>IFERROR(IF(X273="",0,X273),"0")+IFERROR(IF(X274="",0,X274),"0")+IFERROR(IF(X275="",0,X275),"0")</f>
        <v>1.3554000000000002</v>
      </c>
      <c r="Y276" s="305"/>
      <c r="Z276" s="305"/>
    </row>
    <row r="277" spans="1:53" x14ac:dyDescent="0.2">
      <c r="A277" s="318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35"/>
      <c r="N277" s="321" t="s">
        <v>66</v>
      </c>
      <c r="O277" s="322"/>
      <c r="P277" s="322"/>
      <c r="Q277" s="322"/>
      <c r="R277" s="322"/>
      <c r="S277" s="322"/>
      <c r="T277" s="323"/>
      <c r="U277" s="36" t="s">
        <v>65</v>
      </c>
      <c r="V277" s="304">
        <f>IFERROR(SUM(V273:V275),"0")</f>
        <v>450</v>
      </c>
      <c r="W277" s="304">
        <f>IFERROR(SUM(W273:W275),"0")</f>
        <v>453.59999999999997</v>
      </c>
      <c r="X277" s="36"/>
      <c r="Y277" s="305"/>
      <c r="Z277" s="305"/>
    </row>
    <row r="278" spans="1:53" ht="14.25" customHeight="1" x14ac:dyDescent="0.25">
      <c r="A278" s="330" t="s">
        <v>213</v>
      </c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8"/>
      <c r="N278" s="318"/>
      <c r="O278" s="318"/>
      <c r="P278" s="318"/>
      <c r="Q278" s="318"/>
      <c r="R278" s="318"/>
      <c r="S278" s="318"/>
      <c r="T278" s="318"/>
      <c r="U278" s="318"/>
      <c r="V278" s="318"/>
      <c r="W278" s="318"/>
      <c r="X278" s="318"/>
      <c r="Y278" s="295"/>
      <c r="Z278" s="295"/>
    </row>
    <row r="279" spans="1:53" ht="27" customHeight="1" x14ac:dyDescent="0.25">
      <c r="A279" s="53" t="s">
        <v>420</v>
      </c>
      <c r="B279" s="53" t="s">
        <v>421</v>
      </c>
      <c r="C279" s="30">
        <v>4301060324</v>
      </c>
      <c r="D279" s="308">
        <v>4607091388831</v>
      </c>
      <c r="E279" s="309"/>
      <c r="F279" s="301">
        <v>0.38</v>
      </c>
      <c r="G279" s="31">
        <v>6</v>
      </c>
      <c r="H279" s="301">
        <v>2.2799999999999998</v>
      </c>
      <c r="I279" s="301">
        <v>2.552</v>
      </c>
      <c r="J279" s="31">
        <v>156</v>
      </c>
      <c r="K279" s="31" t="s">
        <v>63</v>
      </c>
      <c r="L279" s="32" t="s">
        <v>64</v>
      </c>
      <c r="M279" s="31">
        <v>40</v>
      </c>
      <c r="N279" s="4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20"/>
      <c r="P279" s="320"/>
      <c r="Q279" s="320"/>
      <c r="R279" s="309"/>
      <c r="S279" s="33"/>
      <c r="T279" s="33"/>
      <c r="U279" s="34" t="s">
        <v>65</v>
      </c>
      <c r="V279" s="302">
        <v>0</v>
      </c>
      <c r="W279" s="303">
        <f>IFERROR(IF(V279="",0,CEILING((V279/$H279),1)*$H279),"")</f>
        <v>0</v>
      </c>
      <c r="X279" s="35" t="str">
        <f>IFERROR(IF(W279=0,"",ROUNDUP(W279/H279,0)*0.00753),"")</f>
        <v/>
      </c>
      <c r="Y279" s="55"/>
      <c r="Z279" s="56"/>
      <c r="AD279" s="57"/>
      <c r="BA279" s="210" t="s">
        <v>1</v>
      </c>
    </row>
    <row r="280" spans="1:53" x14ac:dyDescent="0.2">
      <c r="A280" s="334"/>
      <c r="B280" s="318"/>
      <c r="C280" s="318"/>
      <c r="D280" s="318"/>
      <c r="E280" s="318"/>
      <c r="F280" s="318"/>
      <c r="G280" s="318"/>
      <c r="H280" s="318"/>
      <c r="I280" s="318"/>
      <c r="J280" s="318"/>
      <c r="K280" s="318"/>
      <c r="L280" s="318"/>
      <c r="M280" s="335"/>
      <c r="N280" s="321" t="s">
        <v>66</v>
      </c>
      <c r="O280" s="322"/>
      <c r="P280" s="322"/>
      <c r="Q280" s="322"/>
      <c r="R280" s="322"/>
      <c r="S280" s="322"/>
      <c r="T280" s="323"/>
      <c r="U280" s="36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8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35"/>
      <c r="N281" s="321" t="s">
        <v>66</v>
      </c>
      <c r="O281" s="322"/>
      <c r="P281" s="322"/>
      <c r="Q281" s="322"/>
      <c r="R281" s="322"/>
      <c r="S281" s="322"/>
      <c r="T281" s="323"/>
      <c r="U281" s="36" t="s">
        <v>65</v>
      </c>
      <c r="V281" s="304">
        <f>IFERROR(SUM(V279:V279),"0")</f>
        <v>0</v>
      </c>
      <c r="W281" s="304">
        <f>IFERROR(SUM(W279:W279),"0")</f>
        <v>0</v>
      </c>
      <c r="X281" s="36"/>
      <c r="Y281" s="305"/>
      <c r="Z281" s="305"/>
    </row>
    <row r="282" spans="1:53" ht="14.25" customHeight="1" x14ac:dyDescent="0.25">
      <c r="A282" s="330" t="s">
        <v>81</v>
      </c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18"/>
      <c r="N282" s="318"/>
      <c r="O282" s="318"/>
      <c r="P282" s="318"/>
      <c r="Q282" s="318"/>
      <c r="R282" s="318"/>
      <c r="S282" s="318"/>
      <c r="T282" s="318"/>
      <c r="U282" s="318"/>
      <c r="V282" s="318"/>
      <c r="W282" s="318"/>
      <c r="X282" s="318"/>
      <c r="Y282" s="295"/>
      <c r="Z282" s="295"/>
    </row>
    <row r="283" spans="1:53" ht="27" customHeight="1" x14ac:dyDescent="0.25">
      <c r="A283" s="53" t="s">
        <v>422</v>
      </c>
      <c r="B283" s="53" t="s">
        <v>423</v>
      </c>
      <c r="C283" s="30">
        <v>4301032015</v>
      </c>
      <c r="D283" s="308">
        <v>4607091383102</v>
      </c>
      <c r="E283" s="309"/>
      <c r="F283" s="301">
        <v>0.17</v>
      </c>
      <c r="G283" s="31">
        <v>15</v>
      </c>
      <c r="H283" s="301">
        <v>2.5499999999999998</v>
      </c>
      <c r="I283" s="301">
        <v>2.9750000000000001</v>
      </c>
      <c r="J283" s="31">
        <v>156</v>
      </c>
      <c r="K283" s="31" t="s">
        <v>63</v>
      </c>
      <c r="L283" s="32" t="s">
        <v>84</v>
      </c>
      <c r="M283" s="31">
        <v>180</v>
      </c>
      <c r="N283" s="40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20"/>
      <c r="P283" s="320"/>
      <c r="Q283" s="320"/>
      <c r="R283" s="309"/>
      <c r="S283" s="33"/>
      <c r="T283" s="33"/>
      <c r="U283" s="34" t="s">
        <v>65</v>
      </c>
      <c r="V283" s="302">
        <v>0</v>
      </c>
      <c r="W283" s="303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1" t="s">
        <v>1</v>
      </c>
    </row>
    <row r="284" spans="1:53" x14ac:dyDescent="0.2">
      <c r="A284" s="334"/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35"/>
      <c r="N284" s="321" t="s">
        <v>66</v>
      </c>
      <c r="O284" s="322"/>
      <c r="P284" s="322"/>
      <c r="Q284" s="322"/>
      <c r="R284" s="322"/>
      <c r="S284" s="322"/>
      <c r="T284" s="323"/>
      <c r="U284" s="36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8"/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35"/>
      <c r="N285" s="321" t="s">
        <v>66</v>
      </c>
      <c r="O285" s="322"/>
      <c r="P285" s="322"/>
      <c r="Q285" s="322"/>
      <c r="R285" s="322"/>
      <c r="S285" s="322"/>
      <c r="T285" s="323"/>
      <c r="U285" s="36" t="s">
        <v>65</v>
      </c>
      <c r="V285" s="304">
        <f>IFERROR(SUM(V283:V283),"0")</f>
        <v>0</v>
      </c>
      <c r="W285" s="304">
        <f>IFERROR(SUM(W283:W283),"0")</f>
        <v>0</v>
      </c>
      <c r="X285" s="36"/>
      <c r="Y285" s="305"/>
      <c r="Z285" s="305"/>
    </row>
    <row r="286" spans="1:53" ht="27.75" customHeight="1" x14ac:dyDescent="0.2">
      <c r="A286" s="362" t="s">
        <v>424</v>
      </c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  <c r="X286" s="363"/>
      <c r="Y286" s="47"/>
      <c r="Z286" s="47"/>
    </row>
    <row r="287" spans="1:53" ht="16.5" customHeight="1" x14ac:dyDescent="0.25">
      <c r="A287" s="317" t="s">
        <v>425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318"/>
      <c r="Y287" s="298"/>
      <c r="Z287" s="298"/>
    </row>
    <row r="288" spans="1:53" ht="14.25" customHeight="1" x14ac:dyDescent="0.25">
      <c r="A288" s="330" t="s">
        <v>103</v>
      </c>
      <c r="B288" s="318"/>
      <c r="C288" s="318"/>
      <c r="D288" s="318"/>
      <c r="E288" s="318"/>
      <c r="F288" s="318"/>
      <c r="G288" s="318"/>
      <c r="H288" s="318"/>
      <c r="I288" s="318"/>
      <c r="J288" s="318"/>
      <c r="K288" s="318"/>
      <c r="L288" s="318"/>
      <c r="M288" s="318"/>
      <c r="N288" s="318"/>
      <c r="O288" s="318"/>
      <c r="P288" s="318"/>
      <c r="Q288" s="318"/>
      <c r="R288" s="318"/>
      <c r="S288" s="318"/>
      <c r="T288" s="318"/>
      <c r="U288" s="318"/>
      <c r="V288" s="318"/>
      <c r="W288" s="318"/>
      <c r="X288" s="318"/>
      <c r="Y288" s="295"/>
      <c r="Z288" s="295"/>
    </row>
    <row r="289" spans="1:53" ht="27" customHeight="1" x14ac:dyDescent="0.25">
      <c r="A289" s="53" t="s">
        <v>426</v>
      </c>
      <c r="B289" s="53" t="s">
        <v>427</v>
      </c>
      <c r="C289" s="30">
        <v>4301011339</v>
      </c>
      <c r="D289" s="308">
        <v>4607091383997</v>
      </c>
      <c r="E289" s="309"/>
      <c r="F289" s="301">
        <v>2.5</v>
      </c>
      <c r="G289" s="31">
        <v>6</v>
      </c>
      <c r="H289" s="301">
        <v>15</v>
      </c>
      <c r="I289" s="301">
        <v>15.48</v>
      </c>
      <c r="J289" s="31">
        <v>48</v>
      </c>
      <c r="K289" s="31" t="s">
        <v>98</v>
      </c>
      <c r="L289" s="32" t="s">
        <v>64</v>
      </c>
      <c r="M289" s="31">
        <v>60</v>
      </c>
      <c r="N289" s="5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0"/>
      <c r="P289" s="320"/>
      <c r="Q289" s="320"/>
      <c r="R289" s="309"/>
      <c r="S289" s="33"/>
      <c r="T289" s="33"/>
      <c r="U289" s="34" t="s">
        <v>65</v>
      </c>
      <c r="V289" s="302">
        <v>0</v>
      </c>
      <c r="W289" s="303">
        <f t="shared" ref="W289:W296" si="14">IFERROR(IF(V289="",0,CEILING((V289/$H289),1)*$H289),"")</f>
        <v>0</v>
      </c>
      <c r="X289" s="35" t="str">
        <f>IFERROR(IF(W289=0,"",ROUNDUP(W289/H289,0)*0.02175),"")</f>
        <v/>
      </c>
      <c r="Y289" s="55"/>
      <c r="Z289" s="56"/>
      <c r="AD289" s="57"/>
      <c r="BA289" s="212" t="s">
        <v>1</v>
      </c>
    </row>
    <row r="290" spans="1:53" ht="27" customHeight="1" x14ac:dyDescent="0.25">
      <c r="A290" s="53" t="s">
        <v>426</v>
      </c>
      <c r="B290" s="53" t="s">
        <v>428</v>
      </c>
      <c r="C290" s="30">
        <v>4301011239</v>
      </c>
      <c r="D290" s="308">
        <v>4607091383997</v>
      </c>
      <c r="E290" s="309"/>
      <c r="F290" s="301">
        <v>2.5</v>
      </c>
      <c r="G290" s="31">
        <v>6</v>
      </c>
      <c r="H290" s="301">
        <v>15</v>
      </c>
      <c r="I290" s="301">
        <v>15.48</v>
      </c>
      <c r="J290" s="31">
        <v>48</v>
      </c>
      <c r="K290" s="31" t="s">
        <v>98</v>
      </c>
      <c r="L290" s="32" t="s">
        <v>106</v>
      </c>
      <c r="M290" s="31">
        <v>60</v>
      </c>
      <c r="N290" s="4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0"/>
      <c r="P290" s="320"/>
      <c r="Q290" s="320"/>
      <c r="R290" s="309"/>
      <c r="S290" s="33"/>
      <c r="T290" s="33"/>
      <c r="U290" s="34" t="s">
        <v>65</v>
      </c>
      <c r="V290" s="302">
        <v>0</v>
      </c>
      <c r="W290" s="303">
        <f t="shared" si="14"/>
        <v>0</v>
      </c>
      <c r="X290" s="35" t="str">
        <f>IFERROR(IF(W290=0,"",ROUNDUP(W290/H290,0)*0.02039),"")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429</v>
      </c>
      <c r="B291" s="53" t="s">
        <v>430</v>
      </c>
      <c r="C291" s="30">
        <v>4301011326</v>
      </c>
      <c r="D291" s="308">
        <v>4607091384130</v>
      </c>
      <c r="E291" s="309"/>
      <c r="F291" s="301">
        <v>2.5</v>
      </c>
      <c r="G291" s="31">
        <v>6</v>
      </c>
      <c r="H291" s="301">
        <v>15</v>
      </c>
      <c r="I291" s="301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3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0"/>
      <c r="P291" s="320"/>
      <c r="Q291" s="320"/>
      <c r="R291" s="309"/>
      <c r="S291" s="33"/>
      <c r="T291" s="33"/>
      <c r="U291" s="34" t="s">
        <v>65</v>
      </c>
      <c r="V291" s="302">
        <v>3000</v>
      </c>
      <c r="W291" s="303">
        <f t="shared" si="14"/>
        <v>3000</v>
      </c>
      <c r="X291" s="35">
        <f>IFERROR(IF(W291=0,"",ROUNDUP(W291/H291,0)*0.02175),"")</f>
        <v>4.3499999999999996</v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429</v>
      </c>
      <c r="B292" s="53" t="s">
        <v>431</v>
      </c>
      <c r="C292" s="30">
        <v>4301011240</v>
      </c>
      <c r="D292" s="308">
        <v>4607091384130</v>
      </c>
      <c r="E292" s="309"/>
      <c r="F292" s="301">
        <v>2.5</v>
      </c>
      <c r="G292" s="31">
        <v>6</v>
      </c>
      <c r="H292" s="301">
        <v>15</v>
      </c>
      <c r="I292" s="301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0"/>
      <c r="P292" s="320"/>
      <c r="Q292" s="320"/>
      <c r="R292" s="309"/>
      <c r="S292" s="33"/>
      <c r="T292" s="33"/>
      <c r="U292" s="34" t="s">
        <v>65</v>
      </c>
      <c r="V292" s="302">
        <v>0</v>
      </c>
      <c r="W292" s="303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16.5" customHeight="1" x14ac:dyDescent="0.25">
      <c r="A293" s="53" t="s">
        <v>432</v>
      </c>
      <c r="B293" s="53" t="s">
        <v>433</v>
      </c>
      <c r="C293" s="30">
        <v>4301011330</v>
      </c>
      <c r="D293" s="308">
        <v>4607091384147</v>
      </c>
      <c r="E293" s="309"/>
      <c r="F293" s="301">
        <v>2.5</v>
      </c>
      <c r="G293" s="31">
        <v>6</v>
      </c>
      <c r="H293" s="301">
        <v>15</v>
      </c>
      <c r="I293" s="301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3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20"/>
      <c r="P293" s="320"/>
      <c r="Q293" s="320"/>
      <c r="R293" s="309"/>
      <c r="S293" s="33"/>
      <c r="T293" s="33"/>
      <c r="U293" s="34" t="s">
        <v>65</v>
      </c>
      <c r="V293" s="302">
        <v>1000</v>
      </c>
      <c r="W293" s="303">
        <f t="shared" si="14"/>
        <v>1005</v>
      </c>
      <c r="X293" s="35">
        <f>IFERROR(IF(W293=0,"",ROUNDUP(W293/H293,0)*0.02175),"")</f>
        <v>1.4572499999999999</v>
      </c>
      <c r="Y293" s="55"/>
      <c r="Z293" s="56"/>
      <c r="AD293" s="57"/>
      <c r="BA293" s="216" t="s">
        <v>1</v>
      </c>
    </row>
    <row r="294" spans="1:53" ht="16.5" customHeight="1" x14ac:dyDescent="0.25">
      <c r="A294" s="53" t="s">
        <v>432</v>
      </c>
      <c r="B294" s="53" t="s">
        <v>434</v>
      </c>
      <c r="C294" s="30">
        <v>4301011238</v>
      </c>
      <c r="D294" s="308">
        <v>4607091384147</v>
      </c>
      <c r="E294" s="309"/>
      <c r="F294" s="301">
        <v>2.5</v>
      </c>
      <c r="G294" s="31">
        <v>6</v>
      </c>
      <c r="H294" s="301">
        <v>15</v>
      </c>
      <c r="I294" s="301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513" t="s">
        <v>435</v>
      </c>
      <c r="O294" s="320"/>
      <c r="P294" s="320"/>
      <c r="Q294" s="320"/>
      <c r="R294" s="309"/>
      <c r="S294" s="33"/>
      <c r="T294" s="33"/>
      <c r="U294" s="34" t="s">
        <v>65</v>
      </c>
      <c r="V294" s="302">
        <v>0</v>
      </c>
      <c r="W294" s="303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27" customHeight="1" x14ac:dyDescent="0.25">
      <c r="A295" s="53" t="s">
        <v>436</v>
      </c>
      <c r="B295" s="53" t="s">
        <v>437</v>
      </c>
      <c r="C295" s="30">
        <v>4301011327</v>
      </c>
      <c r="D295" s="308">
        <v>4607091384154</v>
      </c>
      <c r="E295" s="309"/>
      <c r="F295" s="301">
        <v>0.5</v>
      </c>
      <c r="G295" s="31">
        <v>10</v>
      </c>
      <c r="H295" s="301">
        <v>5</v>
      </c>
      <c r="I295" s="301">
        <v>5.21</v>
      </c>
      <c r="J295" s="31">
        <v>120</v>
      </c>
      <c r="K295" s="31" t="s">
        <v>63</v>
      </c>
      <c r="L295" s="32" t="s">
        <v>64</v>
      </c>
      <c r="M295" s="31">
        <v>60</v>
      </c>
      <c r="N295" s="43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20"/>
      <c r="P295" s="320"/>
      <c r="Q295" s="320"/>
      <c r="R295" s="309"/>
      <c r="S295" s="33"/>
      <c r="T295" s="33"/>
      <c r="U295" s="34" t="s">
        <v>65</v>
      </c>
      <c r="V295" s="302">
        <v>0</v>
      </c>
      <c r="W295" s="303">
        <f t="shared" si="14"/>
        <v>0</v>
      </c>
      <c r="X295" s="35" t="str">
        <f>IFERROR(IF(W295=0,"",ROUNDUP(W295/H295,0)*0.00937),"")</f>
        <v/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438</v>
      </c>
      <c r="B296" s="53" t="s">
        <v>439</v>
      </c>
      <c r="C296" s="30">
        <v>4301011332</v>
      </c>
      <c r="D296" s="308">
        <v>4607091384161</v>
      </c>
      <c r="E296" s="309"/>
      <c r="F296" s="301">
        <v>0.5</v>
      </c>
      <c r="G296" s="31">
        <v>10</v>
      </c>
      <c r="H296" s="301">
        <v>5</v>
      </c>
      <c r="I296" s="301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20"/>
      <c r="P296" s="320"/>
      <c r="Q296" s="320"/>
      <c r="R296" s="309"/>
      <c r="S296" s="33"/>
      <c r="T296" s="33"/>
      <c r="U296" s="34" t="s">
        <v>65</v>
      </c>
      <c r="V296" s="302">
        <v>0</v>
      </c>
      <c r="W296" s="303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x14ac:dyDescent="0.2">
      <c r="A297" s="334"/>
      <c r="B297" s="318"/>
      <c r="C297" s="318"/>
      <c r="D297" s="318"/>
      <c r="E297" s="318"/>
      <c r="F297" s="318"/>
      <c r="G297" s="318"/>
      <c r="H297" s="318"/>
      <c r="I297" s="318"/>
      <c r="J297" s="318"/>
      <c r="K297" s="318"/>
      <c r="L297" s="318"/>
      <c r="M297" s="335"/>
      <c r="N297" s="321" t="s">
        <v>66</v>
      </c>
      <c r="O297" s="322"/>
      <c r="P297" s="322"/>
      <c r="Q297" s="322"/>
      <c r="R297" s="322"/>
      <c r="S297" s="322"/>
      <c r="T297" s="323"/>
      <c r="U297" s="36" t="s">
        <v>67</v>
      </c>
      <c r="V297" s="304">
        <f>IFERROR(V289/H289,"0")+IFERROR(V290/H290,"0")+IFERROR(V291/H291,"0")+IFERROR(V292/H292,"0")+IFERROR(V293/H293,"0")+IFERROR(V294/H294,"0")+IFERROR(V295/H295,"0")+IFERROR(V296/H296,"0")</f>
        <v>266.66666666666669</v>
      </c>
      <c r="W297" s="304">
        <f>IFERROR(W289/H289,"0")+IFERROR(W290/H290,"0")+IFERROR(W291/H291,"0")+IFERROR(W292/H292,"0")+IFERROR(W293/H293,"0")+IFERROR(W294/H294,"0")+IFERROR(W295/H295,"0")+IFERROR(W296/H296,"0")</f>
        <v>267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5.8072499999999998</v>
      </c>
      <c r="Y297" s="305"/>
      <c r="Z297" s="305"/>
    </row>
    <row r="298" spans="1:53" x14ac:dyDescent="0.2">
      <c r="A298" s="318"/>
      <c r="B298" s="318"/>
      <c r="C298" s="318"/>
      <c r="D298" s="318"/>
      <c r="E298" s="318"/>
      <c r="F298" s="318"/>
      <c r="G298" s="318"/>
      <c r="H298" s="318"/>
      <c r="I298" s="318"/>
      <c r="J298" s="318"/>
      <c r="K298" s="318"/>
      <c r="L298" s="318"/>
      <c r="M298" s="335"/>
      <c r="N298" s="321" t="s">
        <v>66</v>
      </c>
      <c r="O298" s="322"/>
      <c r="P298" s="322"/>
      <c r="Q298" s="322"/>
      <c r="R298" s="322"/>
      <c r="S298" s="322"/>
      <c r="T298" s="323"/>
      <c r="U298" s="36" t="s">
        <v>65</v>
      </c>
      <c r="V298" s="304">
        <f>IFERROR(SUM(V289:V296),"0")</f>
        <v>4000</v>
      </c>
      <c r="W298" s="304">
        <f>IFERROR(SUM(W289:W296),"0")</f>
        <v>4005</v>
      </c>
      <c r="X298" s="36"/>
      <c r="Y298" s="305"/>
      <c r="Z298" s="305"/>
    </row>
    <row r="299" spans="1:53" ht="14.25" customHeight="1" x14ac:dyDescent="0.25">
      <c r="A299" s="330" t="s">
        <v>95</v>
      </c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8"/>
      <c r="M299" s="318"/>
      <c r="N299" s="318"/>
      <c r="O299" s="318"/>
      <c r="P299" s="318"/>
      <c r="Q299" s="318"/>
      <c r="R299" s="318"/>
      <c r="S299" s="318"/>
      <c r="T299" s="318"/>
      <c r="U299" s="318"/>
      <c r="V299" s="318"/>
      <c r="W299" s="318"/>
      <c r="X299" s="318"/>
      <c r="Y299" s="295"/>
      <c r="Z299" s="295"/>
    </row>
    <row r="300" spans="1:53" ht="27" customHeight="1" x14ac:dyDescent="0.25">
      <c r="A300" s="53" t="s">
        <v>440</v>
      </c>
      <c r="B300" s="53" t="s">
        <v>441</v>
      </c>
      <c r="C300" s="30">
        <v>4301020178</v>
      </c>
      <c r="D300" s="308">
        <v>4607091383980</v>
      </c>
      <c r="E300" s="309"/>
      <c r="F300" s="301">
        <v>2.5</v>
      </c>
      <c r="G300" s="31">
        <v>6</v>
      </c>
      <c r="H300" s="301">
        <v>15</v>
      </c>
      <c r="I300" s="301">
        <v>15.48</v>
      </c>
      <c r="J300" s="31">
        <v>48</v>
      </c>
      <c r="K300" s="31" t="s">
        <v>98</v>
      </c>
      <c r="L300" s="32" t="s">
        <v>99</v>
      </c>
      <c r="M300" s="31">
        <v>50</v>
      </c>
      <c r="N300" s="4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20"/>
      <c r="P300" s="320"/>
      <c r="Q300" s="320"/>
      <c r="R300" s="309"/>
      <c r="S300" s="33"/>
      <c r="T300" s="33"/>
      <c r="U300" s="34" t="s">
        <v>65</v>
      </c>
      <c r="V300" s="302">
        <v>1000</v>
      </c>
      <c r="W300" s="303">
        <f>IFERROR(IF(V300="",0,CEILING((V300/$H300),1)*$H300),"")</f>
        <v>1005</v>
      </c>
      <c r="X300" s="35">
        <f>IFERROR(IF(W300=0,"",ROUNDUP(W300/H300,0)*0.02175),"")</f>
        <v>1.4572499999999999</v>
      </c>
      <c r="Y300" s="55"/>
      <c r="Z300" s="56"/>
      <c r="AD300" s="57"/>
      <c r="BA300" s="220" t="s">
        <v>1</v>
      </c>
    </row>
    <row r="301" spans="1:53" ht="27" customHeight="1" x14ac:dyDescent="0.25">
      <c r="A301" s="53" t="s">
        <v>442</v>
      </c>
      <c r="B301" s="53" t="s">
        <v>443</v>
      </c>
      <c r="C301" s="30">
        <v>4301020179</v>
      </c>
      <c r="D301" s="308">
        <v>4607091384178</v>
      </c>
      <c r="E301" s="309"/>
      <c r="F301" s="301">
        <v>0.4</v>
      </c>
      <c r="G301" s="31">
        <v>10</v>
      </c>
      <c r="H301" s="301">
        <v>4</v>
      </c>
      <c r="I301" s="301">
        <v>4.24</v>
      </c>
      <c r="J301" s="31">
        <v>120</v>
      </c>
      <c r="K301" s="31" t="s">
        <v>63</v>
      </c>
      <c r="L301" s="32" t="s">
        <v>99</v>
      </c>
      <c r="M301" s="31">
        <v>50</v>
      </c>
      <c r="N301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0"/>
      <c r="P301" s="320"/>
      <c r="Q301" s="320"/>
      <c r="R301" s="309"/>
      <c r="S301" s="33"/>
      <c r="T301" s="33"/>
      <c r="U301" s="34" t="s">
        <v>65</v>
      </c>
      <c r="V301" s="302">
        <v>0</v>
      </c>
      <c r="W301" s="303">
        <f>IFERROR(IF(V301="",0,CEILING((V301/$H301),1)*$H301),"")</f>
        <v>0</v>
      </c>
      <c r="X301" s="35" t="str">
        <f>IFERROR(IF(W301=0,"",ROUNDUP(W301/H301,0)*0.00937),"")</f>
        <v/>
      </c>
      <c r="Y301" s="55"/>
      <c r="Z301" s="56"/>
      <c r="AD301" s="57"/>
      <c r="BA301" s="221" t="s">
        <v>1</v>
      </c>
    </row>
    <row r="302" spans="1:53" x14ac:dyDescent="0.2">
      <c r="A302" s="334"/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35"/>
      <c r="N302" s="321" t="s">
        <v>66</v>
      </c>
      <c r="O302" s="322"/>
      <c r="P302" s="322"/>
      <c r="Q302" s="322"/>
      <c r="R302" s="322"/>
      <c r="S302" s="322"/>
      <c r="T302" s="323"/>
      <c r="U302" s="36" t="s">
        <v>67</v>
      </c>
      <c r="V302" s="304">
        <f>IFERROR(V300/H300,"0")+IFERROR(V301/H301,"0")</f>
        <v>66.666666666666671</v>
      </c>
      <c r="W302" s="304">
        <f>IFERROR(W300/H300,"0")+IFERROR(W301/H301,"0")</f>
        <v>67</v>
      </c>
      <c r="X302" s="304">
        <f>IFERROR(IF(X300="",0,X300),"0")+IFERROR(IF(X301="",0,X301),"0")</f>
        <v>1.4572499999999999</v>
      </c>
      <c r="Y302" s="305"/>
      <c r="Z302" s="305"/>
    </row>
    <row r="303" spans="1:53" x14ac:dyDescent="0.2">
      <c r="A303" s="318"/>
      <c r="B303" s="318"/>
      <c r="C303" s="318"/>
      <c r="D303" s="318"/>
      <c r="E303" s="318"/>
      <c r="F303" s="318"/>
      <c r="G303" s="318"/>
      <c r="H303" s="318"/>
      <c r="I303" s="318"/>
      <c r="J303" s="318"/>
      <c r="K303" s="318"/>
      <c r="L303" s="318"/>
      <c r="M303" s="335"/>
      <c r="N303" s="321" t="s">
        <v>66</v>
      </c>
      <c r="O303" s="322"/>
      <c r="P303" s="322"/>
      <c r="Q303" s="322"/>
      <c r="R303" s="322"/>
      <c r="S303" s="322"/>
      <c r="T303" s="323"/>
      <c r="U303" s="36" t="s">
        <v>65</v>
      </c>
      <c r="V303" s="304">
        <f>IFERROR(SUM(V300:V301),"0")</f>
        <v>1000</v>
      </c>
      <c r="W303" s="304">
        <f>IFERROR(SUM(W300:W301),"0")</f>
        <v>1005</v>
      </c>
      <c r="X303" s="36"/>
      <c r="Y303" s="305"/>
      <c r="Z303" s="305"/>
    </row>
    <row r="304" spans="1:53" ht="14.25" customHeight="1" x14ac:dyDescent="0.25">
      <c r="A304" s="330" t="s">
        <v>68</v>
      </c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8"/>
      <c r="N304" s="318"/>
      <c r="O304" s="318"/>
      <c r="P304" s="318"/>
      <c r="Q304" s="318"/>
      <c r="R304" s="318"/>
      <c r="S304" s="318"/>
      <c r="T304" s="318"/>
      <c r="U304" s="318"/>
      <c r="V304" s="318"/>
      <c r="W304" s="318"/>
      <c r="X304" s="318"/>
      <c r="Y304" s="295"/>
      <c r="Z304" s="295"/>
    </row>
    <row r="305" spans="1:53" ht="27" customHeight="1" x14ac:dyDescent="0.25">
      <c r="A305" s="53" t="s">
        <v>444</v>
      </c>
      <c r="B305" s="53" t="s">
        <v>445</v>
      </c>
      <c r="C305" s="30">
        <v>4301051298</v>
      </c>
      <c r="D305" s="308">
        <v>4607091384260</v>
      </c>
      <c r="E305" s="309"/>
      <c r="F305" s="301">
        <v>1.3</v>
      </c>
      <c r="G305" s="31">
        <v>6</v>
      </c>
      <c r="H305" s="301">
        <v>7.8</v>
      </c>
      <c r="I305" s="301">
        <v>8.3640000000000008</v>
      </c>
      <c r="J305" s="31">
        <v>56</v>
      </c>
      <c r="K305" s="31" t="s">
        <v>98</v>
      </c>
      <c r="L305" s="32" t="s">
        <v>64</v>
      </c>
      <c r="M305" s="31">
        <v>35</v>
      </c>
      <c r="N305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0"/>
      <c r="P305" s="320"/>
      <c r="Q305" s="320"/>
      <c r="R305" s="309"/>
      <c r="S305" s="33"/>
      <c r="T305" s="33"/>
      <c r="U305" s="34" t="s">
        <v>65</v>
      </c>
      <c r="V305" s="302">
        <v>0</v>
      </c>
      <c r="W305" s="303">
        <f>IFERROR(IF(V305="",0,CEILING((V305/$H305),1)*$H305),"")</f>
        <v>0</v>
      </c>
      <c r="X305" s="35" t="str">
        <f>IFERROR(IF(W305=0,"",ROUNDUP(W305/H305,0)*0.02175),"")</f>
        <v/>
      </c>
      <c r="Y305" s="55"/>
      <c r="Z305" s="56"/>
      <c r="AD305" s="57"/>
      <c r="BA305" s="222" t="s">
        <v>1</v>
      </c>
    </row>
    <row r="306" spans="1:53" x14ac:dyDescent="0.2">
      <c r="A306" s="334"/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35"/>
      <c r="N306" s="321" t="s">
        <v>66</v>
      </c>
      <c r="O306" s="322"/>
      <c r="P306" s="322"/>
      <c r="Q306" s="322"/>
      <c r="R306" s="322"/>
      <c r="S306" s="322"/>
      <c r="T306" s="323"/>
      <c r="U306" s="36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8"/>
      <c r="B307" s="318"/>
      <c r="C307" s="318"/>
      <c r="D307" s="318"/>
      <c r="E307" s="318"/>
      <c r="F307" s="318"/>
      <c r="G307" s="318"/>
      <c r="H307" s="318"/>
      <c r="I307" s="318"/>
      <c r="J307" s="318"/>
      <c r="K307" s="318"/>
      <c r="L307" s="318"/>
      <c r="M307" s="335"/>
      <c r="N307" s="321" t="s">
        <v>66</v>
      </c>
      <c r="O307" s="322"/>
      <c r="P307" s="322"/>
      <c r="Q307" s="322"/>
      <c r="R307" s="322"/>
      <c r="S307" s="322"/>
      <c r="T307" s="323"/>
      <c r="U307" s="36" t="s">
        <v>65</v>
      </c>
      <c r="V307" s="304">
        <f>IFERROR(SUM(V305:V305),"0")</f>
        <v>0</v>
      </c>
      <c r="W307" s="304">
        <f>IFERROR(SUM(W305:W305),"0")</f>
        <v>0</v>
      </c>
      <c r="X307" s="36"/>
      <c r="Y307" s="305"/>
      <c r="Z307" s="305"/>
    </row>
    <row r="308" spans="1:53" ht="14.25" customHeight="1" x14ac:dyDescent="0.25">
      <c r="A308" s="330" t="s">
        <v>213</v>
      </c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8"/>
      <c r="N308" s="318"/>
      <c r="O308" s="318"/>
      <c r="P308" s="318"/>
      <c r="Q308" s="318"/>
      <c r="R308" s="318"/>
      <c r="S308" s="318"/>
      <c r="T308" s="318"/>
      <c r="U308" s="318"/>
      <c r="V308" s="318"/>
      <c r="W308" s="318"/>
      <c r="X308" s="318"/>
      <c r="Y308" s="295"/>
      <c r="Z308" s="295"/>
    </row>
    <row r="309" spans="1:53" ht="16.5" customHeight="1" x14ac:dyDescent="0.25">
      <c r="A309" s="53" t="s">
        <v>446</v>
      </c>
      <c r="B309" s="53" t="s">
        <v>447</v>
      </c>
      <c r="C309" s="30">
        <v>4301060314</v>
      </c>
      <c r="D309" s="308">
        <v>4607091384673</v>
      </c>
      <c r="E309" s="309"/>
      <c r="F309" s="301">
        <v>1.3</v>
      </c>
      <c r="G309" s="31">
        <v>6</v>
      </c>
      <c r="H309" s="301">
        <v>7.8</v>
      </c>
      <c r="I309" s="301">
        <v>8.3640000000000008</v>
      </c>
      <c r="J309" s="31">
        <v>56</v>
      </c>
      <c r="K309" s="31" t="s">
        <v>98</v>
      </c>
      <c r="L309" s="32" t="s">
        <v>64</v>
      </c>
      <c r="M309" s="31">
        <v>30</v>
      </c>
      <c r="N309" s="3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0"/>
      <c r="P309" s="320"/>
      <c r="Q309" s="320"/>
      <c r="R309" s="309"/>
      <c r="S309" s="33"/>
      <c r="T309" s="33"/>
      <c r="U309" s="34" t="s">
        <v>65</v>
      </c>
      <c r="V309" s="302">
        <v>150</v>
      </c>
      <c r="W309" s="303">
        <f>IFERROR(IF(V309="",0,CEILING((V309/$H309),1)*$H309),"")</f>
        <v>156</v>
      </c>
      <c r="X309" s="35">
        <f>IFERROR(IF(W309=0,"",ROUNDUP(W309/H309,0)*0.02175),"")</f>
        <v>0.43499999999999994</v>
      </c>
      <c r="Y309" s="55"/>
      <c r="Z309" s="56"/>
      <c r="AD309" s="57"/>
      <c r="BA309" s="223" t="s">
        <v>1</v>
      </c>
    </row>
    <row r="310" spans="1:53" x14ac:dyDescent="0.2">
      <c r="A310" s="334"/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35"/>
      <c r="N310" s="321" t="s">
        <v>66</v>
      </c>
      <c r="O310" s="322"/>
      <c r="P310" s="322"/>
      <c r="Q310" s="322"/>
      <c r="R310" s="322"/>
      <c r="S310" s="322"/>
      <c r="T310" s="323"/>
      <c r="U310" s="36" t="s">
        <v>67</v>
      </c>
      <c r="V310" s="304">
        <f>IFERROR(V309/H309,"0")</f>
        <v>19.23076923076923</v>
      </c>
      <c r="W310" s="304">
        <f>IFERROR(W309/H309,"0")</f>
        <v>20</v>
      </c>
      <c r="X310" s="304">
        <f>IFERROR(IF(X309="",0,X309),"0")</f>
        <v>0.43499999999999994</v>
      </c>
      <c r="Y310" s="305"/>
      <c r="Z310" s="305"/>
    </row>
    <row r="311" spans="1:53" x14ac:dyDescent="0.2">
      <c r="A311" s="318"/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35"/>
      <c r="N311" s="321" t="s">
        <v>66</v>
      </c>
      <c r="O311" s="322"/>
      <c r="P311" s="322"/>
      <c r="Q311" s="322"/>
      <c r="R311" s="322"/>
      <c r="S311" s="322"/>
      <c r="T311" s="323"/>
      <c r="U311" s="36" t="s">
        <v>65</v>
      </c>
      <c r="V311" s="304">
        <f>IFERROR(SUM(V309:V309),"0")</f>
        <v>150</v>
      </c>
      <c r="W311" s="304">
        <f>IFERROR(SUM(W309:W309),"0")</f>
        <v>156</v>
      </c>
      <c r="X311" s="36"/>
      <c r="Y311" s="305"/>
      <c r="Z311" s="305"/>
    </row>
    <row r="312" spans="1:53" ht="16.5" customHeight="1" x14ac:dyDescent="0.25">
      <c r="A312" s="317" t="s">
        <v>448</v>
      </c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18"/>
      <c r="N312" s="318"/>
      <c r="O312" s="318"/>
      <c r="P312" s="318"/>
      <c r="Q312" s="318"/>
      <c r="R312" s="318"/>
      <c r="S312" s="318"/>
      <c r="T312" s="318"/>
      <c r="U312" s="318"/>
      <c r="V312" s="318"/>
      <c r="W312" s="318"/>
      <c r="X312" s="318"/>
      <c r="Y312" s="298"/>
      <c r="Z312" s="298"/>
    </row>
    <row r="313" spans="1:53" ht="14.25" customHeight="1" x14ac:dyDescent="0.25">
      <c r="A313" s="330" t="s">
        <v>103</v>
      </c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8"/>
      <c r="N313" s="318"/>
      <c r="O313" s="318"/>
      <c r="P313" s="318"/>
      <c r="Q313" s="318"/>
      <c r="R313" s="318"/>
      <c r="S313" s="318"/>
      <c r="T313" s="318"/>
      <c r="U313" s="318"/>
      <c r="V313" s="318"/>
      <c r="W313" s="318"/>
      <c r="X313" s="318"/>
      <c r="Y313" s="295"/>
      <c r="Z313" s="295"/>
    </row>
    <row r="314" spans="1:53" ht="27" customHeight="1" x14ac:dyDescent="0.25">
      <c r="A314" s="53" t="s">
        <v>449</v>
      </c>
      <c r="B314" s="53" t="s">
        <v>450</v>
      </c>
      <c r="C314" s="30">
        <v>4301011324</v>
      </c>
      <c r="D314" s="308">
        <v>4607091384185</v>
      </c>
      <c r="E314" s="309"/>
      <c r="F314" s="301">
        <v>0.8</v>
      </c>
      <c r="G314" s="31">
        <v>15</v>
      </c>
      <c r="H314" s="301">
        <v>12</v>
      </c>
      <c r="I314" s="301">
        <v>12.48</v>
      </c>
      <c r="J314" s="31">
        <v>56</v>
      </c>
      <c r="K314" s="31" t="s">
        <v>98</v>
      </c>
      <c r="L314" s="32" t="s">
        <v>64</v>
      </c>
      <c r="M314" s="31">
        <v>60</v>
      </c>
      <c r="N314" s="5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0"/>
      <c r="P314" s="320"/>
      <c r="Q314" s="320"/>
      <c r="R314" s="309"/>
      <c r="S314" s="33"/>
      <c r="T314" s="33"/>
      <c r="U314" s="34" t="s">
        <v>65</v>
      </c>
      <c r="V314" s="302">
        <v>0</v>
      </c>
      <c r="W314" s="303">
        <f>IFERROR(IF(V314="",0,CEILING((V314/$H314),1)*$H314),"")</f>
        <v>0</v>
      </c>
      <c r="X314" s="35" t="str">
        <f>IFERROR(IF(W314=0,"",ROUNDUP(W314/H314,0)*0.02175),"")</f>
        <v/>
      </c>
      <c r="Y314" s="55"/>
      <c r="Z314" s="56"/>
      <c r="AD314" s="57"/>
      <c r="BA314" s="224" t="s">
        <v>1</v>
      </c>
    </row>
    <row r="315" spans="1:53" ht="27" customHeight="1" x14ac:dyDescent="0.25">
      <c r="A315" s="53" t="s">
        <v>451</v>
      </c>
      <c r="B315" s="53" t="s">
        <v>452</v>
      </c>
      <c r="C315" s="30">
        <v>4301011312</v>
      </c>
      <c r="D315" s="308">
        <v>4607091384192</v>
      </c>
      <c r="E315" s="309"/>
      <c r="F315" s="301">
        <v>1.8</v>
      </c>
      <c r="G315" s="31">
        <v>6</v>
      </c>
      <c r="H315" s="301">
        <v>10.8</v>
      </c>
      <c r="I315" s="301">
        <v>11.28</v>
      </c>
      <c r="J315" s="31">
        <v>56</v>
      </c>
      <c r="K315" s="31" t="s">
        <v>98</v>
      </c>
      <c r="L315" s="32" t="s">
        <v>99</v>
      </c>
      <c r="M315" s="31">
        <v>60</v>
      </c>
      <c r="N315" s="6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0"/>
      <c r="P315" s="320"/>
      <c r="Q315" s="320"/>
      <c r="R315" s="309"/>
      <c r="S315" s="33"/>
      <c r="T315" s="33"/>
      <c r="U315" s="34" t="s">
        <v>65</v>
      </c>
      <c r="V315" s="302">
        <v>0</v>
      </c>
      <c r="W315" s="303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customHeight="1" x14ac:dyDescent="0.25">
      <c r="A316" s="53" t="s">
        <v>453</v>
      </c>
      <c r="B316" s="53" t="s">
        <v>454</v>
      </c>
      <c r="C316" s="30">
        <v>4301011483</v>
      </c>
      <c r="D316" s="308">
        <v>4680115881907</v>
      </c>
      <c r="E316" s="309"/>
      <c r="F316" s="301">
        <v>1.8</v>
      </c>
      <c r="G316" s="31">
        <v>6</v>
      </c>
      <c r="H316" s="301">
        <v>10.8</v>
      </c>
      <c r="I316" s="301">
        <v>11.28</v>
      </c>
      <c r="J316" s="31">
        <v>56</v>
      </c>
      <c r="K316" s="31" t="s">
        <v>98</v>
      </c>
      <c r="L316" s="32" t="s">
        <v>64</v>
      </c>
      <c r="M316" s="31">
        <v>60</v>
      </c>
      <c r="N316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0"/>
      <c r="P316" s="320"/>
      <c r="Q316" s="320"/>
      <c r="R316" s="309"/>
      <c r="S316" s="33"/>
      <c r="T316" s="33"/>
      <c r="U316" s="34" t="s">
        <v>65</v>
      </c>
      <c r="V316" s="302">
        <v>0</v>
      </c>
      <c r="W316" s="303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455</v>
      </c>
      <c r="B317" s="53" t="s">
        <v>456</v>
      </c>
      <c r="C317" s="30">
        <v>4301011303</v>
      </c>
      <c r="D317" s="308">
        <v>4607091384680</v>
      </c>
      <c r="E317" s="309"/>
      <c r="F317" s="301">
        <v>0.4</v>
      </c>
      <c r="G317" s="31">
        <v>10</v>
      </c>
      <c r="H317" s="301">
        <v>4</v>
      </c>
      <c r="I317" s="301">
        <v>4.21</v>
      </c>
      <c r="J317" s="31">
        <v>120</v>
      </c>
      <c r="K317" s="31" t="s">
        <v>63</v>
      </c>
      <c r="L317" s="32" t="s">
        <v>64</v>
      </c>
      <c r="M317" s="31">
        <v>60</v>
      </c>
      <c r="N317" s="38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0"/>
      <c r="P317" s="320"/>
      <c r="Q317" s="320"/>
      <c r="R317" s="309"/>
      <c r="S317" s="33"/>
      <c r="T317" s="33"/>
      <c r="U317" s="34" t="s">
        <v>65</v>
      </c>
      <c r="V317" s="302">
        <v>0</v>
      </c>
      <c r="W317" s="303">
        <f>IFERROR(IF(V317="",0,CEILING((V317/$H317),1)*$H317),"")</f>
        <v>0</v>
      </c>
      <c r="X317" s="35" t="str">
        <f>IFERROR(IF(W317=0,"",ROUNDUP(W317/H317,0)*0.00937),"")</f>
        <v/>
      </c>
      <c r="Y317" s="55"/>
      <c r="Z317" s="56"/>
      <c r="AD317" s="57"/>
      <c r="BA317" s="227" t="s">
        <v>1</v>
      </c>
    </row>
    <row r="318" spans="1:53" x14ac:dyDescent="0.2">
      <c r="A318" s="334"/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35"/>
      <c r="N318" s="321" t="s">
        <v>66</v>
      </c>
      <c r="O318" s="322"/>
      <c r="P318" s="322"/>
      <c r="Q318" s="322"/>
      <c r="R318" s="322"/>
      <c r="S318" s="322"/>
      <c r="T318" s="323"/>
      <c r="U318" s="36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8"/>
      <c r="B319" s="318"/>
      <c r="C319" s="318"/>
      <c r="D319" s="318"/>
      <c r="E319" s="318"/>
      <c r="F319" s="318"/>
      <c r="G319" s="318"/>
      <c r="H319" s="318"/>
      <c r="I319" s="318"/>
      <c r="J319" s="318"/>
      <c r="K319" s="318"/>
      <c r="L319" s="318"/>
      <c r="M319" s="335"/>
      <c r="N319" s="321" t="s">
        <v>66</v>
      </c>
      <c r="O319" s="322"/>
      <c r="P319" s="322"/>
      <c r="Q319" s="322"/>
      <c r="R319" s="322"/>
      <c r="S319" s="322"/>
      <c r="T319" s="323"/>
      <c r="U319" s="36" t="s">
        <v>65</v>
      </c>
      <c r="V319" s="304">
        <f>IFERROR(SUM(V314:V317),"0")</f>
        <v>0</v>
      </c>
      <c r="W319" s="304">
        <f>IFERROR(SUM(W314:W317),"0")</f>
        <v>0</v>
      </c>
      <c r="X319" s="36"/>
      <c r="Y319" s="305"/>
      <c r="Z319" s="305"/>
    </row>
    <row r="320" spans="1:53" ht="14.25" customHeight="1" x14ac:dyDescent="0.25">
      <c r="A320" s="330" t="s">
        <v>60</v>
      </c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8"/>
      <c r="M320" s="318"/>
      <c r="N320" s="318"/>
      <c r="O320" s="318"/>
      <c r="P320" s="318"/>
      <c r="Q320" s="318"/>
      <c r="R320" s="318"/>
      <c r="S320" s="318"/>
      <c r="T320" s="318"/>
      <c r="U320" s="318"/>
      <c r="V320" s="318"/>
      <c r="W320" s="318"/>
      <c r="X320" s="318"/>
      <c r="Y320" s="295"/>
      <c r="Z320" s="295"/>
    </row>
    <row r="321" spans="1:53" ht="27" customHeight="1" x14ac:dyDescent="0.25">
      <c r="A321" s="53" t="s">
        <v>457</v>
      </c>
      <c r="B321" s="53" t="s">
        <v>458</v>
      </c>
      <c r="C321" s="30">
        <v>4301031139</v>
      </c>
      <c r="D321" s="308">
        <v>4607091384802</v>
      </c>
      <c r="E321" s="309"/>
      <c r="F321" s="301">
        <v>0.73</v>
      </c>
      <c r="G321" s="31">
        <v>6</v>
      </c>
      <c r="H321" s="301">
        <v>4.38</v>
      </c>
      <c r="I321" s="301">
        <v>4.58</v>
      </c>
      <c r="J321" s="31">
        <v>156</v>
      </c>
      <c r="K321" s="31" t="s">
        <v>63</v>
      </c>
      <c r="L321" s="32" t="s">
        <v>64</v>
      </c>
      <c r="M321" s="31">
        <v>35</v>
      </c>
      <c r="N321" s="6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0"/>
      <c r="P321" s="320"/>
      <c r="Q321" s="320"/>
      <c r="R321" s="309"/>
      <c r="S321" s="33"/>
      <c r="T321" s="33"/>
      <c r="U321" s="34" t="s">
        <v>65</v>
      </c>
      <c r="V321" s="302">
        <v>0</v>
      </c>
      <c r="W321" s="303">
        <f>IFERROR(IF(V321="",0,CEILING((V321/$H321),1)*$H321),"")</f>
        <v>0</v>
      </c>
      <c r="X321" s="35" t="str">
        <f>IFERROR(IF(W321=0,"",ROUNDUP(W321/H321,0)*0.00753),"")</f>
        <v/>
      </c>
      <c r="Y321" s="55"/>
      <c r="Z321" s="56"/>
      <c r="AD321" s="57"/>
      <c r="BA321" s="228" t="s">
        <v>1</v>
      </c>
    </row>
    <row r="322" spans="1:53" ht="27" customHeight="1" x14ac:dyDescent="0.25">
      <c r="A322" s="53" t="s">
        <v>459</v>
      </c>
      <c r="B322" s="53" t="s">
        <v>460</v>
      </c>
      <c r="C322" s="30">
        <v>4301031140</v>
      </c>
      <c r="D322" s="308">
        <v>4607091384826</v>
      </c>
      <c r="E322" s="309"/>
      <c r="F322" s="301">
        <v>0.35</v>
      </c>
      <c r="G322" s="31">
        <v>8</v>
      </c>
      <c r="H322" s="301">
        <v>2.8</v>
      </c>
      <c r="I322" s="301">
        <v>2.9</v>
      </c>
      <c r="J322" s="31">
        <v>234</v>
      </c>
      <c r="K322" s="31" t="s">
        <v>164</v>
      </c>
      <c r="L322" s="32" t="s">
        <v>64</v>
      </c>
      <c r="M322" s="31">
        <v>35</v>
      </c>
      <c r="N322" s="37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0"/>
      <c r="P322" s="320"/>
      <c r="Q322" s="320"/>
      <c r="R322" s="309"/>
      <c r="S322" s="33"/>
      <c r="T322" s="33"/>
      <c r="U322" s="34" t="s">
        <v>65</v>
      </c>
      <c r="V322" s="302">
        <v>0</v>
      </c>
      <c r="W322" s="303">
        <f>IFERROR(IF(V322="",0,CEILING((V322/$H322),1)*$H322),"")</f>
        <v>0</v>
      </c>
      <c r="X322" s="35" t="str">
        <f>IFERROR(IF(W322=0,"",ROUNDUP(W322/H322,0)*0.00502),"")</f>
        <v/>
      </c>
      <c r="Y322" s="55"/>
      <c r="Z322" s="56"/>
      <c r="AD322" s="57"/>
      <c r="BA322" s="229" t="s">
        <v>1</v>
      </c>
    </row>
    <row r="323" spans="1:53" x14ac:dyDescent="0.2">
      <c r="A323" s="334"/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35"/>
      <c r="N323" s="321" t="s">
        <v>66</v>
      </c>
      <c r="O323" s="322"/>
      <c r="P323" s="322"/>
      <c r="Q323" s="322"/>
      <c r="R323" s="322"/>
      <c r="S323" s="322"/>
      <c r="T323" s="323"/>
      <c r="U323" s="36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8"/>
      <c r="B324" s="318"/>
      <c r="C324" s="318"/>
      <c r="D324" s="318"/>
      <c r="E324" s="318"/>
      <c r="F324" s="318"/>
      <c r="G324" s="318"/>
      <c r="H324" s="318"/>
      <c r="I324" s="318"/>
      <c r="J324" s="318"/>
      <c r="K324" s="318"/>
      <c r="L324" s="318"/>
      <c r="M324" s="335"/>
      <c r="N324" s="321" t="s">
        <v>66</v>
      </c>
      <c r="O324" s="322"/>
      <c r="P324" s="322"/>
      <c r="Q324" s="322"/>
      <c r="R324" s="322"/>
      <c r="S324" s="322"/>
      <c r="T324" s="323"/>
      <c r="U324" s="36" t="s">
        <v>65</v>
      </c>
      <c r="V324" s="304">
        <f>IFERROR(SUM(V321:V322),"0")</f>
        <v>0</v>
      </c>
      <c r="W324" s="304">
        <f>IFERROR(SUM(W321:W322),"0")</f>
        <v>0</v>
      </c>
      <c r="X324" s="36"/>
      <c r="Y324" s="305"/>
      <c r="Z324" s="305"/>
    </row>
    <row r="325" spans="1:53" ht="14.25" customHeight="1" x14ac:dyDescent="0.25">
      <c r="A325" s="330" t="s">
        <v>68</v>
      </c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18"/>
      <c r="N325" s="318"/>
      <c r="O325" s="318"/>
      <c r="P325" s="318"/>
      <c r="Q325" s="318"/>
      <c r="R325" s="318"/>
      <c r="S325" s="318"/>
      <c r="T325" s="318"/>
      <c r="U325" s="318"/>
      <c r="V325" s="318"/>
      <c r="W325" s="318"/>
      <c r="X325" s="318"/>
      <c r="Y325" s="295"/>
      <c r="Z325" s="295"/>
    </row>
    <row r="326" spans="1:53" ht="27" customHeight="1" x14ac:dyDescent="0.25">
      <c r="A326" s="53" t="s">
        <v>461</v>
      </c>
      <c r="B326" s="53" t="s">
        <v>462</v>
      </c>
      <c r="C326" s="30">
        <v>4301051303</v>
      </c>
      <c r="D326" s="308">
        <v>4607091384246</v>
      </c>
      <c r="E326" s="309"/>
      <c r="F326" s="301">
        <v>1.3</v>
      </c>
      <c r="G326" s="31">
        <v>6</v>
      </c>
      <c r="H326" s="301">
        <v>7.8</v>
      </c>
      <c r="I326" s="301">
        <v>8.3640000000000008</v>
      </c>
      <c r="J326" s="31">
        <v>56</v>
      </c>
      <c r="K326" s="31" t="s">
        <v>98</v>
      </c>
      <c r="L326" s="32" t="s">
        <v>64</v>
      </c>
      <c r="M326" s="31">
        <v>40</v>
      </c>
      <c r="N326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0"/>
      <c r="P326" s="320"/>
      <c r="Q326" s="320"/>
      <c r="R326" s="309"/>
      <c r="S326" s="33"/>
      <c r="T326" s="33"/>
      <c r="U326" s="34" t="s">
        <v>65</v>
      </c>
      <c r="V326" s="302">
        <v>1000</v>
      </c>
      <c r="W326" s="303">
        <f>IFERROR(IF(V326="",0,CEILING((V326/$H326),1)*$H326),"")</f>
        <v>1006.1999999999999</v>
      </c>
      <c r="X326" s="35">
        <f>IFERROR(IF(W326=0,"",ROUNDUP(W326/H326,0)*0.02175),"")</f>
        <v>2.8057499999999997</v>
      </c>
      <c r="Y326" s="55"/>
      <c r="Z326" s="56"/>
      <c r="AD326" s="57"/>
      <c r="BA326" s="230" t="s">
        <v>1</v>
      </c>
    </row>
    <row r="327" spans="1:53" ht="27" customHeight="1" x14ac:dyDescent="0.25">
      <c r="A327" s="53" t="s">
        <v>463</v>
      </c>
      <c r="B327" s="53" t="s">
        <v>464</v>
      </c>
      <c r="C327" s="30">
        <v>4301051445</v>
      </c>
      <c r="D327" s="308">
        <v>4680115881976</v>
      </c>
      <c r="E327" s="309"/>
      <c r="F327" s="301">
        <v>1.3</v>
      </c>
      <c r="G327" s="31">
        <v>6</v>
      </c>
      <c r="H327" s="301">
        <v>7.8</v>
      </c>
      <c r="I327" s="301">
        <v>8.2799999999999994</v>
      </c>
      <c r="J327" s="31">
        <v>56</v>
      </c>
      <c r="K327" s="31" t="s">
        <v>98</v>
      </c>
      <c r="L327" s="32" t="s">
        <v>64</v>
      </c>
      <c r="M327" s="31">
        <v>40</v>
      </c>
      <c r="N327" s="3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0"/>
      <c r="P327" s="320"/>
      <c r="Q327" s="320"/>
      <c r="R327" s="309"/>
      <c r="S327" s="33"/>
      <c r="T327" s="33"/>
      <c r="U327" s="34" t="s">
        <v>65</v>
      </c>
      <c r="V327" s="302">
        <v>0</v>
      </c>
      <c r="W327" s="303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1" t="s">
        <v>1</v>
      </c>
    </row>
    <row r="328" spans="1:53" ht="27" customHeight="1" x14ac:dyDescent="0.25">
      <c r="A328" s="53" t="s">
        <v>465</v>
      </c>
      <c r="B328" s="53" t="s">
        <v>466</v>
      </c>
      <c r="C328" s="30">
        <v>4301051297</v>
      </c>
      <c r="D328" s="308">
        <v>4607091384253</v>
      </c>
      <c r="E328" s="309"/>
      <c r="F328" s="301">
        <v>0.4</v>
      </c>
      <c r="G328" s="31">
        <v>6</v>
      </c>
      <c r="H328" s="301">
        <v>2.4</v>
      </c>
      <c r="I328" s="301">
        <v>2.6840000000000002</v>
      </c>
      <c r="J328" s="31">
        <v>156</v>
      </c>
      <c r="K328" s="31" t="s">
        <v>63</v>
      </c>
      <c r="L328" s="32" t="s">
        <v>64</v>
      </c>
      <c r="M328" s="31">
        <v>40</v>
      </c>
      <c r="N328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0"/>
      <c r="P328" s="320"/>
      <c r="Q328" s="320"/>
      <c r="R328" s="309"/>
      <c r="S328" s="33"/>
      <c r="T328" s="33"/>
      <c r="U328" s="34" t="s">
        <v>65</v>
      </c>
      <c r="V328" s="302">
        <v>201.6</v>
      </c>
      <c r="W328" s="303">
        <f>IFERROR(IF(V328="",0,CEILING((V328/$H328),1)*$H328),"")</f>
        <v>201.6</v>
      </c>
      <c r="X328" s="35">
        <f>IFERROR(IF(W328=0,"",ROUNDUP(W328/H328,0)*0.00753),"")</f>
        <v>0.63251999999999997</v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467</v>
      </c>
      <c r="B329" s="53" t="s">
        <v>468</v>
      </c>
      <c r="C329" s="30">
        <v>4301051444</v>
      </c>
      <c r="D329" s="308">
        <v>4680115881969</v>
      </c>
      <c r="E329" s="309"/>
      <c r="F329" s="301">
        <v>0.4</v>
      </c>
      <c r="G329" s="31">
        <v>6</v>
      </c>
      <c r="H329" s="301">
        <v>2.4</v>
      </c>
      <c r="I329" s="301">
        <v>2.6</v>
      </c>
      <c r="J329" s="31">
        <v>156</v>
      </c>
      <c r="K329" s="31" t="s">
        <v>63</v>
      </c>
      <c r="L329" s="32" t="s">
        <v>64</v>
      </c>
      <c r="M329" s="31">
        <v>40</v>
      </c>
      <c r="N329" s="4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0"/>
      <c r="P329" s="320"/>
      <c r="Q329" s="320"/>
      <c r="R329" s="309"/>
      <c r="S329" s="33"/>
      <c r="T329" s="33"/>
      <c r="U329" s="34" t="s">
        <v>65</v>
      </c>
      <c r="V329" s="302">
        <v>0</v>
      </c>
      <c r="W329" s="303">
        <f>IFERROR(IF(V329="",0,CEILING((V329/$H329),1)*$H329),"")</f>
        <v>0</v>
      </c>
      <c r="X329" s="35" t="str">
        <f>IFERROR(IF(W329=0,"",ROUNDUP(W329/H329,0)*0.00753),"")</f>
        <v/>
      </c>
      <c r="Y329" s="55"/>
      <c r="Z329" s="56"/>
      <c r="AD329" s="57"/>
      <c r="BA329" s="233" t="s">
        <v>1</v>
      </c>
    </row>
    <row r="330" spans="1:53" x14ac:dyDescent="0.2">
      <c r="A330" s="334"/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35"/>
      <c r="N330" s="321" t="s">
        <v>66</v>
      </c>
      <c r="O330" s="322"/>
      <c r="P330" s="322"/>
      <c r="Q330" s="322"/>
      <c r="R330" s="322"/>
      <c r="S330" s="322"/>
      <c r="T330" s="323"/>
      <c r="U330" s="36" t="s">
        <v>67</v>
      </c>
      <c r="V330" s="304">
        <f>IFERROR(V326/H326,"0")+IFERROR(V327/H327,"0")+IFERROR(V328/H328,"0")+IFERROR(V329/H329,"0")</f>
        <v>212.2051282051282</v>
      </c>
      <c r="W330" s="304">
        <f>IFERROR(W326/H326,"0")+IFERROR(W327/H327,"0")+IFERROR(W328/H328,"0")+IFERROR(W329/H329,"0")</f>
        <v>213</v>
      </c>
      <c r="X330" s="304">
        <f>IFERROR(IF(X326="",0,X326),"0")+IFERROR(IF(X327="",0,X327),"0")+IFERROR(IF(X328="",0,X328),"0")+IFERROR(IF(X329="",0,X329),"0")</f>
        <v>3.4382699999999997</v>
      </c>
      <c r="Y330" s="305"/>
      <c r="Z330" s="305"/>
    </row>
    <row r="331" spans="1:53" x14ac:dyDescent="0.2">
      <c r="A331" s="318"/>
      <c r="B331" s="318"/>
      <c r="C331" s="318"/>
      <c r="D331" s="318"/>
      <c r="E331" s="318"/>
      <c r="F331" s="318"/>
      <c r="G331" s="318"/>
      <c r="H331" s="318"/>
      <c r="I331" s="318"/>
      <c r="J331" s="318"/>
      <c r="K331" s="318"/>
      <c r="L331" s="318"/>
      <c r="M331" s="335"/>
      <c r="N331" s="321" t="s">
        <v>66</v>
      </c>
      <c r="O331" s="322"/>
      <c r="P331" s="322"/>
      <c r="Q331" s="322"/>
      <c r="R331" s="322"/>
      <c r="S331" s="322"/>
      <c r="T331" s="323"/>
      <c r="U331" s="36" t="s">
        <v>65</v>
      </c>
      <c r="V331" s="304">
        <f>IFERROR(SUM(V326:V329),"0")</f>
        <v>1201.5999999999999</v>
      </c>
      <c r="W331" s="304">
        <f>IFERROR(SUM(W326:W329),"0")</f>
        <v>1207.8</v>
      </c>
      <c r="X331" s="36"/>
      <c r="Y331" s="305"/>
      <c r="Z331" s="305"/>
    </row>
    <row r="332" spans="1:53" ht="14.25" customHeight="1" x14ac:dyDescent="0.25">
      <c r="A332" s="330" t="s">
        <v>213</v>
      </c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18"/>
      <c r="N332" s="318"/>
      <c r="O332" s="318"/>
      <c r="P332" s="318"/>
      <c r="Q332" s="318"/>
      <c r="R332" s="318"/>
      <c r="S332" s="318"/>
      <c r="T332" s="318"/>
      <c r="U332" s="318"/>
      <c r="V332" s="318"/>
      <c r="W332" s="318"/>
      <c r="X332" s="318"/>
      <c r="Y332" s="295"/>
      <c r="Z332" s="295"/>
    </row>
    <row r="333" spans="1:53" ht="27" customHeight="1" x14ac:dyDescent="0.25">
      <c r="A333" s="53" t="s">
        <v>469</v>
      </c>
      <c r="B333" s="53" t="s">
        <v>470</v>
      </c>
      <c r="C333" s="30">
        <v>4301060322</v>
      </c>
      <c r="D333" s="308">
        <v>4607091389357</v>
      </c>
      <c r="E333" s="309"/>
      <c r="F333" s="301">
        <v>1.3</v>
      </c>
      <c r="G333" s="31">
        <v>6</v>
      </c>
      <c r="H333" s="301">
        <v>7.8</v>
      </c>
      <c r="I333" s="301">
        <v>8.2799999999999994</v>
      </c>
      <c r="J333" s="31">
        <v>56</v>
      </c>
      <c r="K333" s="31" t="s">
        <v>98</v>
      </c>
      <c r="L333" s="32" t="s">
        <v>64</v>
      </c>
      <c r="M333" s="31">
        <v>40</v>
      </c>
      <c r="N333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0"/>
      <c r="P333" s="320"/>
      <c r="Q333" s="320"/>
      <c r="R333" s="309"/>
      <c r="S333" s="33"/>
      <c r="T333" s="33"/>
      <c r="U333" s="34" t="s">
        <v>65</v>
      </c>
      <c r="V333" s="302">
        <v>0</v>
      </c>
      <c r="W333" s="303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4" t="s">
        <v>1</v>
      </c>
    </row>
    <row r="334" spans="1:53" x14ac:dyDescent="0.2">
      <c r="A334" s="334"/>
      <c r="B334" s="318"/>
      <c r="C334" s="318"/>
      <c r="D334" s="318"/>
      <c r="E334" s="318"/>
      <c r="F334" s="318"/>
      <c r="G334" s="318"/>
      <c r="H334" s="318"/>
      <c r="I334" s="318"/>
      <c r="J334" s="318"/>
      <c r="K334" s="318"/>
      <c r="L334" s="318"/>
      <c r="M334" s="335"/>
      <c r="N334" s="321" t="s">
        <v>66</v>
      </c>
      <c r="O334" s="322"/>
      <c r="P334" s="322"/>
      <c r="Q334" s="322"/>
      <c r="R334" s="322"/>
      <c r="S334" s="322"/>
      <c r="T334" s="323"/>
      <c r="U334" s="36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8"/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35"/>
      <c r="N335" s="321" t="s">
        <v>66</v>
      </c>
      <c r="O335" s="322"/>
      <c r="P335" s="322"/>
      <c r="Q335" s="322"/>
      <c r="R335" s="322"/>
      <c r="S335" s="322"/>
      <c r="T335" s="323"/>
      <c r="U335" s="36" t="s">
        <v>65</v>
      </c>
      <c r="V335" s="304">
        <f>IFERROR(SUM(V333:V333),"0")</f>
        <v>0</v>
      </c>
      <c r="W335" s="304">
        <f>IFERROR(SUM(W333:W333),"0")</f>
        <v>0</v>
      </c>
      <c r="X335" s="36"/>
      <c r="Y335" s="305"/>
      <c r="Z335" s="305"/>
    </row>
    <row r="336" spans="1:53" ht="27.75" customHeight="1" x14ac:dyDescent="0.2">
      <c r="A336" s="362" t="s">
        <v>471</v>
      </c>
      <c r="B336" s="363"/>
      <c r="C336" s="363"/>
      <c r="D336" s="363"/>
      <c r="E336" s="363"/>
      <c r="F336" s="363"/>
      <c r="G336" s="363"/>
      <c r="H336" s="363"/>
      <c r="I336" s="363"/>
      <c r="J336" s="363"/>
      <c r="K336" s="363"/>
      <c r="L336" s="363"/>
      <c r="M336" s="363"/>
      <c r="N336" s="363"/>
      <c r="O336" s="363"/>
      <c r="P336" s="363"/>
      <c r="Q336" s="363"/>
      <c r="R336" s="363"/>
      <c r="S336" s="363"/>
      <c r="T336" s="363"/>
      <c r="U336" s="363"/>
      <c r="V336" s="363"/>
      <c r="W336" s="363"/>
      <c r="X336" s="363"/>
      <c r="Y336" s="47"/>
      <c r="Z336" s="47"/>
    </row>
    <row r="337" spans="1:53" ht="16.5" customHeight="1" x14ac:dyDescent="0.25">
      <c r="A337" s="317" t="s">
        <v>472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318"/>
      <c r="Y337" s="298"/>
      <c r="Z337" s="298"/>
    </row>
    <row r="338" spans="1:53" ht="14.25" customHeight="1" x14ac:dyDescent="0.25">
      <c r="A338" s="330" t="s">
        <v>103</v>
      </c>
      <c r="B338" s="318"/>
      <c r="C338" s="318"/>
      <c r="D338" s="318"/>
      <c r="E338" s="318"/>
      <c r="F338" s="318"/>
      <c r="G338" s="318"/>
      <c r="H338" s="318"/>
      <c r="I338" s="318"/>
      <c r="J338" s="318"/>
      <c r="K338" s="318"/>
      <c r="L338" s="318"/>
      <c r="M338" s="318"/>
      <c r="N338" s="318"/>
      <c r="O338" s="318"/>
      <c r="P338" s="318"/>
      <c r="Q338" s="318"/>
      <c r="R338" s="318"/>
      <c r="S338" s="318"/>
      <c r="T338" s="318"/>
      <c r="U338" s="318"/>
      <c r="V338" s="318"/>
      <c r="W338" s="318"/>
      <c r="X338" s="318"/>
      <c r="Y338" s="295"/>
      <c r="Z338" s="295"/>
    </row>
    <row r="339" spans="1:53" ht="27" customHeight="1" x14ac:dyDescent="0.25">
      <c r="A339" s="53" t="s">
        <v>473</v>
      </c>
      <c r="B339" s="53" t="s">
        <v>474</v>
      </c>
      <c r="C339" s="30">
        <v>4301011428</v>
      </c>
      <c r="D339" s="308">
        <v>4607091389708</v>
      </c>
      <c r="E339" s="309"/>
      <c r="F339" s="301">
        <v>0.45</v>
      </c>
      <c r="G339" s="31">
        <v>6</v>
      </c>
      <c r="H339" s="301">
        <v>2.7</v>
      </c>
      <c r="I339" s="301">
        <v>2.9</v>
      </c>
      <c r="J339" s="31">
        <v>156</v>
      </c>
      <c r="K339" s="31" t="s">
        <v>63</v>
      </c>
      <c r="L339" s="32" t="s">
        <v>99</v>
      </c>
      <c r="M339" s="31">
        <v>50</v>
      </c>
      <c r="N339" s="5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0"/>
      <c r="P339" s="320"/>
      <c r="Q339" s="320"/>
      <c r="R339" s="309"/>
      <c r="S339" s="33"/>
      <c r="T339" s="33"/>
      <c r="U339" s="34" t="s">
        <v>65</v>
      </c>
      <c r="V339" s="302">
        <v>0</v>
      </c>
      <c r="W339" s="303">
        <f>IFERROR(IF(V339="",0,CEILING((V339/$H339),1)*$H339),"")</f>
        <v>0</v>
      </c>
      <c r="X339" s="35" t="str">
        <f>IFERROR(IF(W339=0,"",ROUNDUP(W339/H339,0)*0.00753),"")</f>
        <v/>
      </c>
      <c r="Y339" s="55"/>
      <c r="Z339" s="56"/>
      <c r="AD339" s="57"/>
      <c r="BA339" s="235" t="s">
        <v>1</v>
      </c>
    </row>
    <row r="340" spans="1:53" ht="27" customHeight="1" x14ac:dyDescent="0.25">
      <c r="A340" s="53" t="s">
        <v>475</v>
      </c>
      <c r="B340" s="53" t="s">
        <v>476</v>
      </c>
      <c r="C340" s="30">
        <v>4301011427</v>
      </c>
      <c r="D340" s="308">
        <v>4607091389692</v>
      </c>
      <c r="E340" s="309"/>
      <c r="F340" s="301">
        <v>0.45</v>
      </c>
      <c r="G340" s="31">
        <v>6</v>
      </c>
      <c r="H340" s="301">
        <v>2.7</v>
      </c>
      <c r="I340" s="301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3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0"/>
      <c r="P340" s="320"/>
      <c r="Q340" s="320"/>
      <c r="R340" s="309"/>
      <c r="S340" s="33"/>
      <c r="T340" s="33"/>
      <c r="U340" s="34" t="s">
        <v>65</v>
      </c>
      <c r="V340" s="302">
        <v>0</v>
      </c>
      <c r="W340" s="303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x14ac:dyDescent="0.2">
      <c r="A341" s="334"/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35"/>
      <c r="N341" s="321" t="s">
        <v>66</v>
      </c>
      <c r="O341" s="322"/>
      <c r="P341" s="322"/>
      <c r="Q341" s="322"/>
      <c r="R341" s="322"/>
      <c r="S341" s="322"/>
      <c r="T341" s="323"/>
      <c r="U341" s="36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8"/>
      <c r="B342" s="318"/>
      <c r="C342" s="318"/>
      <c r="D342" s="318"/>
      <c r="E342" s="318"/>
      <c r="F342" s="318"/>
      <c r="G342" s="318"/>
      <c r="H342" s="318"/>
      <c r="I342" s="318"/>
      <c r="J342" s="318"/>
      <c r="K342" s="318"/>
      <c r="L342" s="318"/>
      <c r="M342" s="335"/>
      <c r="N342" s="321" t="s">
        <v>66</v>
      </c>
      <c r="O342" s="322"/>
      <c r="P342" s="322"/>
      <c r="Q342" s="322"/>
      <c r="R342" s="322"/>
      <c r="S342" s="322"/>
      <c r="T342" s="323"/>
      <c r="U342" s="36" t="s">
        <v>65</v>
      </c>
      <c r="V342" s="304">
        <f>IFERROR(SUM(V339:V340),"0")</f>
        <v>0</v>
      </c>
      <c r="W342" s="304">
        <f>IFERROR(SUM(W339:W340),"0")</f>
        <v>0</v>
      </c>
      <c r="X342" s="36"/>
      <c r="Y342" s="305"/>
      <c r="Z342" s="305"/>
    </row>
    <row r="343" spans="1:53" ht="14.25" customHeight="1" x14ac:dyDescent="0.25">
      <c r="A343" s="330" t="s">
        <v>60</v>
      </c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8"/>
      <c r="N343" s="318"/>
      <c r="O343" s="318"/>
      <c r="P343" s="318"/>
      <c r="Q343" s="318"/>
      <c r="R343" s="318"/>
      <c r="S343" s="318"/>
      <c r="T343" s="318"/>
      <c r="U343" s="318"/>
      <c r="V343" s="318"/>
      <c r="W343" s="318"/>
      <c r="X343" s="318"/>
      <c r="Y343" s="295"/>
      <c r="Z343" s="295"/>
    </row>
    <row r="344" spans="1:53" ht="27" customHeight="1" x14ac:dyDescent="0.25">
      <c r="A344" s="53" t="s">
        <v>477</v>
      </c>
      <c r="B344" s="53" t="s">
        <v>478</v>
      </c>
      <c r="C344" s="30">
        <v>4301031177</v>
      </c>
      <c r="D344" s="308">
        <v>4607091389753</v>
      </c>
      <c r="E344" s="309"/>
      <c r="F344" s="301">
        <v>0.7</v>
      </c>
      <c r="G344" s="31">
        <v>6</v>
      </c>
      <c r="H344" s="301">
        <v>4.2</v>
      </c>
      <c r="I344" s="301">
        <v>4.43</v>
      </c>
      <c r="J344" s="31">
        <v>156</v>
      </c>
      <c r="K344" s="31" t="s">
        <v>63</v>
      </c>
      <c r="L344" s="32" t="s">
        <v>64</v>
      </c>
      <c r="M344" s="31">
        <v>45</v>
      </c>
      <c r="N344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0"/>
      <c r="P344" s="320"/>
      <c r="Q344" s="320"/>
      <c r="R344" s="309"/>
      <c r="S344" s="33"/>
      <c r="T344" s="33"/>
      <c r="U344" s="34" t="s">
        <v>65</v>
      </c>
      <c r="V344" s="302">
        <v>80</v>
      </c>
      <c r="W344" s="303">
        <f t="shared" ref="W344:W356" si="15">IFERROR(IF(V344="",0,CEILING((V344/$H344),1)*$H344),"")</f>
        <v>84</v>
      </c>
      <c r="X344" s="35">
        <f>IFERROR(IF(W344=0,"",ROUNDUP(W344/H344,0)*0.00753),"")</f>
        <v>0.15060000000000001</v>
      </c>
      <c r="Y344" s="55"/>
      <c r="Z344" s="56"/>
      <c r="AD344" s="57"/>
      <c r="BA344" s="237" t="s">
        <v>1</v>
      </c>
    </row>
    <row r="345" spans="1:53" ht="27" customHeight="1" x14ac:dyDescent="0.25">
      <c r="A345" s="53" t="s">
        <v>479</v>
      </c>
      <c r="B345" s="53" t="s">
        <v>480</v>
      </c>
      <c r="C345" s="30">
        <v>4301031174</v>
      </c>
      <c r="D345" s="308">
        <v>4607091389760</v>
      </c>
      <c r="E345" s="309"/>
      <c r="F345" s="301">
        <v>0.7</v>
      </c>
      <c r="G345" s="31">
        <v>6</v>
      </c>
      <c r="H345" s="301">
        <v>4.2</v>
      </c>
      <c r="I345" s="301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4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0"/>
      <c r="P345" s="320"/>
      <c r="Q345" s="320"/>
      <c r="R345" s="309"/>
      <c r="S345" s="33"/>
      <c r="T345" s="33"/>
      <c r="U345" s="34" t="s">
        <v>65</v>
      </c>
      <c r="V345" s="302">
        <v>0</v>
      </c>
      <c r="W345" s="303">
        <f t="shared" si="15"/>
        <v>0</v>
      </c>
      <c r="X345" s="35" t="str">
        <f>IFERROR(IF(W345=0,"",ROUNDUP(W345/H345,0)*0.00753),"")</f>
        <v/>
      </c>
      <c r="Y345" s="55"/>
      <c r="Z345" s="56"/>
      <c r="AD345" s="57"/>
      <c r="BA345" s="238" t="s">
        <v>1</v>
      </c>
    </row>
    <row r="346" spans="1:53" ht="27" customHeight="1" x14ac:dyDescent="0.25">
      <c r="A346" s="53" t="s">
        <v>481</v>
      </c>
      <c r="B346" s="53" t="s">
        <v>482</v>
      </c>
      <c r="C346" s="30">
        <v>4301031175</v>
      </c>
      <c r="D346" s="308">
        <v>4607091389746</v>
      </c>
      <c r="E346" s="309"/>
      <c r="F346" s="301">
        <v>0.7</v>
      </c>
      <c r="G346" s="31">
        <v>6</v>
      </c>
      <c r="H346" s="301">
        <v>4.2</v>
      </c>
      <c r="I346" s="301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6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0"/>
      <c r="P346" s="320"/>
      <c r="Q346" s="320"/>
      <c r="R346" s="309"/>
      <c r="S346" s="33"/>
      <c r="T346" s="33"/>
      <c r="U346" s="34" t="s">
        <v>65</v>
      </c>
      <c r="V346" s="302">
        <v>100</v>
      </c>
      <c r="W346" s="303">
        <f t="shared" si="15"/>
        <v>100.80000000000001</v>
      </c>
      <c r="X346" s="35">
        <f>IFERROR(IF(W346=0,"",ROUNDUP(W346/H346,0)*0.00753),"")</f>
        <v>0.18071999999999999</v>
      </c>
      <c r="Y346" s="55"/>
      <c r="Z346" s="56"/>
      <c r="AD346" s="57"/>
      <c r="BA346" s="239" t="s">
        <v>1</v>
      </c>
    </row>
    <row r="347" spans="1:53" ht="37.5" customHeight="1" x14ac:dyDescent="0.25">
      <c r="A347" s="53" t="s">
        <v>483</v>
      </c>
      <c r="B347" s="53" t="s">
        <v>484</v>
      </c>
      <c r="C347" s="30">
        <v>4301031236</v>
      </c>
      <c r="D347" s="308">
        <v>4680115882928</v>
      </c>
      <c r="E347" s="309"/>
      <c r="F347" s="301">
        <v>0.28000000000000003</v>
      </c>
      <c r="G347" s="31">
        <v>6</v>
      </c>
      <c r="H347" s="301">
        <v>1.68</v>
      </c>
      <c r="I347" s="301">
        <v>2.6</v>
      </c>
      <c r="J347" s="31">
        <v>156</v>
      </c>
      <c r="K347" s="31" t="s">
        <v>63</v>
      </c>
      <c r="L347" s="32" t="s">
        <v>64</v>
      </c>
      <c r="M347" s="31">
        <v>35</v>
      </c>
      <c r="N347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0"/>
      <c r="P347" s="320"/>
      <c r="Q347" s="320"/>
      <c r="R347" s="309"/>
      <c r="S347" s="33"/>
      <c r="T347" s="33"/>
      <c r="U347" s="34" t="s">
        <v>65</v>
      </c>
      <c r="V347" s="302">
        <v>0</v>
      </c>
      <c r="W347" s="303">
        <f t="shared" si="15"/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485</v>
      </c>
      <c r="B348" s="53" t="s">
        <v>486</v>
      </c>
      <c r="C348" s="30">
        <v>4301031257</v>
      </c>
      <c r="D348" s="308">
        <v>4680115883147</v>
      </c>
      <c r="E348" s="309"/>
      <c r="F348" s="301">
        <v>0.28000000000000003</v>
      </c>
      <c r="G348" s="31">
        <v>6</v>
      </c>
      <c r="H348" s="301">
        <v>1.68</v>
      </c>
      <c r="I348" s="301">
        <v>1.81</v>
      </c>
      <c r="J348" s="31">
        <v>234</v>
      </c>
      <c r="K348" s="31" t="s">
        <v>164</v>
      </c>
      <c r="L348" s="32" t="s">
        <v>64</v>
      </c>
      <c r="M348" s="31">
        <v>45</v>
      </c>
      <c r="N348" s="41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0"/>
      <c r="P348" s="320"/>
      <c r="Q348" s="320"/>
      <c r="R348" s="309"/>
      <c r="S348" s="33"/>
      <c r="T348" s="33"/>
      <c r="U348" s="34" t="s">
        <v>65</v>
      </c>
      <c r="V348" s="302">
        <v>0</v>
      </c>
      <c r="W348" s="303">
        <f t="shared" si="15"/>
        <v>0</v>
      </c>
      <c r="X348" s="35" t="str">
        <f t="shared" ref="X348:X356" si="16">IFERROR(IF(W348=0,"",ROUNDUP(W348/H348,0)*0.00502),"")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487</v>
      </c>
      <c r="B349" s="53" t="s">
        <v>488</v>
      </c>
      <c r="C349" s="30">
        <v>4301031178</v>
      </c>
      <c r="D349" s="308">
        <v>4607091384338</v>
      </c>
      <c r="E349" s="309"/>
      <c r="F349" s="301">
        <v>0.35</v>
      </c>
      <c r="G349" s="31">
        <v>6</v>
      </c>
      <c r="H349" s="301">
        <v>2.1</v>
      </c>
      <c r="I349" s="301">
        <v>2.23</v>
      </c>
      <c r="J349" s="31">
        <v>234</v>
      </c>
      <c r="K349" s="31" t="s">
        <v>164</v>
      </c>
      <c r="L349" s="32" t="s">
        <v>64</v>
      </c>
      <c r="M349" s="31">
        <v>45</v>
      </c>
      <c r="N349" s="59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0"/>
      <c r="P349" s="320"/>
      <c r="Q349" s="320"/>
      <c r="R349" s="309"/>
      <c r="S349" s="33"/>
      <c r="T349" s="33"/>
      <c r="U349" s="34" t="s">
        <v>65</v>
      </c>
      <c r="V349" s="302">
        <v>35.700000000000003</v>
      </c>
      <c r="W349" s="303">
        <f t="shared" si="15"/>
        <v>35.700000000000003</v>
      </c>
      <c r="X349" s="35">
        <f t="shared" si="16"/>
        <v>8.5339999999999999E-2</v>
      </c>
      <c r="Y349" s="55"/>
      <c r="Z349" s="56"/>
      <c r="AD349" s="57"/>
      <c r="BA349" s="242" t="s">
        <v>1</v>
      </c>
    </row>
    <row r="350" spans="1:53" ht="37.5" customHeight="1" x14ac:dyDescent="0.25">
      <c r="A350" s="53" t="s">
        <v>489</v>
      </c>
      <c r="B350" s="53" t="s">
        <v>490</v>
      </c>
      <c r="C350" s="30">
        <v>4301031254</v>
      </c>
      <c r="D350" s="308">
        <v>4680115883154</v>
      </c>
      <c r="E350" s="309"/>
      <c r="F350" s="301">
        <v>0.28000000000000003</v>
      </c>
      <c r="G350" s="31">
        <v>6</v>
      </c>
      <c r="H350" s="301">
        <v>1.68</v>
      </c>
      <c r="I350" s="301">
        <v>1.81</v>
      </c>
      <c r="J350" s="31">
        <v>234</v>
      </c>
      <c r="K350" s="31" t="s">
        <v>164</v>
      </c>
      <c r="L350" s="32" t="s">
        <v>64</v>
      </c>
      <c r="M350" s="31">
        <v>45</v>
      </c>
      <c r="N350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0"/>
      <c r="P350" s="320"/>
      <c r="Q350" s="320"/>
      <c r="R350" s="309"/>
      <c r="S350" s="33"/>
      <c r="T350" s="33"/>
      <c r="U350" s="34" t="s">
        <v>65</v>
      </c>
      <c r="V350" s="302">
        <v>0</v>
      </c>
      <c r="W350" s="303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customHeight="1" x14ac:dyDescent="0.25">
      <c r="A351" s="53" t="s">
        <v>491</v>
      </c>
      <c r="B351" s="53" t="s">
        <v>492</v>
      </c>
      <c r="C351" s="30">
        <v>4301031171</v>
      </c>
      <c r="D351" s="308">
        <v>4607091389524</v>
      </c>
      <c r="E351" s="309"/>
      <c r="F351" s="301">
        <v>0.35</v>
      </c>
      <c r="G351" s="31">
        <v>6</v>
      </c>
      <c r="H351" s="301">
        <v>2.1</v>
      </c>
      <c r="I351" s="301">
        <v>2.23</v>
      </c>
      <c r="J351" s="31">
        <v>234</v>
      </c>
      <c r="K351" s="31" t="s">
        <v>164</v>
      </c>
      <c r="L351" s="32" t="s">
        <v>64</v>
      </c>
      <c r="M351" s="31">
        <v>45</v>
      </c>
      <c r="N351" s="4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0"/>
      <c r="P351" s="320"/>
      <c r="Q351" s="320"/>
      <c r="R351" s="309"/>
      <c r="S351" s="33"/>
      <c r="T351" s="33"/>
      <c r="U351" s="34" t="s">
        <v>65</v>
      </c>
      <c r="V351" s="302">
        <v>0</v>
      </c>
      <c r="W351" s="303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493</v>
      </c>
      <c r="B352" s="53" t="s">
        <v>494</v>
      </c>
      <c r="C352" s="30">
        <v>4301031258</v>
      </c>
      <c r="D352" s="308">
        <v>4680115883161</v>
      </c>
      <c r="E352" s="309"/>
      <c r="F352" s="301">
        <v>0.28000000000000003</v>
      </c>
      <c r="G352" s="31">
        <v>6</v>
      </c>
      <c r="H352" s="301">
        <v>1.68</v>
      </c>
      <c r="I352" s="301">
        <v>1.81</v>
      </c>
      <c r="J352" s="31">
        <v>234</v>
      </c>
      <c r="K352" s="31" t="s">
        <v>164</v>
      </c>
      <c r="L352" s="32" t="s">
        <v>64</v>
      </c>
      <c r="M352" s="31">
        <v>45</v>
      </c>
      <c r="N352" s="5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0"/>
      <c r="P352" s="320"/>
      <c r="Q352" s="320"/>
      <c r="R352" s="309"/>
      <c r="S352" s="33"/>
      <c r="T352" s="33"/>
      <c r="U352" s="34" t="s">
        <v>65</v>
      </c>
      <c r="V352" s="302">
        <v>0</v>
      </c>
      <c r="W352" s="303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495</v>
      </c>
      <c r="B353" s="53" t="s">
        <v>496</v>
      </c>
      <c r="C353" s="30">
        <v>4301031170</v>
      </c>
      <c r="D353" s="308">
        <v>4607091384345</v>
      </c>
      <c r="E353" s="309"/>
      <c r="F353" s="301">
        <v>0.35</v>
      </c>
      <c r="G353" s="31">
        <v>6</v>
      </c>
      <c r="H353" s="301">
        <v>2.1</v>
      </c>
      <c r="I353" s="301">
        <v>2.23</v>
      </c>
      <c r="J353" s="31">
        <v>234</v>
      </c>
      <c r="K353" s="31" t="s">
        <v>164</v>
      </c>
      <c r="L353" s="32" t="s">
        <v>64</v>
      </c>
      <c r="M353" s="31">
        <v>45</v>
      </c>
      <c r="N353" s="4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0"/>
      <c r="P353" s="320"/>
      <c r="Q353" s="320"/>
      <c r="R353" s="309"/>
      <c r="S353" s="33"/>
      <c r="T353" s="33"/>
      <c r="U353" s="34" t="s">
        <v>65</v>
      </c>
      <c r="V353" s="302">
        <v>0</v>
      </c>
      <c r="W353" s="303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497</v>
      </c>
      <c r="B354" s="53" t="s">
        <v>498</v>
      </c>
      <c r="C354" s="30">
        <v>4301031256</v>
      </c>
      <c r="D354" s="308">
        <v>4680115883178</v>
      </c>
      <c r="E354" s="309"/>
      <c r="F354" s="301">
        <v>0.28000000000000003</v>
      </c>
      <c r="G354" s="31">
        <v>6</v>
      </c>
      <c r="H354" s="301">
        <v>1.68</v>
      </c>
      <c r="I354" s="301">
        <v>1.81</v>
      </c>
      <c r="J354" s="31">
        <v>234</v>
      </c>
      <c r="K354" s="31" t="s">
        <v>164</v>
      </c>
      <c r="L354" s="32" t="s">
        <v>64</v>
      </c>
      <c r="M354" s="31">
        <v>45</v>
      </c>
      <c r="N354" s="39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0"/>
      <c r="P354" s="320"/>
      <c r="Q354" s="320"/>
      <c r="R354" s="309"/>
      <c r="S354" s="33"/>
      <c r="T354" s="33"/>
      <c r="U354" s="34" t="s">
        <v>65</v>
      </c>
      <c r="V354" s="302">
        <v>0</v>
      </c>
      <c r="W354" s="303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499</v>
      </c>
      <c r="B355" s="53" t="s">
        <v>500</v>
      </c>
      <c r="C355" s="30">
        <v>4301031172</v>
      </c>
      <c r="D355" s="308">
        <v>4607091389531</v>
      </c>
      <c r="E355" s="309"/>
      <c r="F355" s="301">
        <v>0.35</v>
      </c>
      <c r="G355" s="31">
        <v>6</v>
      </c>
      <c r="H355" s="301">
        <v>2.1</v>
      </c>
      <c r="I355" s="301">
        <v>2.23</v>
      </c>
      <c r="J355" s="31">
        <v>234</v>
      </c>
      <c r="K355" s="31" t="s">
        <v>164</v>
      </c>
      <c r="L355" s="32" t="s">
        <v>64</v>
      </c>
      <c r="M355" s="31">
        <v>45</v>
      </c>
      <c r="N355" s="5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0"/>
      <c r="P355" s="320"/>
      <c r="Q355" s="320"/>
      <c r="R355" s="309"/>
      <c r="S355" s="33"/>
      <c r="T355" s="33"/>
      <c r="U355" s="34" t="s">
        <v>65</v>
      </c>
      <c r="V355" s="302">
        <v>0</v>
      </c>
      <c r="W355" s="303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501</v>
      </c>
      <c r="B356" s="53" t="s">
        <v>502</v>
      </c>
      <c r="C356" s="30">
        <v>4301031255</v>
      </c>
      <c r="D356" s="308">
        <v>4680115883185</v>
      </c>
      <c r="E356" s="309"/>
      <c r="F356" s="301">
        <v>0.28000000000000003</v>
      </c>
      <c r="G356" s="31">
        <v>6</v>
      </c>
      <c r="H356" s="301">
        <v>1.68</v>
      </c>
      <c r="I356" s="301">
        <v>1.81</v>
      </c>
      <c r="J356" s="31">
        <v>234</v>
      </c>
      <c r="K356" s="31" t="s">
        <v>164</v>
      </c>
      <c r="L356" s="32" t="s">
        <v>64</v>
      </c>
      <c r="M356" s="31">
        <v>45</v>
      </c>
      <c r="N356" s="401" t="s">
        <v>503</v>
      </c>
      <c r="O356" s="320"/>
      <c r="P356" s="320"/>
      <c r="Q356" s="320"/>
      <c r="R356" s="309"/>
      <c r="S356" s="33"/>
      <c r="T356" s="33"/>
      <c r="U356" s="34" t="s">
        <v>65</v>
      </c>
      <c r="V356" s="302">
        <v>0</v>
      </c>
      <c r="W356" s="303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x14ac:dyDescent="0.2">
      <c r="A357" s="334"/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35"/>
      <c r="N357" s="321" t="s">
        <v>66</v>
      </c>
      <c r="O357" s="322"/>
      <c r="P357" s="322"/>
      <c r="Q357" s="322"/>
      <c r="R357" s="322"/>
      <c r="S357" s="322"/>
      <c r="T357" s="323"/>
      <c r="U357" s="36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59.857142857142861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61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0.41666000000000003</v>
      </c>
      <c r="Y357" s="305"/>
      <c r="Z357" s="305"/>
    </row>
    <row r="358" spans="1:53" x14ac:dyDescent="0.2">
      <c r="A358" s="318"/>
      <c r="B358" s="318"/>
      <c r="C358" s="318"/>
      <c r="D358" s="318"/>
      <c r="E358" s="318"/>
      <c r="F358" s="318"/>
      <c r="G358" s="318"/>
      <c r="H358" s="318"/>
      <c r="I358" s="318"/>
      <c r="J358" s="318"/>
      <c r="K358" s="318"/>
      <c r="L358" s="318"/>
      <c r="M358" s="335"/>
      <c r="N358" s="321" t="s">
        <v>66</v>
      </c>
      <c r="O358" s="322"/>
      <c r="P358" s="322"/>
      <c r="Q358" s="322"/>
      <c r="R358" s="322"/>
      <c r="S358" s="322"/>
      <c r="T358" s="323"/>
      <c r="U358" s="36" t="s">
        <v>65</v>
      </c>
      <c r="V358" s="304">
        <f>IFERROR(SUM(V344:V356),"0")</f>
        <v>215.7</v>
      </c>
      <c r="W358" s="304">
        <f>IFERROR(SUM(W344:W356),"0")</f>
        <v>220.5</v>
      </c>
      <c r="X358" s="36"/>
      <c r="Y358" s="305"/>
      <c r="Z358" s="305"/>
    </row>
    <row r="359" spans="1:53" ht="14.25" customHeight="1" x14ac:dyDescent="0.25">
      <c r="A359" s="330" t="s">
        <v>68</v>
      </c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  <c r="L359" s="318"/>
      <c r="M359" s="318"/>
      <c r="N359" s="318"/>
      <c r="O359" s="318"/>
      <c r="P359" s="318"/>
      <c r="Q359" s="318"/>
      <c r="R359" s="318"/>
      <c r="S359" s="318"/>
      <c r="T359" s="318"/>
      <c r="U359" s="318"/>
      <c r="V359" s="318"/>
      <c r="W359" s="318"/>
      <c r="X359" s="318"/>
      <c r="Y359" s="295"/>
      <c r="Z359" s="295"/>
    </row>
    <row r="360" spans="1:53" ht="27" customHeight="1" x14ac:dyDescent="0.25">
      <c r="A360" s="53" t="s">
        <v>504</v>
      </c>
      <c r="B360" s="53" t="s">
        <v>505</v>
      </c>
      <c r="C360" s="30">
        <v>4301051258</v>
      </c>
      <c r="D360" s="308">
        <v>4607091389685</v>
      </c>
      <c r="E360" s="309"/>
      <c r="F360" s="301">
        <v>1.3</v>
      </c>
      <c r="G360" s="31">
        <v>6</v>
      </c>
      <c r="H360" s="301">
        <v>7.8</v>
      </c>
      <c r="I360" s="301">
        <v>8.3460000000000001</v>
      </c>
      <c r="J360" s="31">
        <v>56</v>
      </c>
      <c r="K360" s="31" t="s">
        <v>98</v>
      </c>
      <c r="L360" s="32" t="s">
        <v>132</v>
      </c>
      <c r="M360" s="31">
        <v>45</v>
      </c>
      <c r="N360" s="5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0"/>
      <c r="P360" s="320"/>
      <c r="Q360" s="320"/>
      <c r="R360" s="309"/>
      <c r="S360" s="33"/>
      <c r="T360" s="33"/>
      <c r="U360" s="34" t="s">
        <v>65</v>
      </c>
      <c r="V360" s="302">
        <v>0</v>
      </c>
      <c r="W360" s="303">
        <f>IFERROR(IF(V360="",0,CEILING((V360/$H360),1)*$H360),"")</f>
        <v>0</v>
      </c>
      <c r="X360" s="35" t="str">
        <f>IFERROR(IF(W360=0,"",ROUNDUP(W360/H360,0)*0.02175),"")</f>
        <v/>
      </c>
      <c r="Y360" s="55"/>
      <c r="Z360" s="56"/>
      <c r="AD360" s="57"/>
      <c r="BA360" s="250" t="s">
        <v>1</v>
      </c>
    </row>
    <row r="361" spans="1:53" ht="27" customHeight="1" x14ac:dyDescent="0.25">
      <c r="A361" s="53" t="s">
        <v>506</v>
      </c>
      <c r="B361" s="53" t="s">
        <v>507</v>
      </c>
      <c r="C361" s="30">
        <v>4301051431</v>
      </c>
      <c r="D361" s="308">
        <v>4607091389654</v>
      </c>
      <c r="E361" s="309"/>
      <c r="F361" s="301">
        <v>0.33</v>
      </c>
      <c r="G361" s="31">
        <v>6</v>
      </c>
      <c r="H361" s="301">
        <v>1.98</v>
      </c>
      <c r="I361" s="301">
        <v>2.258</v>
      </c>
      <c r="J361" s="31">
        <v>156</v>
      </c>
      <c r="K361" s="31" t="s">
        <v>63</v>
      </c>
      <c r="L361" s="32" t="s">
        <v>132</v>
      </c>
      <c r="M361" s="31">
        <v>45</v>
      </c>
      <c r="N361" s="4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0"/>
      <c r="P361" s="320"/>
      <c r="Q361" s="320"/>
      <c r="R361" s="309"/>
      <c r="S361" s="33"/>
      <c r="T361" s="33"/>
      <c r="U361" s="34" t="s">
        <v>65</v>
      </c>
      <c r="V361" s="302">
        <v>0</v>
      </c>
      <c r="W361" s="303">
        <f>IFERROR(IF(V361="",0,CEILING((V361/$H361),1)*$H361),"")</f>
        <v>0</v>
      </c>
      <c r="X361" s="35" t="str">
        <f>IFERROR(IF(W361=0,"",ROUNDUP(W361/H361,0)*0.00753),"")</f>
        <v/>
      </c>
      <c r="Y361" s="55"/>
      <c r="Z361" s="56"/>
      <c r="AD361" s="57"/>
      <c r="BA361" s="251" t="s">
        <v>1</v>
      </c>
    </row>
    <row r="362" spans="1:53" ht="27" customHeight="1" x14ac:dyDescent="0.25">
      <c r="A362" s="53" t="s">
        <v>508</v>
      </c>
      <c r="B362" s="53" t="s">
        <v>509</v>
      </c>
      <c r="C362" s="30">
        <v>4301051284</v>
      </c>
      <c r="D362" s="308">
        <v>4607091384352</v>
      </c>
      <c r="E362" s="309"/>
      <c r="F362" s="301">
        <v>0.6</v>
      </c>
      <c r="G362" s="31">
        <v>4</v>
      </c>
      <c r="H362" s="301">
        <v>2.4</v>
      </c>
      <c r="I362" s="301">
        <v>2.6459999999999999</v>
      </c>
      <c r="J362" s="31">
        <v>120</v>
      </c>
      <c r="K362" s="31" t="s">
        <v>63</v>
      </c>
      <c r="L362" s="32" t="s">
        <v>132</v>
      </c>
      <c r="M362" s="31">
        <v>45</v>
      </c>
      <c r="N362" s="5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0"/>
      <c r="P362" s="320"/>
      <c r="Q362" s="320"/>
      <c r="R362" s="309"/>
      <c r="S362" s="33"/>
      <c r="T362" s="33"/>
      <c r="U362" s="34" t="s">
        <v>65</v>
      </c>
      <c r="V362" s="302">
        <v>0</v>
      </c>
      <c r="W362" s="303">
        <f>IFERROR(IF(V362="",0,CEILING((V362/$H362),1)*$H362),"")</f>
        <v>0</v>
      </c>
      <c r="X362" s="35" t="str">
        <f>IFERROR(IF(W362=0,"",ROUNDUP(W362/H362,0)*0.00937),"")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510</v>
      </c>
      <c r="B363" s="53" t="s">
        <v>511</v>
      </c>
      <c r="C363" s="30">
        <v>4301051257</v>
      </c>
      <c r="D363" s="308">
        <v>4607091389661</v>
      </c>
      <c r="E363" s="309"/>
      <c r="F363" s="301">
        <v>0.55000000000000004</v>
      </c>
      <c r="G363" s="31">
        <v>4</v>
      </c>
      <c r="H363" s="301">
        <v>2.2000000000000002</v>
      </c>
      <c r="I363" s="301">
        <v>2.492</v>
      </c>
      <c r="J363" s="31">
        <v>120</v>
      </c>
      <c r="K363" s="31" t="s">
        <v>63</v>
      </c>
      <c r="L363" s="32" t="s">
        <v>132</v>
      </c>
      <c r="M363" s="31">
        <v>45</v>
      </c>
      <c r="N363" s="5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0"/>
      <c r="P363" s="320"/>
      <c r="Q363" s="320"/>
      <c r="R363" s="309"/>
      <c r="S363" s="33"/>
      <c r="T363" s="33"/>
      <c r="U363" s="34" t="s">
        <v>65</v>
      </c>
      <c r="V363" s="302">
        <v>0</v>
      </c>
      <c r="W363" s="303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x14ac:dyDescent="0.2">
      <c r="A364" s="334"/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35"/>
      <c r="N364" s="321" t="s">
        <v>66</v>
      </c>
      <c r="O364" s="322"/>
      <c r="P364" s="322"/>
      <c r="Q364" s="322"/>
      <c r="R364" s="322"/>
      <c r="S364" s="322"/>
      <c r="T364" s="323"/>
      <c r="U364" s="36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8"/>
      <c r="B365" s="318"/>
      <c r="C365" s="318"/>
      <c r="D365" s="318"/>
      <c r="E365" s="318"/>
      <c r="F365" s="318"/>
      <c r="G365" s="318"/>
      <c r="H365" s="318"/>
      <c r="I365" s="318"/>
      <c r="J365" s="318"/>
      <c r="K365" s="318"/>
      <c r="L365" s="318"/>
      <c r="M365" s="335"/>
      <c r="N365" s="321" t="s">
        <v>66</v>
      </c>
      <c r="O365" s="322"/>
      <c r="P365" s="322"/>
      <c r="Q365" s="322"/>
      <c r="R365" s="322"/>
      <c r="S365" s="322"/>
      <c r="T365" s="323"/>
      <c r="U365" s="36" t="s">
        <v>65</v>
      </c>
      <c r="V365" s="304">
        <f>IFERROR(SUM(V360:V363),"0")</f>
        <v>0</v>
      </c>
      <c r="W365" s="304">
        <f>IFERROR(SUM(W360:W363),"0")</f>
        <v>0</v>
      </c>
      <c r="X365" s="36"/>
      <c r="Y365" s="305"/>
      <c r="Z365" s="305"/>
    </row>
    <row r="366" spans="1:53" ht="14.25" customHeight="1" x14ac:dyDescent="0.25">
      <c r="A366" s="330" t="s">
        <v>213</v>
      </c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18"/>
      <c r="N366" s="318"/>
      <c r="O366" s="318"/>
      <c r="P366" s="318"/>
      <c r="Q366" s="318"/>
      <c r="R366" s="318"/>
      <c r="S366" s="318"/>
      <c r="T366" s="318"/>
      <c r="U366" s="318"/>
      <c r="V366" s="318"/>
      <c r="W366" s="318"/>
      <c r="X366" s="318"/>
      <c r="Y366" s="295"/>
      <c r="Z366" s="295"/>
    </row>
    <row r="367" spans="1:53" ht="27" customHeight="1" x14ac:dyDescent="0.25">
      <c r="A367" s="53" t="s">
        <v>512</v>
      </c>
      <c r="B367" s="53" t="s">
        <v>513</v>
      </c>
      <c r="C367" s="30">
        <v>4301060352</v>
      </c>
      <c r="D367" s="308">
        <v>4680115881648</v>
      </c>
      <c r="E367" s="309"/>
      <c r="F367" s="301">
        <v>1</v>
      </c>
      <c r="G367" s="31">
        <v>4</v>
      </c>
      <c r="H367" s="301">
        <v>4</v>
      </c>
      <c r="I367" s="301">
        <v>4.4039999999999999</v>
      </c>
      <c r="J367" s="31">
        <v>104</v>
      </c>
      <c r="K367" s="31" t="s">
        <v>98</v>
      </c>
      <c r="L367" s="32" t="s">
        <v>64</v>
      </c>
      <c r="M367" s="31">
        <v>35</v>
      </c>
      <c r="N367" s="3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0"/>
      <c r="P367" s="320"/>
      <c r="Q367" s="320"/>
      <c r="R367" s="309"/>
      <c r="S367" s="33"/>
      <c r="T367" s="33"/>
      <c r="U367" s="34" t="s">
        <v>65</v>
      </c>
      <c r="V367" s="302">
        <v>0</v>
      </c>
      <c r="W367" s="303">
        <f>IFERROR(IF(V367="",0,CEILING((V367/$H367),1)*$H367),"")</f>
        <v>0</v>
      </c>
      <c r="X367" s="35" t="str">
        <f>IFERROR(IF(W367=0,"",ROUNDUP(W367/H367,0)*0.01196),"")</f>
        <v/>
      </c>
      <c r="Y367" s="55"/>
      <c r="Z367" s="56"/>
      <c r="AD367" s="57"/>
      <c r="BA367" s="254" t="s">
        <v>1</v>
      </c>
    </row>
    <row r="368" spans="1:53" x14ac:dyDescent="0.2">
      <c r="A368" s="334"/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35"/>
      <c r="N368" s="321" t="s">
        <v>66</v>
      </c>
      <c r="O368" s="322"/>
      <c r="P368" s="322"/>
      <c r="Q368" s="322"/>
      <c r="R368" s="322"/>
      <c r="S368" s="322"/>
      <c r="T368" s="323"/>
      <c r="U368" s="36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8"/>
      <c r="B369" s="318"/>
      <c r="C369" s="318"/>
      <c r="D369" s="318"/>
      <c r="E369" s="318"/>
      <c r="F369" s="318"/>
      <c r="G369" s="318"/>
      <c r="H369" s="318"/>
      <c r="I369" s="318"/>
      <c r="J369" s="318"/>
      <c r="K369" s="318"/>
      <c r="L369" s="318"/>
      <c r="M369" s="335"/>
      <c r="N369" s="321" t="s">
        <v>66</v>
      </c>
      <c r="O369" s="322"/>
      <c r="P369" s="322"/>
      <c r="Q369" s="322"/>
      <c r="R369" s="322"/>
      <c r="S369" s="322"/>
      <c r="T369" s="323"/>
      <c r="U369" s="36" t="s">
        <v>65</v>
      </c>
      <c r="V369" s="304">
        <f>IFERROR(SUM(V367:V367),"0")</f>
        <v>0</v>
      </c>
      <c r="W369" s="304">
        <f>IFERROR(SUM(W367:W367),"0")</f>
        <v>0</v>
      </c>
      <c r="X369" s="36"/>
      <c r="Y369" s="305"/>
      <c r="Z369" s="305"/>
    </row>
    <row r="370" spans="1:53" ht="14.25" customHeight="1" x14ac:dyDescent="0.25">
      <c r="A370" s="330" t="s">
        <v>90</v>
      </c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18"/>
      <c r="N370" s="318"/>
      <c r="O370" s="318"/>
      <c r="P370" s="318"/>
      <c r="Q370" s="318"/>
      <c r="R370" s="318"/>
      <c r="S370" s="318"/>
      <c r="T370" s="318"/>
      <c r="U370" s="318"/>
      <c r="V370" s="318"/>
      <c r="W370" s="318"/>
      <c r="X370" s="318"/>
      <c r="Y370" s="295"/>
      <c r="Z370" s="295"/>
    </row>
    <row r="371" spans="1:53" ht="27" customHeight="1" x14ac:dyDescent="0.25">
      <c r="A371" s="53" t="s">
        <v>514</v>
      </c>
      <c r="B371" s="53" t="s">
        <v>515</v>
      </c>
      <c r="C371" s="30">
        <v>4301170009</v>
      </c>
      <c r="D371" s="308">
        <v>4680115882997</v>
      </c>
      <c r="E371" s="309"/>
      <c r="F371" s="301">
        <v>0.13</v>
      </c>
      <c r="G371" s="31">
        <v>10</v>
      </c>
      <c r="H371" s="301">
        <v>1.3</v>
      </c>
      <c r="I371" s="301">
        <v>1.46</v>
      </c>
      <c r="J371" s="31">
        <v>200</v>
      </c>
      <c r="K371" s="31" t="s">
        <v>516</v>
      </c>
      <c r="L371" s="32" t="s">
        <v>517</v>
      </c>
      <c r="M371" s="31">
        <v>150</v>
      </c>
      <c r="N371" s="517" t="s">
        <v>518</v>
      </c>
      <c r="O371" s="320"/>
      <c r="P371" s="320"/>
      <c r="Q371" s="320"/>
      <c r="R371" s="309"/>
      <c r="S371" s="33"/>
      <c r="T371" s="33"/>
      <c r="U371" s="34" t="s">
        <v>65</v>
      </c>
      <c r="V371" s="302">
        <v>0</v>
      </c>
      <c r="W371" s="303">
        <f>IFERROR(IF(V371="",0,CEILING((V371/$H371),1)*$H371),"")</f>
        <v>0</v>
      </c>
      <c r="X371" s="35" t="str">
        <f>IFERROR(IF(W371=0,"",ROUNDUP(W371/H371,0)*0.00673),"")</f>
        <v/>
      </c>
      <c r="Y371" s="55"/>
      <c r="Z371" s="56"/>
      <c r="AD371" s="57"/>
      <c r="BA371" s="255" t="s">
        <v>1</v>
      </c>
    </row>
    <row r="372" spans="1:53" x14ac:dyDescent="0.2">
      <c r="A372" s="334"/>
      <c r="B372" s="318"/>
      <c r="C372" s="318"/>
      <c r="D372" s="318"/>
      <c r="E372" s="318"/>
      <c r="F372" s="318"/>
      <c r="G372" s="318"/>
      <c r="H372" s="318"/>
      <c r="I372" s="318"/>
      <c r="J372" s="318"/>
      <c r="K372" s="318"/>
      <c r="L372" s="318"/>
      <c r="M372" s="335"/>
      <c r="N372" s="321" t="s">
        <v>66</v>
      </c>
      <c r="O372" s="322"/>
      <c r="P372" s="322"/>
      <c r="Q372" s="322"/>
      <c r="R372" s="322"/>
      <c r="S372" s="322"/>
      <c r="T372" s="323"/>
      <c r="U372" s="36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8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35"/>
      <c r="N373" s="321" t="s">
        <v>66</v>
      </c>
      <c r="O373" s="322"/>
      <c r="P373" s="322"/>
      <c r="Q373" s="322"/>
      <c r="R373" s="322"/>
      <c r="S373" s="322"/>
      <c r="T373" s="323"/>
      <c r="U373" s="36" t="s">
        <v>65</v>
      </c>
      <c r="V373" s="304">
        <f>IFERROR(SUM(V371:V371),"0")</f>
        <v>0</v>
      </c>
      <c r="W373" s="304">
        <f>IFERROR(SUM(W371:W371),"0")</f>
        <v>0</v>
      </c>
      <c r="X373" s="36"/>
      <c r="Y373" s="305"/>
      <c r="Z373" s="305"/>
    </row>
    <row r="374" spans="1:53" ht="16.5" customHeight="1" x14ac:dyDescent="0.25">
      <c r="A374" s="317" t="s">
        <v>519</v>
      </c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18"/>
      <c r="N374" s="318"/>
      <c r="O374" s="318"/>
      <c r="P374" s="318"/>
      <c r="Q374" s="318"/>
      <c r="R374" s="318"/>
      <c r="S374" s="318"/>
      <c r="T374" s="318"/>
      <c r="U374" s="318"/>
      <c r="V374" s="318"/>
      <c r="W374" s="318"/>
      <c r="X374" s="318"/>
      <c r="Y374" s="298"/>
      <c r="Z374" s="298"/>
    </row>
    <row r="375" spans="1:53" ht="14.25" customHeight="1" x14ac:dyDescent="0.25">
      <c r="A375" s="330" t="s">
        <v>95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295"/>
      <c r="Z375" s="295"/>
    </row>
    <row r="376" spans="1:53" ht="27" customHeight="1" x14ac:dyDescent="0.25">
      <c r="A376" s="53" t="s">
        <v>520</v>
      </c>
      <c r="B376" s="53" t="s">
        <v>521</v>
      </c>
      <c r="C376" s="30">
        <v>4301020196</v>
      </c>
      <c r="D376" s="308">
        <v>4607091389388</v>
      </c>
      <c r="E376" s="309"/>
      <c r="F376" s="301">
        <v>1.3</v>
      </c>
      <c r="G376" s="31">
        <v>4</v>
      </c>
      <c r="H376" s="301">
        <v>5.2</v>
      </c>
      <c r="I376" s="301">
        <v>5.6079999999999997</v>
      </c>
      <c r="J376" s="31">
        <v>104</v>
      </c>
      <c r="K376" s="31" t="s">
        <v>98</v>
      </c>
      <c r="L376" s="32" t="s">
        <v>132</v>
      </c>
      <c r="M376" s="31">
        <v>35</v>
      </c>
      <c r="N376" s="53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20"/>
      <c r="P376" s="320"/>
      <c r="Q376" s="320"/>
      <c r="R376" s="309"/>
      <c r="S376" s="33"/>
      <c r="T376" s="33"/>
      <c r="U376" s="34" t="s">
        <v>65</v>
      </c>
      <c r="V376" s="302">
        <v>0</v>
      </c>
      <c r="W376" s="303">
        <f>IFERROR(IF(V376="",0,CEILING((V376/$H376),1)*$H376),"")</f>
        <v>0</v>
      </c>
      <c r="X376" s="35" t="str">
        <f>IFERROR(IF(W376=0,"",ROUNDUP(W376/H376,0)*0.01196),"")</f>
        <v/>
      </c>
      <c r="Y376" s="55"/>
      <c r="Z376" s="56"/>
      <c r="AD376" s="57"/>
      <c r="BA376" s="256" t="s">
        <v>1</v>
      </c>
    </row>
    <row r="377" spans="1:53" ht="27" customHeight="1" x14ac:dyDescent="0.25">
      <c r="A377" s="53" t="s">
        <v>522</v>
      </c>
      <c r="B377" s="53" t="s">
        <v>523</v>
      </c>
      <c r="C377" s="30">
        <v>4301020185</v>
      </c>
      <c r="D377" s="308">
        <v>4607091389364</v>
      </c>
      <c r="E377" s="309"/>
      <c r="F377" s="301">
        <v>0.42</v>
      </c>
      <c r="G377" s="31">
        <v>6</v>
      </c>
      <c r="H377" s="301">
        <v>2.52</v>
      </c>
      <c r="I377" s="301">
        <v>2.75</v>
      </c>
      <c r="J377" s="31">
        <v>156</v>
      </c>
      <c r="K377" s="31" t="s">
        <v>63</v>
      </c>
      <c r="L377" s="32" t="s">
        <v>132</v>
      </c>
      <c r="M377" s="31">
        <v>35</v>
      </c>
      <c r="N377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20"/>
      <c r="P377" s="320"/>
      <c r="Q377" s="320"/>
      <c r="R377" s="309"/>
      <c r="S377" s="33"/>
      <c r="T377" s="33"/>
      <c r="U377" s="34" t="s">
        <v>65</v>
      </c>
      <c r="V377" s="302">
        <v>0</v>
      </c>
      <c r="W377" s="303">
        <f>IFERROR(IF(V377="",0,CEILING((V377/$H377),1)*$H377),"")</f>
        <v>0</v>
      </c>
      <c r="X377" s="35" t="str">
        <f>IFERROR(IF(W377=0,"",ROUNDUP(W377/H377,0)*0.00753),"")</f>
        <v/>
      </c>
      <c r="Y377" s="55"/>
      <c r="Z377" s="56"/>
      <c r="AD377" s="57"/>
      <c r="BA377" s="257" t="s">
        <v>1</v>
      </c>
    </row>
    <row r="378" spans="1:53" x14ac:dyDescent="0.2">
      <c r="A378" s="334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35"/>
      <c r="N378" s="321" t="s">
        <v>66</v>
      </c>
      <c r="O378" s="322"/>
      <c r="P378" s="322"/>
      <c r="Q378" s="322"/>
      <c r="R378" s="322"/>
      <c r="S378" s="322"/>
      <c r="T378" s="323"/>
      <c r="U378" s="36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35"/>
      <c r="N379" s="321" t="s">
        <v>66</v>
      </c>
      <c r="O379" s="322"/>
      <c r="P379" s="322"/>
      <c r="Q379" s="322"/>
      <c r="R379" s="322"/>
      <c r="S379" s="322"/>
      <c r="T379" s="323"/>
      <c r="U379" s="36" t="s">
        <v>65</v>
      </c>
      <c r="V379" s="304">
        <f>IFERROR(SUM(V376:V377),"0")</f>
        <v>0</v>
      </c>
      <c r="W379" s="304">
        <f>IFERROR(SUM(W376:W377),"0")</f>
        <v>0</v>
      </c>
      <c r="X379" s="36"/>
      <c r="Y379" s="305"/>
      <c r="Z379" s="305"/>
    </row>
    <row r="380" spans="1:53" ht="14.25" customHeight="1" x14ac:dyDescent="0.25">
      <c r="A380" s="330" t="s">
        <v>60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295"/>
      <c r="Z380" s="295"/>
    </row>
    <row r="381" spans="1:53" ht="27" customHeight="1" x14ac:dyDescent="0.25">
      <c r="A381" s="53" t="s">
        <v>524</v>
      </c>
      <c r="B381" s="53" t="s">
        <v>525</v>
      </c>
      <c r="C381" s="30">
        <v>4301031212</v>
      </c>
      <c r="D381" s="308">
        <v>4607091389739</v>
      </c>
      <c r="E381" s="309"/>
      <c r="F381" s="301">
        <v>0.7</v>
      </c>
      <c r="G381" s="31">
        <v>6</v>
      </c>
      <c r="H381" s="301">
        <v>4.2</v>
      </c>
      <c r="I381" s="301">
        <v>4.43</v>
      </c>
      <c r="J381" s="31">
        <v>156</v>
      </c>
      <c r="K381" s="31" t="s">
        <v>63</v>
      </c>
      <c r="L381" s="32" t="s">
        <v>99</v>
      </c>
      <c r="M381" s="31">
        <v>45</v>
      </c>
      <c r="N381" s="6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20"/>
      <c r="P381" s="320"/>
      <c r="Q381" s="320"/>
      <c r="R381" s="309"/>
      <c r="S381" s="33"/>
      <c r="T381" s="33"/>
      <c r="U381" s="34" t="s">
        <v>65</v>
      </c>
      <c r="V381" s="302">
        <v>100</v>
      </c>
      <c r="W381" s="303">
        <f t="shared" ref="W381:W387" si="17">IFERROR(IF(V381="",0,CEILING((V381/$H381),1)*$H381),"")</f>
        <v>100.80000000000001</v>
      </c>
      <c r="X381" s="35">
        <f>IFERROR(IF(W381=0,"",ROUNDUP(W381/H381,0)*0.00753),"")</f>
        <v>0.18071999999999999</v>
      </c>
      <c r="Y381" s="55"/>
      <c r="Z381" s="56"/>
      <c r="AD381" s="57"/>
      <c r="BA381" s="258" t="s">
        <v>1</v>
      </c>
    </row>
    <row r="382" spans="1:53" ht="27" customHeight="1" x14ac:dyDescent="0.25">
      <c r="A382" s="53" t="s">
        <v>526</v>
      </c>
      <c r="B382" s="53" t="s">
        <v>527</v>
      </c>
      <c r="C382" s="30">
        <v>4301031247</v>
      </c>
      <c r="D382" s="308">
        <v>4680115883048</v>
      </c>
      <c r="E382" s="309"/>
      <c r="F382" s="301">
        <v>1</v>
      </c>
      <c r="G382" s="31">
        <v>4</v>
      </c>
      <c r="H382" s="301">
        <v>4</v>
      </c>
      <c r="I382" s="301">
        <v>4.21</v>
      </c>
      <c r="J382" s="31">
        <v>120</v>
      </c>
      <c r="K382" s="31" t="s">
        <v>63</v>
      </c>
      <c r="L382" s="32" t="s">
        <v>64</v>
      </c>
      <c r="M382" s="31">
        <v>40</v>
      </c>
      <c r="N382" s="4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20"/>
      <c r="P382" s="320"/>
      <c r="Q382" s="320"/>
      <c r="R382" s="309"/>
      <c r="S382" s="33"/>
      <c r="T382" s="33"/>
      <c r="U382" s="34" t="s">
        <v>65</v>
      </c>
      <c r="V382" s="302">
        <v>0</v>
      </c>
      <c r="W382" s="303">
        <f t="shared" si="17"/>
        <v>0</v>
      </c>
      <c r="X382" s="35" t="str">
        <f>IFERROR(IF(W382=0,"",ROUNDUP(W382/H382,0)*0.00937),"")</f>
        <v/>
      </c>
      <c r="Y382" s="55"/>
      <c r="Z382" s="56"/>
      <c r="AD382" s="57"/>
      <c r="BA382" s="259" t="s">
        <v>1</v>
      </c>
    </row>
    <row r="383" spans="1:53" ht="27" customHeight="1" x14ac:dyDescent="0.25">
      <c r="A383" s="53" t="s">
        <v>528</v>
      </c>
      <c r="B383" s="53" t="s">
        <v>529</v>
      </c>
      <c r="C383" s="30">
        <v>4301031176</v>
      </c>
      <c r="D383" s="308">
        <v>4607091389425</v>
      </c>
      <c r="E383" s="309"/>
      <c r="F383" s="301">
        <v>0.35</v>
      </c>
      <c r="G383" s="31">
        <v>6</v>
      </c>
      <c r="H383" s="301">
        <v>2.1</v>
      </c>
      <c r="I383" s="301">
        <v>2.23</v>
      </c>
      <c r="J383" s="31">
        <v>234</v>
      </c>
      <c r="K383" s="31" t="s">
        <v>164</v>
      </c>
      <c r="L383" s="32" t="s">
        <v>64</v>
      </c>
      <c r="M383" s="31">
        <v>45</v>
      </c>
      <c r="N383" s="53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20"/>
      <c r="P383" s="320"/>
      <c r="Q383" s="320"/>
      <c r="R383" s="309"/>
      <c r="S383" s="33"/>
      <c r="T383" s="33"/>
      <c r="U383" s="34" t="s">
        <v>65</v>
      </c>
      <c r="V383" s="302">
        <v>56</v>
      </c>
      <c r="W383" s="303">
        <f t="shared" si="17"/>
        <v>56.7</v>
      </c>
      <c r="X383" s="35">
        <f>IFERROR(IF(W383=0,"",ROUNDUP(W383/H383,0)*0.00502),"")</f>
        <v>0.13553999999999999</v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530</v>
      </c>
      <c r="B384" s="53" t="s">
        <v>531</v>
      </c>
      <c r="C384" s="30">
        <v>4301031215</v>
      </c>
      <c r="D384" s="308">
        <v>4680115882911</v>
      </c>
      <c r="E384" s="309"/>
      <c r="F384" s="301">
        <v>0.4</v>
      </c>
      <c r="G384" s="31">
        <v>6</v>
      </c>
      <c r="H384" s="301">
        <v>2.4</v>
      </c>
      <c r="I384" s="301">
        <v>2.5299999999999998</v>
      </c>
      <c r="J384" s="31">
        <v>234</v>
      </c>
      <c r="K384" s="31" t="s">
        <v>164</v>
      </c>
      <c r="L384" s="32" t="s">
        <v>64</v>
      </c>
      <c r="M384" s="31">
        <v>40</v>
      </c>
      <c r="N384" s="538" t="s">
        <v>532</v>
      </c>
      <c r="O384" s="320"/>
      <c r="P384" s="320"/>
      <c r="Q384" s="320"/>
      <c r="R384" s="309"/>
      <c r="S384" s="33"/>
      <c r="T384" s="33"/>
      <c r="U384" s="34" t="s">
        <v>65</v>
      </c>
      <c r="V384" s="302">
        <v>0</v>
      </c>
      <c r="W384" s="303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533</v>
      </c>
      <c r="B385" s="53" t="s">
        <v>534</v>
      </c>
      <c r="C385" s="30">
        <v>4301031167</v>
      </c>
      <c r="D385" s="308">
        <v>4680115880771</v>
      </c>
      <c r="E385" s="309"/>
      <c r="F385" s="301">
        <v>0.28000000000000003</v>
      </c>
      <c r="G385" s="31">
        <v>6</v>
      </c>
      <c r="H385" s="301">
        <v>1.68</v>
      </c>
      <c r="I385" s="301">
        <v>1.81</v>
      </c>
      <c r="J385" s="31">
        <v>234</v>
      </c>
      <c r="K385" s="31" t="s">
        <v>164</v>
      </c>
      <c r="L385" s="32" t="s">
        <v>64</v>
      </c>
      <c r="M385" s="31">
        <v>45</v>
      </c>
      <c r="N385" s="3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20"/>
      <c r="P385" s="320"/>
      <c r="Q385" s="320"/>
      <c r="R385" s="309"/>
      <c r="S385" s="33"/>
      <c r="T385" s="33"/>
      <c r="U385" s="34" t="s">
        <v>65</v>
      </c>
      <c r="V385" s="302">
        <v>0</v>
      </c>
      <c r="W385" s="303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535</v>
      </c>
      <c r="B386" s="53" t="s">
        <v>536</v>
      </c>
      <c r="C386" s="30">
        <v>4301031173</v>
      </c>
      <c r="D386" s="308">
        <v>4607091389500</v>
      </c>
      <c r="E386" s="309"/>
      <c r="F386" s="301">
        <v>0.35</v>
      </c>
      <c r="G386" s="31">
        <v>6</v>
      </c>
      <c r="H386" s="301">
        <v>2.1</v>
      </c>
      <c r="I386" s="301">
        <v>2.23</v>
      </c>
      <c r="J386" s="31">
        <v>234</v>
      </c>
      <c r="K386" s="31" t="s">
        <v>164</v>
      </c>
      <c r="L386" s="32" t="s">
        <v>64</v>
      </c>
      <c r="M386" s="31">
        <v>45</v>
      </c>
      <c r="N386" s="62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20"/>
      <c r="P386" s="320"/>
      <c r="Q386" s="320"/>
      <c r="R386" s="309"/>
      <c r="S386" s="33"/>
      <c r="T386" s="33"/>
      <c r="U386" s="34" t="s">
        <v>65</v>
      </c>
      <c r="V386" s="302">
        <v>35.700000000000003</v>
      </c>
      <c r="W386" s="303">
        <f t="shared" si="17"/>
        <v>35.700000000000003</v>
      </c>
      <c r="X386" s="35">
        <f>IFERROR(IF(W386=0,"",ROUNDUP(W386/H386,0)*0.00502),"")</f>
        <v>8.5339999999999999E-2</v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537</v>
      </c>
      <c r="B387" s="53" t="s">
        <v>538</v>
      </c>
      <c r="C387" s="30">
        <v>4301031103</v>
      </c>
      <c r="D387" s="308">
        <v>4680115881983</v>
      </c>
      <c r="E387" s="309"/>
      <c r="F387" s="301">
        <v>0.28000000000000003</v>
      </c>
      <c r="G387" s="31">
        <v>4</v>
      </c>
      <c r="H387" s="301">
        <v>1.1200000000000001</v>
      </c>
      <c r="I387" s="301">
        <v>1.252</v>
      </c>
      <c r="J387" s="31">
        <v>234</v>
      </c>
      <c r="K387" s="31" t="s">
        <v>164</v>
      </c>
      <c r="L387" s="32" t="s">
        <v>64</v>
      </c>
      <c r="M387" s="31">
        <v>40</v>
      </c>
      <c r="N387" s="4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20"/>
      <c r="P387" s="320"/>
      <c r="Q387" s="320"/>
      <c r="R387" s="309"/>
      <c r="S387" s="33"/>
      <c r="T387" s="33"/>
      <c r="U387" s="34" t="s">
        <v>65</v>
      </c>
      <c r="V387" s="302">
        <v>0</v>
      </c>
      <c r="W387" s="303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x14ac:dyDescent="0.2">
      <c r="A388" s="334"/>
      <c r="B388" s="318"/>
      <c r="C388" s="318"/>
      <c r="D388" s="318"/>
      <c r="E388" s="318"/>
      <c r="F388" s="318"/>
      <c r="G388" s="318"/>
      <c r="H388" s="318"/>
      <c r="I388" s="318"/>
      <c r="J388" s="318"/>
      <c r="K388" s="318"/>
      <c r="L388" s="318"/>
      <c r="M388" s="335"/>
      <c r="N388" s="321" t="s">
        <v>66</v>
      </c>
      <c r="O388" s="322"/>
      <c r="P388" s="322"/>
      <c r="Q388" s="322"/>
      <c r="R388" s="322"/>
      <c r="S388" s="322"/>
      <c r="T388" s="323"/>
      <c r="U388" s="36" t="s">
        <v>67</v>
      </c>
      <c r="V388" s="304">
        <f>IFERROR(V381/H381,"0")+IFERROR(V382/H382,"0")+IFERROR(V383/H383,"0")+IFERROR(V384/H384,"0")+IFERROR(V385/H385,"0")+IFERROR(V386/H386,"0")+IFERROR(V387/H387,"0")</f>
        <v>67.476190476190482</v>
      </c>
      <c r="W388" s="304">
        <f>IFERROR(W381/H381,"0")+IFERROR(W382/H382,"0")+IFERROR(W383/H383,"0")+IFERROR(W384/H384,"0")+IFERROR(W385/H385,"0")+IFERROR(W386/H386,"0")+IFERROR(W387/H387,"0")</f>
        <v>68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0.40159999999999996</v>
      </c>
      <c r="Y388" s="305"/>
      <c r="Z388" s="305"/>
    </row>
    <row r="389" spans="1:53" x14ac:dyDescent="0.2">
      <c r="A389" s="318"/>
      <c r="B389" s="318"/>
      <c r="C389" s="318"/>
      <c r="D389" s="318"/>
      <c r="E389" s="318"/>
      <c r="F389" s="318"/>
      <c r="G389" s="318"/>
      <c r="H389" s="318"/>
      <c r="I389" s="318"/>
      <c r="J389" s="318"/>
      <c r="K389" s="318"/>
      <c r="L389" s="318"/>
      <c r="M389" s="335"/>
      <c r="N389" s="321" t="s">
        <v>66</v>
      </c>
      <c r="O389" s="322"/>
      <c r="P389" s="322"/>
      <c r="Q389" s="322"/>
      <c r="R389" s="322"/>
      <c r="S389" s="322"/>
      <c r="T389" s="323"/>
      <c r="U389" s="36" t="s">
        <v>65</v>
      </c>
      <c r="V389" s="304">
        <f>IFERROR(SUM(V381:V387),"0")</f>
        <v>191.7</v>
      </c>
      <c r="W389" s="304">
        <f>IFERROR(SUM(W381:W387),"0")</f>
        <v>193.2</v>
      </c>
      <c r="X389" s="36"/>
      <c r="Y389" s="305"/>
      <c r="Z389" s="305"/>
    </row>
    <row r="390" spans="1:53" ht="14.25" customHeight="1" x14ac:dyDescent="0.25">
      <c r="A390" s="330" t="s">
        <v>90</v>
      </c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8"/>
      <c r="M390" s="318"/>
      <c r="N390" s="318"/>
      <c r="O390" s="318"/>
      <c r="P390" s="318"/>
      <c r="Q390" s="318"/>
      <c r="R390" s="318"/>
      <c r="S390" s="318"/>
      <c r="T390" s="318"/>
      <c r="U390" s="318"/>
      <c r="V390" s="318"/>
      <c r="W390" s="318"/>
      <c r="X390" s="318"/>
      <c r="Y390" s="295"/>
      <c r="Z390" s="295"/>
    </row>
    <row r="391" spans="1:53" ht="27" customHeight="1" x14ac:dyDescent="0.25">
      <c r="A391" s="53" t="s">
        <v>539</v>
      </c>
      <c r="B391" s="53" t="s">
        <v>540</v>
      </c>
      <c r="C391" s="30">
        <v>4301170008</v>
      </c>
      <c r="D391" s="308">
        <v>4680115882980</v>
      </c>
      <c r="E391" s="309"/>
      <c r="F391" s="301">
        <v>0.13</v>
      </c>
      <c r="G391" s="31">
        <v>10</v>
      </c>
      <c r="H391" s="301">
        <v>1.3</v>
      </c>
      <c r="I391" s="301">
        <v>1.46</v>
      </c>
      <c r="J391" s="31">
        <v>200</v>
      </c>
      <c r="K391" s="31" t="s">
        <v>516</v>
      </c>
      <c r="L391" s="32" t="s">
        <v>517</v>
      </c>
      <c r="M391" s="31">
        <v>150</v>
      </c>
      <c r="N391" s="617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20"/>
      <c r="P391" s="320"/>
      <c r="Q391" s="320"/>
      <c r="R391" s="309"/>
      <c r="S391" s="33"/>
      <c r="T391" s="33"/>
      <c r="U391" s="34" t="s">
        <v>65</v>
      </c>
      <c r="V391" s="302">
        <v>0</v>
      </c>
      <c r="W391" s="303">
        <f>IFERROR(IF(V391="",0,CEILING((V391/$H391),1)*$H391),"")</f>
        <v>0</v>
      </c>
      <c r="X391" s="35" t="str">
        <f>IFERROR(IF(W391=0,"",ROUNDUP(W391/H391,0)*0.00673),"")</f>
        <v/>
      </c>
      <c r="Y391" s="55"/>
      <c r="Z391" s="56"/>
      <c r="AD391" s="57"/>
      <c r="BA391" s="265" t="s">
        <v>1</v>
      </c>
    </row>
    <row r="392" spans="1:53" x14ac:dyDescent="0.2">
      <c r="A392" s="334"/>
      <c r="B392" s="318"/>
      <c r="C392" s="318"/>
      <c r="D392" s="318"/>
      <c r="E392" s="318"/>
      <c r="F392" s="318"/>
      <c r="G392" s="318"/>
      <c r="H392" s="318"/>
      <c r="I392" s="318"/>
      <c r="J392" s="318"/>
      <c r="K392" s="318"/>
      <c r="L392" s="318"/>
      <c r="M392" s="335"/>
      <c r="N392" s="321" t="s">
        <v>66</v>
      </c>
      <c r="O392" s="322"/>
      <c r="P392" s="322"/>
      <c r="Q392" s="322"/>
      <c r="R392" s="322"/>
      <c r="S392" s="322"/>
      <c r="T392" s="323"/>
      <c r="U392" s="36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8"/>
      <c r="B393" s="318"/>
      <c r="C393" s="318"/>
      <c r="D393" s="318"/>
      <c r="E393" s="318"/>
      <c r="F393" s="318"/>
      <c r="G393" s="318"/>
      <c r="H393" s="318"/>
      <c r="I393" s="318"/>
      <c r="J393" s="318"/>
      <c r="K393" s="318"/>
      <c r="L393" s="318"/>
      <c r="M393" s="335"/>
      <c r="N393" s="321" t="s">
        <v>66</v>
      </c>
      <c r="O393" s="322"/>
      <c r="P393" s="322"/>
      <c r="Q393" s="322"/>
      <c r="R393" s="322"/>
      <c r="S393" s="322"/>
      <c r="T393" s="323"/>
      <c r="U393" s="36" t="s">
        <v>65</v>
      </c>
      <c r="V393" s="304">
        <f>IFERROR(SUM(V391:V391),"0")</f>
        <v>0</v>
      </c>
      <c r="W393" s="304">
        <f>IFERROR(SUM(W391:W391),"0")</f>
        <v>0</v>
      </c>
      <c r="X393" s="36"/>
      <c r="Y393" s="305"/>
      <c r="Z393" s="305"/>
    </row>
    <row r="394" spans="1:53" ht="27.75" customHeight="1" x14ac:dyDescent="0.2">
      <c r="A394" s="362" t="s">
        <v>541</v>
      </c>
      <c r="B394" s="363"/>
      <c r="C394" s="363"/>
      <c r="D394" s="363"/>
      <c r="E394" s="363"/>
      <c r="F394" s="363"/>
      <c r="G394" s="363"/>
      <c r="H394" s="363"/>
      <c r="I394" s="363"/>
      <c r="J394" s="363"/>
      <c r="K394" s="363"/>
      <c r="L394" s="363"/>
      <c r="M394" s="363"/>
      <c r="N394" s="363"/>
      <c r="O394" s="363"/>
      <c r="P394" s="363"/>
      <c r="Q394" s="363"/>
      <c r="R394" s="363"/>
      <c r="S394" s="363"/>
      <c r="T394" s="363"/>
      <c r="U394" s="363"/>
      <c r="V394" s="363"/>
      <c r="W394" s="363"/>
      <c r="X394" s="363"/>
      <c r="Y394" s="47"/>
      <c r="Z394" s="47"/>
    </row>
    <row r="395" spans="1:53" ht="16.5" customHeight="1" x14ac:dyDescent="0.25">
      <c r="A395" s="317" t="s">
        <v>541</v>
      </c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18"/>
      <c r="N395" s="318"/>
      <c r="O395" s="318"/>
      <c r="P395" s="318"/>
      <c r="Q395" s="318"/>
      <c r="R395" s="318"/>
      <c r="S395" s="318"/>
      <c r="T395" s="318"/>
      <c r="U395" s="318"/>
      <c r="V395" s="318"/>
      <c r="W395" s="318"/>
      <c r="X395" s="318"/>
      <c r="Y395" s="298"/>
      <c r="Z395" s="298"/>
    </row>
    <row r="396" spans="1:53" ht="14.25" customHeight="1" x14ac:dyDescent="0.25">
      <c r="A396" s="330" t="s">
        <v>103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295"/>
      <c r="Z396" s="295"/>
    </row>
    <row r="397" spans="1:53" ht="27" customHeight="1" x14ac:dyDescent="0.25">
      <c r="A397" s="53" t="s">
        <v>542</v>
      </c>
      <c r="B397" s="53" t="s">
        <v>543</v>
      </c>
      <c r="C397" s="30">
        <v>4301011371</v>
      </c>
      <c r="D397" s="308">
        <v>4607091389067</v>
      </c>
      <c r="E397" s="309"/>
      <c r="F397" s="301">
        <v>0.88</v>
      </c>
      <c r="G397" s="31">
        <v>6</v>
      </c>
      <c r="H397" s="301">
        <v>5.28</v>
      </c>
      <c r="I397" s="301">
        <v>5.64</v>
      </c>
      <c r="J397" s="31">
        <v>104</v>
      </c>
      <c r="K397" s="31" t="s">
        <v>98</v>
      </c>
      <c r="L397" s="32" t="s">
        <v>132</v>
      </c>
      <c r="M397" s="31">
        <v>55</v>
      </c>
      <c r="N397" s="6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20"/>
      <c r="P397" s="320"/>
      <c r="Q397" s="320"/>
      <c r="R397" s="309"/>
      <c r="S397" s="33"/>
      <c r="T397" s="33"/>
      <c r="U397" s="34" t="s">
        <v>65</v>
      </c>
      <c r="V397" s="302">
        <v>0</v>
      </c>
      <c r="W397" s="303">
        <f t="shared" ref="W397:W405" si="18">IFERROR(IF(V397="",0,CEILING((V397/$H397),1)*$H397),"")</f>
        <v>0</v>
      </c>
      <c r="X397" s="35" t="str">
        <f>IFERROR(IF(W397=0,"",ROUNDUP(W397/H397,0)*0.01196),"")</f>
        <v/>
      </c>
      <c r="Y397" s="55"/>
      <c r="Z397" s="56"/>
      <c r="AD397" s="57"/>
      <c r="BA397" s="266" t="s">
        <v>1</v>
      </c>
    </row>
    <row r="398" spans="1:53" ht="27" customHeight="1" x14ac:dyDescent="0.25">
      <c r="A398" s="53" t="s">
        <v>544</v>
      </c>
      <c r="B398" s="53" t="s">
        <v>545</v>
      </c>
      <c r="C398" s="30">
        <v>4301011363</v>
      </c>
      <c r="D398" s="308">
        <v>4607091383522</v>
      </c>
      <c r="E398" s="309"/>
      <c r="F398" s="301">
        <v>0.88</v>
      </c>
      <c r="G398" s="31">
        <v>6</v>
      </c>
      <c r="H398" s="301">
        <v>5.28</v>
      </c>
      <c r="I398" s="301">
        <v>5.64</v>
      </c>
      <c r="J398" s="31">
        <v>104</v>
      </c>
      <c r="K398" s="31" t="s">
        <v>98</v>
      </c>
      <c r="L398" s="32" t="s">
        <v>99</v>
      </c>
      <c r="M398" s="31">
        <v>55</v>
      </c>
      <c r="N398" s="43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20"/>
      <c r="P398" s="320"/>
      <c r="Q398" s="320"/>
      <c r="R398" s="309"/>
      <c r="S398" s="33"/>
      <c r="T398" s="33"/>
      <c r="U398" s="34" t="s">
        <v>65</v>
      </c>
      <c r="V398" s="302">
        <v>0</v>
      </c>
      <c r="W398" s="303">
        <f t="shared" si="18"/>
        <v>0</v>
      </c>
      <c r="X398" s="35" t="str">
        <f>IFERROR(IF(W398=0,"",ROUNDUP(W398/H398,0)*0.01196),"")</f>
        <v/>
      </c>
      <c r="Y398" s="55"/>
      <c r="Z398" s="56"/>
      <c r="AD398" s="57"/>
      <c r="BA398" s="267" t="s">
        <v>1</v>
      </c>
    </row>
    <row r="399" spans="1:53" ht="27" customHeight="1" x14ac:dyDescent="0.25">
      <c r="A399" s="53" t="s">
        <v>546</v>
      </c>
      <c r="B399" s="53" t="s">
        <v>547</v>
      </c>
      <c r="C399" s="30">
        <v>4301011431</v>
      </c>
      <c r="D399" s="308">
        <v>4607091384437</v>
      </c>
      <c r="E399" s="309"/>
      <c r="F399" s="301">
        <v>0.88</v>
      </c>
      <c r="G399" s="31">
        <v>6</v>
      </c>
      <c r="H399" s="301">
        <v>5.28</v>
      </c>
      <c r="I399" s="301">
        <v>5.64</v>
      </c>
      <c r="J399" s="31">
        <v>104</v>
      </c>
      <c r="K399" s="31" t="s">
        <v>98</v>
      </c>
      <c r="L399" s="32" t="s">
        <v>99</v>
      </c>
      <c r="M399" s="31">
        <v>50</v>
      </c>
      <c r="N399" s="5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20"/>
      <c r="P399" s="320"/>
      <c r="Q399" s="320"/>
      <c r="R399" s="309"/>
      <c r="S399" s="33"/>
      <c r="T399" s="33"/>
      <c r="U399" s="34" t="s">
        <v>65</v>
      </c>
      <c r="V399" s="302">
        <v>0</v>
      </c>
      <c r="W399" s="303">
        <f t="shared" si="18"/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548</v>
      </c>
      <c r="B400" s="53" t="s">
        <v>549</v>
      </c>
      <c r="C400" s="30">
        <v>4301011365</v>
      </c>
      <c r="D400" s="308">
        <v>4607091389104</v>
      </c>
      <c r="E400" s="309"/>
      <c r="F400" s="301">
        <v>0.88</v>
      </c>
      <c r="G400" s="31">
        <v>6</v>
      </c>
      <c r="H400" s="301">
        <v>5.28</v>
      </c>
      <c r="I400" s="301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56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20"/>
      <c r="P400" s="320"/>
      <c r="Q400" s="320"/>
      <c r="R400" s="309"/>
      <c r="S400" s="33"/>
      <c r="T400" s="33"/>
      <c r="U400" s="34" t="s">
        <v>65</v>
      </c>
      <c r="V400" s="302">
        <v>0</v>
      </c>
      <c r="W400" s="303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550</v>
      </c>
      <c r="B401" s="53" t="s">
        <v>551</v>
      </c>
      <c r="C401" s="30">
        <v>4301011367</v>
      </c>
      <c r="D401" s="308">
        <v>4680115880603</v>
      </c>
      <c r="E401" s="309"/>
      <c r="F401" s="301">
        <v>0.6</v>
      </c>
      <c r="G401" s="31">
        <v>6</v>
      </c>
      <c r="H401" s="301">
        <v>3.6</v>
      </c>
      <c r="I401" s="301">
        <v>3.84</v>
      </c>
      <c r="J401" s="31">
        <v>120</v>
      </c>
      <c r="K401" s="31" t="s">
        <v>63</v>
      </c>
      <c r="L401" s="32" t="s">
        <v>99</v>
      </c>
      <c r="M401" s="31">
        <v>55</v>
      </c>
      <c r="N401" s="44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20"/>
      <c r="P401" s="320"/>
      <c r="Q401" s="320"/>
      <c r="R401" s="309"/>
      <c r="S401" s="33"/>
      <c r="T401" s="33"/>
      <c r="U401" s="34" t="s">
        <v>65</v>
      </c>
      <c r="V401" s="302">
        <v>0</v>
      </c>
      <c r="W401" s="303">
        <f t="shared" si="18"/>
        <v>0</v>
      </c>
      <c r="X401" s="35" t="str">
        <f>IFERROR(IF(W401=0,"",ROUNDUP(W401/H401,0)*0.00937),"")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552</v>
      </c>
      <c r="B402" s="53" t="s">
        <v>553</v>
      </c>
      <c r="C402" s="30">
        <v>4301011168</v>
      </c>
      <c r="D402" s="308">
        <v>4607091389999</v>
      </c>
      <c r="E402" s="309"/>
      <c r="F402" s="301">
        <v>0.6</v>
      </c>
      <c r="G402" s="31">
        <v>6</v>
      </c>
      <c r="H402" s="301">
        <v>3.6</v>
      </c>
      <c r="I402" s="301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55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20"/>
      <c r="P402" s="320"/>
      <c r="Q402" s="320"/>
      <c r="R402" s="309"/>
      <c r="S402" s="33"/>
      <c r="T402" s="33"/>
      <c r="U402" s="34" t="s">
        <v>65</v>
      </c>
      <c r="V402" s="302">
        <v>0</v>
      </c>
      <c r="W402" s="303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554</v>
      </c>
      <c r="B403" s="53" t="s">
        <v>555</v>
      </c>
      <c r="C403" s="30">
        <v>4301011372</v>
      </c>
      <c r="D403" s="308">
        <v>4680115882782</v>
      </c>
      <c r="E403" s="309"/>
      <c r="F403" s="301">
        <v>0.6</v>
      </c>
      <c r="G403" s="31">
        <v>6</v>
      </c>
      <c r="H403" s="301">
        <v>3.6</v>
      </c>
      <c r="I403" s="301">
        <v>3.84</v>
      </c>
      <c r="J403" s="31">
        <v>120</v>
      </c>
      <c r="K403" s="31" t="s">
        <v>63</v>
      </c>
      <c r="L403" s="32" t="s">
        <v>99</v>
      </c>
      <c r="M403" s="31">
        <v>50</v>
      </c>
      <c r="N403" s="53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20"/>
      <c r="P403" s="320"/>
      <c r="Q403" s="320"/>
      <c r="R403" s="309"/>
      <c r="S403" s="33"/>
      <c r="T403" s="33"/>
      <c r="U403" s="34" t="s">
        <v>65</v>
      </c>
      <c r="V403" s="302">
        <v>0</v>
      </c>
      <c r="W403" s="303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556</v>
      </c>
      <c r="B404" s="53" t="s">
        <v>557</v>
      </c>
      <c r="C404" s="30">
        <v>4301011190</v>
      </c>
      <c r="D404" s="308">
        <v>4607091389098</v>
      </c>
      <c r="E404" s="309"/>
      <c r="F404" s="301">
        <v>0.4</v>
      </c>
      <c r="G404" s="31">
        <v>6</v>
      </c>
      <c r="H404" s="301">
        <v>2.4</v>
      </c>
      <c r="I404" s="301">
        <v>2.6</v>
      </c>
      <c r="J404" s="31">
        <v>156</v>
      </c>
      <c r="K404" s="31" t="s">
        <v>63</v>
      </c>
      <c r="L404" s="32" t="s">
        <v>132</v>
      </c>
      <c r="M404" s="31">
        <v>50</v>
      </c>
      <c r="N404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20"/>
      <c r="P404" s="320"/>
      <c r="Q404" s="320"/>
      <c r="R404" s="309"/>
      <c r="S404" s="33"/>
      <c r="T404" s="33"/>
      <c r="U404" s="34" t="s">
        <v>65</v>
      </c>
      <c r="V404" s="302">
        <v>0</v>
      </c>
      <c r="W404" s="303">
        <f t="shared" si="18"/>
        <v>0</v>
      </c>
      <c r="X404" s="35" t="str">
        <f>IFERROR(IF(W404=0,"",ROUNDUP(W404/H404,0)*0.00753),"")</f>
        <v/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558</v>
      </c>
      <c r="B405" s="53" t="s">
        <v>559</v>
      </c>
      <c r="C405" s="30">
        <v>4301011366</v>
      </c>
      <c r="D405" s="308">
        <v>4607091389982</v>
      </c>
      <c r="E405" s="309"/>
      <c r="F405" s="301">
        <v>0.6</v>
      </c>
      <c r="G405" s="31">
        <v>6</v>
      </c>
      <c r="H405" s="301">
        <v>3.6</v>
      </c>
      <c r="I405" s="301">
        <v>3.84</v>
      </c>
      <c r="J405" s="31">
        <v>120</v>
      </c>
      <c r="K405" s="31" t="s">
        <v>63</v>
      </c>
      <c r="L405" s="32" t="s">
        <v>99</v>
      </c>
      <c r="M405" s="31">
        <v>55</v>
      </c>
      <c r="N405" s="49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20"/>
      <c r="P405" s="320"/>
      <c r="Q405" s="320"/>
      <c r="R405" s="309"/>
      <c r="S405" s="33"/>
      <c r="T405" s="33"/>
      <c r="U405" s="34" t="s">
        <v>65</v>
      </c>
      <c r="V405" s="302">
        <v>0</v>
      </c>
      <c r="W405" s="303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x14ac:dyDescent="0.2">
      <c r="A406" s="334"/>
      <c r="B406" s="318"/>
      <c r="C406" s="318"/>
      <c r="D406" s="318"/>
      <c r="E406" s="318"/>
      <c r="F406" s="318"/>
      <c r="G406" s="318"/>
      <c r="H406" s="318"/>
      <c r="I406" s="318"/>
      <c r="J406" s="318"/>
      <c r="K406" s="318"/>
      <c r="L406" s="318"/>
      <c r="M406" s="335"/>
      <c r="N406" s="321" t="s">
        <v>66</v>
      </c>
      <c r="O406" s="322"/>
      <c r="P406" s="322"/>
      <c r="Q406" s="322"/>
      <c r="R406" s="322"/>
      <c r="S406" s="322"/>
      <c r="T406" s="323"/>
      <c r="U406" s="36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8"/>
      <c r="B407" s="318"/>
      <c r="C407" s="318"/>
      <c r="D407" s="318"/>
      <c r="E407" s="318"/>
      <c r="F407" s="318"/>
      <c r="G407" s="318"/>
      <c r="H407" s="318"/>
      <c r="I407" s="318"/>
      <c r="J407" s="318"/>
      <c r="K407" s="318"/>
      <c r="L407" s="318"/>
      <c r="M407" s="335"/>
      <c r="N407" s="321" t="s">
        <v>66</v>
      </c>
      <c r="O407" s="322"/>
      <c r="P407" s="322"/>
      <c r="Q407" s="322"/>
      <c r="R407" s="322"/>
      <c r="S407" s="322"/>
      <c r="T407" s="323"/>
      <c r="U407" s="36" t="s">
        <v>65</v>
      </c>
      <c r="V407" s="304">
        <f>IFERROR(SUM(V397:V405),"0")</f>
        <v>0</v>
      </c>
      <c r="W407" s="304">
        <f>IFERROR(SUM(W397:W405),"0")</f>
        <v>0</v>
      </c>
      <c r="X407" s="36"/>
      <c r="Y407" s="305"/>
      <c r="Z407" s="305"/>
    </row>
    <row r="408" spans="1:53" ht="14.25" customHeight="1" x14ac:dyDescent="0.25">
      <c r="A408" s="330" t="s">
        <v>95</v>
      </c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8"/>
      <c r="N408" s="318"/>
      <c r="O408" s="318"/>
      <c r="P408" s="318"/>
      <c r="Q408" s="318"/>
      <c r="R408" s="318"/>
      <c r="S408" s="318"/>
      <c r="T408" s="318"/>
      <c r="U408" s="318"/>
      <c r="V408" s="318"/>
      <c r="W408" s="318"/>
      <c r="X408" s="318"/>
      <c r="Y408" s="295"/>
      <c r="Z408" s="295"/>
    </row>
    <row r="409" spans="1:53" ht="16.5" customHeight="1" x14ac:dyDescent="0.25">
      <c r="A409" s="53" t="s">
        <v>560</v>
      </c>
      <c r="B409" s="53" t="s">
        <v>561</v>
      </c>
      <c r="C409" s="30">
        <v>4301020222</v>
      </c>
      <c r="D409" s="308">
        <v>4607091388930</v>
      </c>
      <c r="E409" s="309"/>
      <c r="F409" s="301">
        <v>0.88</v>
      </c>
      <c r="G409" s="31">
        <v>6</v>
      </c>
      <c r="H409" s="301">
        <v>5.28</v>
      </c>
      <c r="I409" s="301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20"/>
      <c r="P409" s="320"/>
      <c r="Q409" s="320"/>
      <c r="R409" s="309"/>
      <c r="S409" s="33"/>
      <c r="T409" s="33"/>
      <c r="U409" s="34" t="s">
        <v>65</v>
      </c>
      <c r="V409" s="302">
        <v>1000</v>
      </c>
      <c r="W409" s="303">
        <f>IFERROR(IF(V409="",0,CEILING((V409/$H409),1)*$H409),"")</f>
        <v>1003.2</v>
      </c>
      <c r="X409" s="35">
        <f>IFERROR(IF(W409=0,"",ROUNDUP(W409/H409,0)*0.01196),"")</f>
        <v>2.2724000000000002</v>
      </c>
      <c r="Y409" s="55"/>
      <c r="Z409" s="56"/>
      <c r="AD409" s="57"/>
      <c r="BA409" s="275" t="s">
        <v>1</v>
      </c>
    </row>
    <row r="410" spans="1:53" ht="16.5" customHeight="1" x14ac:dyDescent="0.25">
      <c r="A410" s="53" t="s">
        <v>562</v>
      </c>
      <c r="B410" s="53" t="s">
        <v>563</v>
      </c>
      <c r="C410" s="30">
        <v>4301020206</v>
      </c>
      <c r="D410" s="308">
        <v>4680115880054</v>
      </c>
      <c r="E410" s="309"/>
      <c r="F410" s="301">
        <v>0.6</v>
      </c>
      <c r="G410" s="31">
        <v>6</v>
      </c>
      <c r="H410" s="301">
        <v>3.6</v>
      </c>
      <c r="I410" s="301">
        <v>3.84</v>
      </c>
      <c r="J410" s="31">
        <v>120</v>
      </c>
      <c r="K410" s="31" t="s">
        <v>63</v>
      </c>
      <c r="L410" s="32" t="s">
        <v>99</v>
      </c>
      <c r="M410" s="31">
        <v>55</v>
      </c>
      <c r="N410" s="4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20"/>
      <c r="P410" s="320"/>
      <c r="Q410" s="320"/>
      <c r="R410" s="309"/>
      <c r="S410" s="33"/>
      <c r="T410" s="33"/>
      <c r="U410" s="34" t="s">
        <v>65</v>
      </c>
      <c r="V410" s="302">
        <v>0</v>
      </c>
      <c r="W410" s="303">
        <f>IFERROR(IF(V410="",0,CEILING((V410/$H410),1)*$H410),"")</f>
        <v>0</v>
      </c>
      <c r="X410" s="35" t="str">
        <f>IFERROR(IF(W410=0,"",ROUNDUP(W410/H410,0)*0.00937),"")</f>
        <v/>
      </c>
      <c r="Y410" s="55"/>
      <c r="Z410" s="56"/>
      <c r="AD410" s="57"/>
      <c r="BA410" s="276" t="s">
        <v>1</v>
      </c>
    </row>
    <row r="411" spans="1:53" x14ac:dyDescent="0.2">
      <c r="A411" s="334"/>
      <c r="B411" s="318"/>
      <c r="C411" s="318"/>
      <c r="D411" s="318"/>
      <c r="E411" s="318"/>
      <c r="F411" s="318"/>
      <c r="G411" s="318"/>
      <c r="H411" s="318"/>
      <c r="I411" s="318"/>
      <c r="J411" s="318"/>
      <c r="K411" s="318"/>
      <c r="L411" s="318"/>
      <c r="M411" s="335"/>
      <c r="N411" s="321" t="s">
        <v>66</v>
      </c>
      <c r="O411" s="322"/>
      <c r="P411" s="322"/>
      <c r="Q411" s="322"/>
      <c r="R411" s="322"/>
      <c r="S411" s="322"/>
      <c r="T411" s="323"/>
      <c r="U411" s="36" t="s">
        <v>67</v>
      </c>
      <c r="V411" s="304">
        <f>IFERROR(V409/H409,"0")+IFERROR(V410/H410,"0")</f>
        <v>189.39393939393938</v>
      </c>
      <c r="W411" s="304">
        <f>IFERROR(W409/H409,"0")+IFERROR(W410/H410,"0")</f>
        <v>190</v>
      </c>
      <c r="X411" s="304">
        <f>IFERROR(IF(X409="",0,X409),"0")+IFERROR(IF(X410="",0,X410),"0")</f>
        <v>2.2724000000000002</v>
      </c>
      <c r="Y411" s="305"/>
      <c r="Z411" s="305"/>
    </row>
    <row r="412" spans="1:53" x14ac:dyDescent="0.2">
      <c r="A412" s="318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35"/>
      <c r="N412" s="321" t="s">
        <v>66</v>
      </c>
      <c r="O412" s="322"/>
      <c r="P412" s="322"/>
      <c r="Q412" s="322"/>
      <c r="R412" s="322"/>
      <c r="S412" s="322"/>
      <c r="T412" s="323"/>
      <c r="U412" s="36" t="s">
        <v>65</v>
      </c>
      <c r="V412" s="304">
        <f>IFERROR(SUM(V409:V410),"0")</f>
        <v>1000</v>
      </c>
      <c r="W412" s="304">
        <f>IFERROR(SUM(W409:W410),"0")</f>
        <v>1003.2</v>
      </c>
      <c r="X412" s="36"/>
      <c r="Y412" s="305"/>
      <c r="Z412" s="305"/>
    </row>
    <row r="413" spans="1:53" ht="14.25" customHeight="1" x14ac:dyDescent="0.25">
      <c r="A413" s="330" t="s">
        <v>60</v>
      </c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8"/>
      <c r="N413" s="318"/>
      <c r="O413" s="318"/>
      <c r="P413" s="318"/>
      <c r="Q413" s="318"/>
      <c r="R413" s="318"/>
      <c r="S413" s="318"/>
      <c r="T413" s="318"/>
      <c r="U413" s="318"/>
      <c r="V413" s="318"/>
      <c r="W413" s="318"/>
      <c r="X413" s="318"/>
      <c r="Y413" s="295"/>
      <c r="Z413" s="295"/>
    </row>
    <row r="414" spans="1:53" ht="27" customHeight="1" x14ac:dyDescent="0.25">
      <c r="A414" s="53" t="s">
        <v>564</v>
      </c>
      <c r="B414" s="53" t="s">
        <v>565</v>
      </c>
      <c r="C414" s="30">
        <v>4301031252</v>
      </c>
      <c r="D414" s="308">
        <v>4680115883116</v>
      </c>
      <c r="E414" s="309"/>
      <c r="F414" s="301">
        <v>0.88</v>
      </c>
      <c r="G414" s="31">
        <v>6</v>
      </c>
      <c r="H414" s="301">
        <v>5.28</v>
      </c>
      <c r="I414" s="301">
        <v>5.64</v>
      </c>
      <c r="J414" s="31">
        <v>104</v>
      </c>
      <c r="K414" s="31" t="s">
        <v>98</v>
      </c>
      <c r="L414" s="32" t="s">
        <v>99</v>
      </c>
      <c r="M414" s="31">
        <v>60</v>
      </c>
      <c r="N414" s="4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20"/>
      <c r="P414" s="320"/>
      <c r="Q414" s="320"/>
      <c r="R414" s="309"/>
      <c r="S414" s="33"/>
      <c r="T414" s="33"/>
      <c r="U414" s="34" t="s">
        <v>65</v>
      </c>
      <c r="V414" s="302">
        <v>0</v>
      </c>
      <c r="W414" s="303">
        <f t="shared" ref="W414:W419" si="19">IFERROR(IF(V414="",0,CEILING((V414/$H414),1)*$H414),"")</f>
        <v>0</v>
      </c>
      <c r="X414" s="35" t="str">
        <f>IFERROR(IF(W414=0,"",ROUNDUP(W414/H414,0)*0.01196),"")</f>
        <v/>
      </c>
      <c r="Y414" s="55"/>
      <c r="Z414" s="56"/>
      <c r="AD414" s="57"/>
      <c r="BA414" s="277" t="s">
        <v>1</v>
      </c>
    </row>
    <row r="415" spans="1:53" ht="27" customHeight="1" x14ac:dyDescent="0.25">
      <c r="A415" s="53" t="s">
        <v>566</v>
      </c>
      <c r="B415" s="53" t="s">
        <v>567</v>
      </c>
      <c r="C415" s="30">
        <v>4301031248</v>
      </c>
      <c r="D415" s="308">
        <v>4680115883093</v>
      </c>
      <c r="E415" s="309"/>
      <c r="F415" s="301">
        <v>0.88</v>
      </c>
      <c r="G415" s="31">
        <v>6</v>
      </c>
      <c r="H415" s="301">
        <v>5.28</v>
      </c>
      <c r="I415" s="301">
        <v>5.64</v>
      </c>
      <c r="J415" s="31">
        <v>104</v>
      </c>
      <c r="K415" s="31" t="s">
        <v>98</v>
      </c>
      <c r="L415" s="32" t="s">
        <v>64</v>
      </c>
      <c r="M415" s="31">
        <v>60</v>
      </c>
      <c r="N415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20"/>
      <c r="P415" s="320"/>
      <c r="Q415" s="320"/>
      <c r="R415" s="309"/>
      <c r="S415" s="33"/>
      <c r="T415" s="33"/>
      <c r="U415" s="34" t="s">
        <v>65</v>
      </c>
      <c r="V415" s="302">
        <v>0</v>
      </c>
      <c r="W415" s="303">
        <f t="shared" si="19"/>
        <v>0</v>
      </c>
      <c r="X415" s="35" t="str">
        <f>IFERROR(IF(W415=0,"",ROUNDUP(W415/H415,0)*0.01196),"")</f>
        <v/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568</v>
      </c>
      <c r="B416" s="53" t="s">
        <v>569</v>
      </c>
      <c r="C416" s="30">
        <v>4301031250</v>
      </c>
      <c r="D416" s="308">
        <v>4680115883109</v>
      </c>
      <c r="E416" s="309"/>
      <c r="F416" s="301">
        <v>0.88</v>
      </c>
      <c r="G416" s="31">
        <v>6</v>
      </c>
      <c r="H416" s="301">
        <v>5.28</v>
      </c>
      <c r="I416" s="301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4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20"/>
      <c r="P416" s="320"/>
      <c r="Q416" s="320"/>
      <c r="R416" s="309"/>
      <c r="S416" s="33"/>
      <c r="T416" s="33"/>
      <c r="U416" s="34" t="s">
        <v>65</v>
      </c>
      <c r="V416" s="302">
        <v>1500</v>
      </c>
      <c r="W416" s="303">
        <f t="shared" si="19"/>
        <v>1504.8000000000002</v>
      </c>
      <c r="X416" s="35">
        <f>IFERROR(IF(W416=0,"",ROUNDUP(W416/H416,0)*0.01196),"")</f>
        <v>3.4085999999999999</v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570</v>
      </c>
      <c r="B417" s="53" t="s">
        <v>571</v>
      </c>
      <c r="C417" s="30">
        <v>4301031249</v>
      </c>
      <c r="D417" s="308">
        <v>4680115882072</v>
      </c>
      <c r="E417" s="309"/>
      <c r="F417" s="301">
        <v>0.6</v>
      </c>
      <c r="G417" s="31">
        <v>6</v>
      </c>
      <c r="H417" s="301">
        <v>3.6</v>
      </c>
      <c r="I417" s="301">
        <v>3.84</v>
      </c>
      <c r="J417" s="31">
        <v>120</v>
      </c>
      <c r="K417" s="31" t="s">
        <v>63</v>
      </c>
      <c r="L417" s="32" t="s">
        <v>99</v>
      </c>
      <c r="M417" s="31">
        <v>60</v>
      </c>
      <c r="N417" s="452" t="s">
        <v>572</v>
      </c>
      <c r="O417" s="320"/>
      <c r="P417" s="320"/>
      <c r="Q417" s="320"/>
      <c r="R417" s="309"/>
      <c r="S417" s="33"/>
      <c r="T417" s="33"/>
      <c r="U417" s="34" t="s">
        <v>65</v>
      </c>
      <c r="V417" s="302">
        <v>0</v>
      </c>
      <c r="W417" s="303">
        <f t="shared" si="19"/>
        <v>0</v>
      </c>
      <c r="X417" s="35" t="str">
        <f>IFERROR(IF(W417=0,"",ROUNDUP(W417/H417,0)*0.00937),"")</f>
        <v/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573</v>
      </c>
      <c r="B418" s="53" t="s">
        <v>574</v>
      </c>
      <c r="C418" s="30">
        <v>4301031251</v>
      </c>
      <c r="D418" s="308">
        <v>4680115882102</v>
      </c>
      <c r="E418" s="309"/>
      <c r="F418" s="301">
        <v>0.6</v>
      </c>
      <c r="G418" s="31">
        <v>6</v>
      </c>
      <c r="H418" s="301">
        <v>3.6</v>
      </c>
      <c r="I418" s="301">
        <v>3.81</v>
      </c>
      <c r="J418" s="31">
        <v>120</v>
      </c>
      <c r="K418" s="31" t="s">
        <v>63</v>
      </c>
      <c r="L418" s="32" t="s">
        <v>64</v>
      </c>
      <c r="M418" s="31">
        <v>60</v>
      </c>
      <c r="N418" s="400" t="s">
        <v>575</v>
      </c>
      <c r="O418" s="320"/>
      <c r="P418" s="320"/>
      <c r="Q418" s="320"/>
      <c r="R418" s="309"/>
      <c r="S418" s="33"/>
      <c r="T418" s="33"/>
      <c r="U418" s="34" t="s">
        <v>65</v>
      </c>
      <c r="V418" s="302">
        <v>0</v>
      </c>
      <c r="W418" s="303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576</v>
      </c>
      <c r="B419" s="53" t="s">
        <v>577</v>
      </c>
      <c r="C419" s="30">
        <v>4301031253</v>
      </c>
      <c r="D419" s="308">
        <v>4680115882096</v>
      </c>
      <c r="E419" s="309"/>
      <c r="F419" s="301">
        <v>0.6</v>
      </c>
      <c r="G419" s="31">
        <v>6</v>
      </c>
      <c r="H419" s="301">
        <v>3.6</v>
      </c>
      <c r="I419" s="301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404" t="s">
        <v>578</v>
      </c>
      <c r="O419" s="320"/>
      <c r="P419" s="320"/>
      <c r="Q419" s="320"/>
      <c r="R419" s="309"/>
      <c r="S419" s="33"/>
      <c r="T419" s="33"/>
      <c r="U419" s="34" t="s">
        <v>65</v>
      </c>
      <c r="V419" s="302">
        <v>0</v>
      </c>
      <c r="W419" s="303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x14ac:dyDescent="0.2">
      <c r="A420" s="334"/>
      <c r="B420" s="318"/>
      <c r="C420" s="318"/>
      <c r="D420" s="318"/>
      <c r="E420" s="318"/>
      <c r="F420" s="318"/>
      <c r="G420" s="318"/>
      <c r="H420" s="318"/>
      <c r="I420" s="318"/>
      <c r="J420" s="318"/>
      <c r="K420" s="318"/>
      <c r="L420" s="318"/>
      <c r="M420" s="335"/>
      <c r="N420" s="321" t="s">
        <v>66</v>
      </c>
      <c r="O420" s="322"/>
      <c r="P420" s="322"/>
      <c r="Q420" s="322"/>
      <c r="R420" s="322"/>
      <c r="S420" s="322"/>
      <c r="T420" s="323"/>
      <c r="U420" s="36" t="s">
        <v>67</v>
      </c>
      <c r="V420" s="304">
        <f>IFERROR(V414/H414,"0")+IFERROR(V415/H415,"0")+IFERROR(V416/H416,"0")+IFERROR(V417/H417,"0")+IFERROR(V418/H418,"0")+IFERROR(V419/H419,"0")</f>
        <v>284.09090909090907</v>
      </c>
      <c r="W420" s="304">
        <f>IFERROR(W414/H414,"0")+IFERROR(W415/H415,"0")+IFERROR(W416/H416,"0")+IFERROR(W417/H417,"0")+IFERROR(W418/H418,"0")+IFERROR(W419/H419,"0")</f>
        <v>285</v>
      </c>
      <c r="X420" s="304">
        <f>IFERROR(IF(X414="",0,X414),"0")+IFERROR(IF(X415="",0,X415),"0")+IFERROR(IF(X416="",0,X416),"0")+IFERROR(IF(X417="",0,X417),"0")+IFERROR(IF(X418="",0,X418),"0")+IFERROR(IF(X419="",0,X419),"0")</f>
        <v>3.4085999999999999</v>
      </c>
      <c r="Y420" s="305"/>
      <c r="Z420" s="305"/>
    </row>
    <row r="421" spans="1:53" x14ac:dyDescent="0.2">
      <c r="A421" s="318"/>
      <c r="B421" s="318"/>
      <c r="C421" s="318"/>
      <c r="D421" s="318"/>
      <c r="E421" s="318"/>
      <c r="F421" s="318"/>
      <c r="G421" s="318"/>
      <c r="H421" s="318"/>
      <c r="I421" s="318"/>
      <c r="J421" s="318"/>
      <c r="K421" s="318"/>
      <c r="L421" s="318"/>
      <c r="M421" s="335"/>
      <c r="N421" s="321" t="s">
        <v>66</v>
      </c>
      <c r="O421" s="322"/>
      <c r="P421" s="322"/>
      <c r="Q421" s="322"/>
      <c r="R421" s="322"/>
      <c r="S421" s="322"/>
      <c r="T421" s="323"/>
      <c r="U421" s="36" t="s">
        <v>65</v>
      </c>
      <c r="V421" s="304">
        <f>IFERROR(SUM(V414:V419),"0")</f>
        <v>1500</v>
      </c>
      <c r="W421" s="304">
        <f>IFERROR(SUM(W414:W419),"0")</f>
        <v>1504.8000000000002</v>
      </c>
      <c r="X421" s="36"/>
      <c r="Y421" s="305"/>
      <c r="Z421" s="305"/>
    </row>
    <row r="422" spans="1:53" ht="14.25" customHeight="1" x14ac:dyDescent="0.25">
      <c r="A422" s="330" t="s">
        <v>68</v>
      </c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  <c r="L422" s="318"/>
      <c r="M422" s="318"/>
      <c r="N422" s="318"/>
      <c r="O422" s="318"/>
      <c r="P422" s="318"/>
      <c r="Q422" s="318"/>
      <c r="R422" s="318"/>
      <c r="S422" s="318"/>
      <c r="T422" s="318"/>
      <c r="U422" s="318"/>
      <c r="V422" s="318"/>
      <c r="W422" s="318"/>
      <c r="X422" s="318"/>
      <c r="Y422" s="295"/>
      <c r="Z422" s="295"/>
    </row>
    <row r="423" spans="1:53" ht="16.5" customHeight="1" x14ac:dyDescent="0.25">
      <c r="A423" s="53" t="s">
        <v>579</v>
      </c>
      <c r="B423" s="53" t="s">
        <v>580</v>
      </c>
      <c r="C423" s="30">
        <v>4301051230</v>
      </c>
      <c r="D423" s="308">
        <v>4607091383409</v>
      </c>
      <c r="E423" s="309"/>
      <c r="F423" s="301">
        <v>1.3</v>
      </c>
      <c r="G423" s="31">
        <v>6</v>
      </c>
      <c r="H423" s="301">
        <v>7.8</v>
      </c>
      <c r="I423" s="301">
        <v>8.3460000000000001</v>
      </c>
      <c r="J423" s="31">
        <v>56</v>
      </c>
      <c r="K423" s="31" t="s">
        <v>98</v>
      </c>
      <c r="L423" s="32" t="s">
        <v>64</v>
      </c>
      <c r="M423" s="31">
        <v>45</v>
      </c>
      <c r="N423" s="4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20"/>
      <c r="P423" s="320"/>
      <c r="Q423" s="320"/>
      <c r="R423" s="309"/>
      <c r="S423" s="33"/>
      <c r="T423" s="33"/>
      <c r="U423" s="34" t="s">
        <v>65</v>
      </c>
      <c r="V423" s="302">
        <v>0</v>
      </c>
      <c r="W423" s="303">
        <f>IFERROR(IF(V423="",0,CEILING((V423/$H423),1)*$H423),"")</f>
        <v>0</v>
      </c>
      <c r="X423" s="35" t="str">
        <f>IFERROR(IF(W423=0,"",ROUNDUP(W423/H423,0)*0.02175),"")</f>
        <v/>
      </c>
      <c r="Y423" s="55"/>
      <c r="Z423" s="56"/>
      <c r="AD423" s="57"/>
      <c r="BA423" s="283" t="s">
        <v>1</v>
      </c>
    </row>
    <row r="424" spans="1:53" ht="16.5" customHeight="1" x14ac:dyDescent="0.25">
      <c r="A424" s="53" t="s">
        <v>581</v>
      </c>
      <c r="B424" s="53" t="s">
        <v>582</v>
      </c>
      <c r="C424" s="30">
        <v>4301051231</v>
      </c>
      <c r="D424" s="308">
        <v>4607091383416</v>
      </c>
      <c r="E424" s="309"/>
      <c r="F424" s="301">
        <v>1.3</v>
      </c>
      <c r="G424" s="31">
        <v>6</v>
      </c>
      <c r="H424" s="301">
        <v>7.8</v>
      </c>
      <c r="I424" s="301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5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20"/>
      <c r="P424" s="320"/>
      <c r="Q424" s="320"/>
      <c r="R424" s="309"/>
      <c r="S424" s="33"/>
      <c r="T424" s="33"/>
      <c r="U424" s="34" t="s">
        <v>65</v>
      </c>
      <c r="V424" s="302">
        <v>0</v>
      </c>
      <c r="W424" s="303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x14ac:dyDescent="0.2">
      <c r="A425" s="334"/>
      <c r="B425" s="318"/>
      <c r="C425" s="318"/>
      <c r="D425" s="318"/>
      <c r="E425" s="318"/>
      <c r="F425" s="318"/>
      <c r="G425" s="318"/>
      <c r="H425" s="318"/>
      <c r="I425" s="318"/>
      <c r="J425" s="318"/>
      <c r="K425" s="318"/>
      <c r="L425" s="318"/>
      <c r="M425" s="335"/>
      <c r="N425" s="321" t="s">
        <v>66</v>
      </c>
      <c r="O425" s="322"/>
      <c r="P425" s="322"/>
      <c r="Q425" s="322"/>
      <c r="R425" s="322"/>
      <c r="S425" s="322"/>
      <c r="T425" s="323"/>
      <c r="U425" s="36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8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35"/>
      <c r="N426" s="321" t="s">
        <v>66</v>
      </c>
      <c r="O426" s="322"/>
      <c r="P426" s="322"/>
      <c r="Q426" s="322"/>
      <c r="R426" s="322"/>
      <c r="S426" s="322"/>
      <c r="T426" s="323"/>
      <c r="U426" s="36" t="s">
        <v>65</v>
      </c>
      <c r="V426" s="304">
        <f>IFERROR(SUM(V423:V424),"0")</f>
        <v>0</v>
      </c>
      <c r="W426" s="304">
        <f>IFERROR(SUM(W423:W424),"0")</f>
        <v>0</v>
      </c>
      <c r="X426" s="36"/>
      <c r="Y426" s="305"/>
      <c r="Z426" s="305"/>
    </row>
    <row r="427" spans="1:53" ht="27.75" customHeight="1" x14ac:dyDescent="0.2">
      <c r="A427" s="362" t="s">
        <v>583</v>
      </c>
      <c r="B427" s="363"/>
      <c r="C427" s="363"/>
      <c r="D427" s="363"/>
      <c r="E427" s="363"/>
      <c r="F427" s="363"/>
      <c r="G427" s="363"/>
      <c r="H427" s="363"/>
      <c r="I427" s="363"/>
      <c r="J427" s="363"/>
      <c r="K427" s="363"/>
      <c r="L427" s="363"/>
      <c r="M427" s="363"/>
      <c r="N427" s="363"/>
      <c r="O427" s="363"/>
      <c r="P427" s="363"/>
      <c r="Q427" s="363"/>
      <c r="R427" s="363"/>
      <c r="S427" s="363"/>
      <c r="T427" s="363"/>
      <c r="U427" s="363"/>
      <c r="V427" s="363"/>
      <c r="W427" s="363"/>
      <c r="X427" s="363"/>
      <c r="Y427" s="47"/>
      <c r="Z427" s="47"/>
    </row>
    <row r="428" spans="1:53" ht="16.5" customHeight="1" x14ac:dyDescent="0.25">
      <c r="A428" s="317" t="s">
        <v>584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298"/>
      <c r="Z428" s="298"/>
    </row>
    <row r="429" spans="1:53" ht="14.25" customHeight="1" x14ac:dyDescent="0.25">
      <c r="A429" s="330" t="s">
        <v>103</v>
      </c>
      <c r="B429" s="318"/>
      <c r="C429" s="318"/>
      <c r="D429" s="318"/>
      <c r="E429" s="318"/>
      <c r="F429" s="318"/>
      <c r="G429" s="318"/>
      <c r="H429" s="318"/>
      <c r="I429" s="318"/>
      <c r="J429" s="318"/>
      <c r="K429" s="318"/>
      <c r="L429" s="318"/>
      <c r="M429" s="318"/>
      <c r="N429" s="318"/>
      <c r="O429" s="318"/>
      <c r="P429" s="318"/>
      <c r="Q429" s="318"/>
      <c r="R429" s="318"/>
      <c r="S429" s="318"/>
      <c r="T429" s="318"/>
      <c r="U429" s="318"/>
      <c r="V429" s="318"/>
      <c r="W429" s="318"/>
      <c r="X429" s="318"/>
      <c r="Y429" s="295"/>
      <c r="Z429" s="295"/>
    </row>
    <row r="430" spans="1:53" ht="27" customHeight="1" x14ac:dyDescent="0.25">
      <c r="A430" s="53" t="s">
        <v>585</v>
      </c>
      <c r="B430" s="53" t="s">
        <v>586</v>
      </c>
      <c r="C430" s="30">
        <v>4301011585</v>
      </c>
      <c r="D430" s="308">
        <v>4640242180441</v>
      </c>
      <c r="E430" s="309"/>
      <c r="F430" s="301">
        <v>1.5</v>
      </c>
      <c r="G430" s="31">
        <v>8</v>
      </c>
      <c r="H430" s="301">
        <v>12</v>
      </c>
      <c r="I430" s="301">
        <v>12.48</v>
      </c>
      <c r="J430" s="31">
        <v>56</v>
      </c>
      <c r="K430" s="31" t="s">
        <v>98</v>
      </c>
      <c r="L430" s="32" t="s">
        <v>99</v>
      </c>
      <c r="M430" s="31">
        <v>50</v>
      </c>
      <c r="N430" s="390" t="s">
        <v>587</v>
      </c>
      <c r="O430" s="320"/>
      <c r="P430" s="320"/>
      <c r="Q430" s="320"/>
      <c r="R430" s="309"/>
      <c r="S430" s="33"/>
      <c r="T430" s="33"/>
      <c r="U430" s="34" t="s">
        <v>65</v>
      </c>
      <c r="V430" s="302">
        <v>0</v>
      </c>
      <c r="W430" s="303">
        <f>IFERROR(IF(V430="",0,CEILING((V430/$H430),1)*$H430),"")</f>
        <v>0</v>
      </c>
      <c r="X430" s="35" t="str">
        <f>IFERROR(IF(W430=0,"",ROUNDUP(W430/H430,0)*0.02175),"")</f>
        <v/>
      </c>
      <c r="Y430" s="55"/>
      <c r="Z430" s="56"/>
      <c r="AD430" s="57"/>
      <c r="BA430" s="285" t="s">
        <v>1</v>
      </c>
    </row>
    <row r="431" spans="1:53" ht="27" customHeight="1" x14ac:dyDescent="0.25">
      <c r="A431" s="53" t="s">
        <v>588</v>
      </c>
      <c r="B431" s="53" t="s">
        <v>589</v>
      </c>
      <c r="C431" s="30">
        <v>4301011584</v>
      </c>
      <c r="D431" s="308">
        <v>4640242180564</v>
      </c>
      <c r="E431" s="309"/>
      <c r="F431" s="301">
        <v>1.5</v>
      </c>
      <c r="G431" s="31">
        <v>8</v>
      </c>
      <c r="H431" s="301">
        <v>12</v>
      </c>
      <c r="I431" s="301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518" t="s">
        <v>590</v>
      </c>
      <c r="O431" s="320"/>
      <c r="P431" s="320"/>
      <c r="Q431" s="320"/>
      <c r="R431" s="309"/>
      <c r="S431" s="33"/>
      <c r="T431" s="33"/>
      <c r="U431" s="34" t="s">
        <v>65</v>
      </c>
      <c r="V431" s="302">
        <v>0</v>
      </c>
      <c r="W431" s="303">
        <f>IFERROR(IF(V431="",0,CEILING((V431/$H431),1)*$H431),"")</f>
        <v>0</v>
      </c>
      <c r="X431" s="35" t="str">
        <f>IFERROR(IF(W431=0,"",ROUNDUP(W431/H431,0)*0.02175),"")</f>
        <v/>
      </c>
      <c r="Y431" s="55"/>
      <c r="Z431" s="56"/>
      <c r="AD431" s="57"/>
      <c r="BA431" s="286" t="s">
        <v>1</v>
      </c>
    </row>
    <row r="432" spans="1:53" x14ac:dyDescent="0.2">
      <c r="A432" s="334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35"/>
      <c r="N432" s="321" t="s">
        <v>66</v>
      </c>
      <c r="O432" s="322"/>
      <c r="P432" s="322"/>
      <c r="Q432" s="322"/>
      <c r="R432" s="322"/>
      <c r="S432" s="322"/>
      <c r="T432" s="323"/>
      <c r="U432" s="36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8"/>
      <c r="B433" s="318"/>
      <c r="C433" s="318"/>
      <c r="D433" s="318"/>
      <c r="E433" s="318"/>
      <c r="F433" s="318"/>
      <c r="G433" s="318"/>
      <c r="H433" s="318"/>
      <c r="I433" s="318"/>
      <c r="J433" s="318"/>
      <c r="K433" s="318"/>
      <c r="L433" s="318"/>
      <c r="M433" s="335"/>
      <c r="N433" s="321" t="s">
        <v>66</v>
      </c>
      <c r="O433" s="322"/>
      <c r="P433" s="322"/>
      <c r="Q433" s="322"/>
      <c r="R433" s="322"/>
      <c r="S433" s="322"/>
      <c r="T433" s="323"/>
      <c r="U433" s="36" t="s">
        <v>65</v>
      </c>
      <c r="V433" s="304">
        <f>IFERROR(SUM(V430:V431),"0")</f>
        <v>0</v>
      </c>
      <c r="W433" s="304">
        <f>IFERROR(SUM(W430:W431),"0")</f>
        <v>0</v>
      </c>
      <c r="X433" s="36"/>
      <c r="Y433" s="305"/>
      <c r="Z433" s="305"/>
    </row>
    <row r="434" spans="1:53" ht="14.25" customHeight="1" x14ac:dyDescent="0.25">
      <c r="A434" s="330" t="s">
        <v>95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295"/>
      <c r="Z434" s="295"/>
    </row>
    <row r="435" spans="1:53" ht="27" customHeight="1" x14ac:dyDescent="0.25">
      <c r="A435" s="53" t="s">
        <v>591</v>
      </c>
      <c r="B435" s="53" t="s">
        <v>592</v>
      </c>
      <c r="C435" s="30">
        <v>4301020260</v>
      </c>
      <c r="D435" s="308">
        <v>4640242180526</v>
      </c>
      <c r="E435" s="309"/>
      <c r="F435" s="301">
        <v>1.8</v>
      </c>
      <c r="G435" s="31">
        <v>6</v>
      </c>
      <c r="H435" s="301">
        <v>10.8</v>
      </c>
      <c r="I435" s="301">
        <v>11.28</v>
      </c>
      <c r="J435" s="31">
        <v>56</v>
      </c>
      <c r="K435" s="31" t="s">
        <v>98</v>
      </c>
      <c r="L435" s="32" t="s">
        <v>99</v>
      </c>
      <c r="M435" s="31">
        <v>50</v>
      </c>
      <c r="N435" s="358" t="s">
        <v>593</v>
      </c>
      <c r="O435" s="320"/>
      <c r="P435" s="320"/>
      <c r="Q435" s="320"/>
      <c r="R435" s="309"/>
      <c r="S435" s="33"/>
      <c r="T435" s="33"/>
      <c r="U435" s="34" t="s">
        <v>65</v>
      </c>
      <c r="V435" s="302">
        <v>0</v>
      </c>
      <c r="W435" s="303">
        <f>IFERROR(IF(V435="",0,CEILING((V435/$H435),1)*$H435),"")</f>
        <v>0</v>
      </c>
      <c r="X435" s="35" t="str">
        <f>IFERROR(IF(W435=0,"",ROUNDUP(W435/H435,0)*0.02175),"")</f>
        <v/>
      </c>
      <c r="Y435" s="55"/>
      <c r="Z435" s="56"/>
      <c r="AD435" s="57"/>
      <c r="BA435" s="287" t="s">
        <v>1</v>
      </c>
    </row>
    <row r="436" spans="1:53" ht="16.5" customHeight="1" x14ac:dyDescent="0.25">
      <c r="A436" s="53" t="s">
        <v>594</v>
      </c>
      <c r="B436" s="53" t="s">
        <v>595</v>
      </c>
      <c r="C436" s="30">
        <v>4301020269</v>
      </c>
      <c r="D436" s="308">
        <v>4640242180519</v>
      </c>
      <c r="E436" s="309"/>
      <c r="F436" s="301">
        <v>1.35</v>
      </c>
      <c r="G436" s="31">
        <v>8</v>
      </c>
      <c r="H436" s="301">
        <v>10.8</v>
      </c>
      <c r="I436" s="301">
        <v>11.28</v>
      </c>
      <c r="J436" s="31">
        <v>56</v>
      </c>
      <c r="K436" s="31" t="s">
        <v>98</v>
      </c>
      <c r="L436" s="32" t="s">
        <v>132</v>
      </c>
      <c r="M436" s="31">
        <v>50</v>
      </c>
      <c r="N436" s="509" t="s">
        <v>596</v>
      </c>
      <c r="O436" s="320"/>
      <c r="P436" s="320"/>
      <c r="Q436" s="320"/>
      <c r="R436" s="309"/>
      <c r="S436" s="33"/>
      <c r="T436" s="33"/>
      <c r="U436" s="34" t="s">
        <v>65</v>
      </c>
      <c r="V436" s="302">
        <v>0</v>
      </c>
      <c r="W436" s="303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88" t="s">
        <v>1</v>
      </c>
    </row>
    <row r="437" spans="1:53" x14ac:dyDescent="0.2">
      <c r="A437" s="334"/>
      <c r="B437" s="318"/>
      <c r="C437" s="318"/>
      <c r="D437" s="318"/>
      <c r="E437" s="318"/>
      <c r="F437" s="318"/>
      <c r="G437" s="318"/>
      <c r="H437" s="318"/>
      <c r="I437" s="318"/>
      <c r="J437" s="318"/>
      <c r="K437" s="318"/>
      <c r="L437" s="318"/>
      <c r="M437" s="335"/>
      <c r="N437" s="321" t="s">
        <v>66</v>
      </c>
      <c r="O437" s="322"/>
      <c r="P437" s="322"/>
      <c r="Q437" s="322"/>
      <c r="R437" s="322"/>
      <c r="S437" s="322"/>
      <c r="T437" s="323"/>
      <c r="U437" s="36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8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35"/>
      <c r="N438" s="321" t="s">
        <v>66</v>
      </c>
      <c r="O438" s="322"/>
      <c r="P438" s="322"/>
      <c r="Q438" s="322"/>
      <c r="R438" s="322"/>
      <c r="S438" s="322"/>
      <c r="T438" s="323"/>
      <c r="U438" s="36" t="s">
        <v>65</v>
      </c>
      <c r="V438" s="304">
        <f>IFERROR(SUM(V435:V436),"0")</f>
        <v>0</v>
      </c>
      <c r="W438" s="304">
        <f>IFERROR(SUM(W435:W436),"0")</f>
        <v>0</v>
      </c>
      <c r="X438" s="36"/>
      <c r="Y438" s="305"/>
      <c r="Z438" s="305"/>
    </row>
    <row r="439" spans="1:53" ht="14.25" customHeight="1" x14ac:dyDescent="0.25">
      <c r="A439" s="330" t="s">
        <v>60</v>
      </c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8"/>
      <c r="N439" s="318"/>
      <c r="O439" s="318"/>
      <c r="P439" s="318"/>
      <c r="Q439" s="318"/>
      <c r="R439" s="318"/>
      <c r="S439" s="318"/>
      <c r="T439" s="318"/>
      <c r="U439" s="318"/>
      <c r="V439" s="318"/>
      <c r="W439" s="318"/>
      <c r="X439" s="318"/>
      <c r="Y439" s="295"/>
      <c r="Z439" s="295"/>
    </row>
    <row r="440" spans="1:53" ht="27" customHeight="1" x14ac:dyDescent="0.25">
      <c r="A440" s="53" t="s">
        <v>597</v>
      </c>
      <c r="B440" s="53" t="s">
        <v>598</v>
      </c>
      <c r="C440" s="30">
        <v>4301031280</v>
      </c>
      <c r="D440" s="308">
        <v>4640242180816</v>
      </c>
      <c r="E440" s="309"/>
      <c r="F440" s="301">
        <v>0.7</v>
      </c>
      <c r="G440" s="31">
        <v>6</v>
      </c>
      <c r="H440" s="301">
        <v>4.2</v>
      </c>
      <c r="I440" s="301">
        <v>4.46</v>
      </c>
      <c r="J440" s="31">
        <v>156</v>
      </c>
      <c r="K440" s="31" t="s">
        <v>63</v>
      </c>
      <c r="L440" s="32" t="s">
        <v>64</v>
      </c>
      <c r="M440" s="31">
        <v>40</v>
      </c>
      <c r="N440" s="365" t="s">
        <v>599</v>
      </c>
      <c r="O440" s="320"/>
      <c r="P440" s="320"/>
      <c r="Q440" s="320"/>
      <c r="R440" s="309"/>
      <c r="S440" s="33"/>
      <c r="T440" s="33"/>
      <c r="U440" s="34" t="s">
        <v>65</v>
      </c>
      <c r="V440" s="302">
        <v>60</v>
      </c>
      <c r="W440" s="303">
        <f>IFERROR(IF(V440="",0,CEILING((V440/$H440),1)*$H440),"")</f>
        <v>63</v>
      </c>
      <c r="X440" s="35">
        <f>IFERROR(IF(W440=0,"",ROUNDUP(W440/H440,0)*0.00753),"")</f>
        <v>0.11295000000000001</v>
      </c>
      <c r="Y440" s="55"/>
      <c r="Z440" s="56"/>
      <c r="AD440" s="57"/>
      <c r="BA440" s="289" t="s">
        <v>1</v>
      </c>
    </row>
    <row r="441" spans="1:53" ht="27" customHeight="1" x14ac:dyDescent="0.25">
      <c r="A441" s="53" t="s">
        <v>600</v>
      </c>
      <c r="B441" s="53" t="s">
        <v>601</v>
      </c>
      <c r="C441" s="30">
        <v>4301031244</v>
      </c>
      <c r="D441" s="308">
        <v>4640242180595</v>
      </c>
      <c r="E441" s="309"/>
      <c r="F441" s="301">
        <v>0.7</v>
      </c>
      <c r="G441" s="31">
        <v>6</v>
      </c>
      <c r="H441" s="301">
        <v>4.2</v>
      </c>
      <c r="I441" s="301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356" t="s">
        <v>602</v>
      </c>
      <c r="O441" s="320"/>
      <c r="P441" s="320"/>
      <c r="Q441" s="320"/>
      <c r="R441" s="309"/>
      <c r="S441" s="33"/>
      <c r="T441" s="33"/>
      <c r="U441" s="34" t="s">
        <v>65</v>
      </c>
      <c r="V441" s="302">
        <v>0</v>
      </c>
      <c r="W441" s="303">
        <f>IFERROR(IF(V441="",0,CEILING((V441/$H441),1)*$H441),"")</f>
        <v>0</v>
      </c>
      <c r="X441" s="35" t="str">
        <f>IFERROR(IF(W441=0,"",ROUNDUP(W441/H441,0)*0.00753),"")</f>
        <v/>
      </c>
      <c r="Y441" s="55"/>
      <c r="Z441" s="56"/>
      <c r="AD441" s="57"/>
      <c r="BA441" s="290" t="s">
        <v>1</v>
      </c>
    </row>
    <row r="442" spans="1:53" x14ac:dyDescent="0.2">
      <c r="A442" s="334"/>
      <c r="B442" s="318"/>
      <c r="C442" s="318"/>
      <c r="D442" s="318"/>
      <c r="E442" s="318"/>
      <c r="F442" s="318"/>
      <c r="G442" s="318"/>
      <c r="H442" s="318"/>
      <c r="I442" s="318"/>
      <c r="J442" s="318"/>
      <c r="K442" s="318"/>
      <c r="L442" s="318"/>
      <c r="M442" s="335"/>
      <c r="N442" s="321" t="s">
        <v>66</v>
      </c>
      <c r="O442" s="322"/>
      <c r="P442" s="322"/>
      <c r="Q442" s="322"/>
      <c r="R442" s="322"/>
      <c r="S442" s="322"/>
      <c r="T442" s="323"/>
      <c r="U442" s="36" t="s">
        <v>67</v>
      </c>
      <c r="V442" s="304">
        <f>IFERROR(V440/H440,"0")+IFERROR(V441/H441,"0")</f>
        <v>14.285714285714285</v>
      </c>
      <c r="W442" s="304">
        <f>IFERROR(W440/H440,"0")+IFERROR(W441/H441,"0")</f>
        <v>15</v>
      </c>
      <c r="X442" s="304">
        <f>IFERROR(IF(X440="",0,X440),"0")+IFERROR(IF(X441="",0,X441),"0")</f>
        <v>0.11295000000000001</v>
      </c>
      <c r="Y442" s="305"/>
      <c r="Z442" s="305"/>
    </row>
    <row r="443" spans="1:53" x14ac:dyDescent="0.2">
      <c r="A443" s="318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35"/>
      <c r="N443" s="321" t="s">
        <v>66</v>
      </c>
      <c r="O443" s="322"/>
      <c r="P443" s="322"/>
      <c r="Q443" s="322"/>
      <c r="R443" s="322"/>
      <c r="S443" s="322"/>
      <c r="T443" s="323"/>
      <c r="U443" s="36" t="s">
        <v>65</v>
      </c>
      <c r="V443" s="304">
        <f>IFERROR(SUM(V440:V441),"0")</f>
        <v>60</v>
      </c>
      <c r="W443" s="304">
        <f>IFERROR(SUM(W440:W441),"0")</f>
        <v>63</v>
      </c>
      <c r="X443" s="36"/>
      <c r="Y443" s="305"/>
      <c r="Z443" s="305"/>
    </row>
    <row r="444" spans="1:53" ht="14.25" customHeight="1" x14ac:dyDescent="0.25">
      <c r="A444" s="330" t="s">
        <v>68</v>
      </c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18"/>
      <c r="N444" s="318"/>
      <c r="O444" s="318"/>
      <c r="P444" s="318"/>
      <c r="Q444" s="318"/>
      <c r="R444" s="318"/>
      <c r="S444" s="318"/>
      <c r="T444" s="318"/>
      <c r="U444" s="318"/>
      <c r="V444" s="318"/>
      <c r="W444" s="318"/>
      <c r="X444" s="318"/>
      <c r="Y444" s="295"/>
      <c r="Z444" s="295"/>
    </row>
    <row r="445" spans="1:53" ht="27" customHeight="1" x14ac:dyDescent="0.25">
      <c r="A445" s="53" t="s">
        <v>603</v>
      </c>
      <c r="B445" s="53" t="s">
        <v>604</v>
      </c>
      <c r="C445" s="30">
        <v>4301051510</v>
      </c>
      <c r="D445" s="308">
        <v>4640242180540</v>
      </c>
      <c r="E445" s="309"/>
      <c r="F445" s="301">
        <v>1.3</v>
      </c>
      <c r="G445" s="31">
        <v>6</v>
      </c>
      <c r="H445" s="301">
        <v>7.8</v>
      </c>
      <c r="I445" s="301">
        <v>8.3640000000000008</v>
      </c>
      <c r="J445" s="31">
        <v>56</v>
      </c>
      <c r="K445" s="31" t="s">
        <v>98</v>
      </c>
      <c r="L445" s="32" t="s">
        <v>64</v>
      </c>
      <c r="M445" s="31">
        <v>30</v>
      </c>
      <c r="N445" s="497" t="s">
        <v>605</v>
      </c>
      <c r="O445" s="320"/>
      <c r="P445" s="320"/>
      <c r="Q445" s="320"/>
      <c r="R445" s="309"/>
      <c r="S445" s="33"/>
      <c r="T445" s="33"/>
      <c r="U445" s="34" t="s">
        <v>65</v>
      </c>
      <c r="V445" s="302">
        <v>0</v>
      </c>
      <c r="W445" s="303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1" t="s">
        <v>1</v>
      </c>
    </row>
    <row r="446" spans="1:53" ht="27" customHeight="1" x14ac:dyDescent="0.25">
      <c r="A446" s="53" t="s">
        <v>606</v>
      </c>
      <c r="B446" s="53" t="s">
        <v>607</v>
      </c>
      <c r="C446" s="30">
        <v>4301051508</v>
      </c>
      <c r="D446" s="308">
        <v>4640242180557</v>
      </c>
      <c r="E446" s="309"/>
      <c r="F446" s="301">
        <v>0.5</v>
      </c>
      <c r="G446" s="31">
        <v>6</v>
      </c>
      <c r="H446" s="301">
        <v>3</v>
      </c>
      <c r="I446" s="301">
        <v>3.2839999999999998</v>
      </c>
      <c r="J446" s="31">
        <v>156</v>
      </c>
      <c r="K446" s="31" t="s">
        <v>63</v>
      </c>
      <c r="L446" s="32" t="s">
        <v>64</v>
      </c>
      <c r="M446" s="31">
        <v>30</v>
      </c>
      <c r="N446" s="454" t="s">
        <v>608</v>
      </c>
      <c r="O446" s="320"/>
      <c r="P446" s="320"/>
      <c r="Q446" s="320"/>
      <c r="R446" s="309"/>
      <c r="S446" s="33"/>
      <c r="T446" s="33"/>
      <c r="U446" s="34" t="s">
        <v>65</v>
      </c>
      <c r="V446" s="302">
        <v>0</v>
      </c>
      <c r="W446" s="303">
        <f>IFERROR(IF(V446="",0,CEILING((V446/$H446),1)*$H446),"")</f>
        <v>0</v>
      </c>
      <c r="X446" s="35" t="str">
        <f>IFERROR(IF(W446=0,"",ROUNDUP(W446/H446,0)*0.00753),"")</f>
        <v/>
      </c>
      <c r="Y446" s="55"/>
      <c r="Z446" s="56"/>
      <c r="AD446" s="57"/>
      <c r="BA446" s="292" t="s">
        <v>1</v>
      </c>
    </row>
    <row r="447" spans="1:53" x14ac:dyDescent="0.2">
      <c r="A447" s="334"/>
      <c r="B447" s="318"/>
      <c r="C447" s="318"/>
      <c r="D447" s="318"/>
      <c r="E447" s="318"/>
      <c r="F447" s="318"/>
      <c r="G447" s="318"/>
      <c r="H447" s="318"/>
      <c r="I447" s="318"/>
      <c r="J447" s="318"/>
      <c r="K447" s="318"/>
      <c r="L447" s="318"/>
      <c r="M447" s="335"/>
      <c r="N447" s="321" t="s">
        <v>66</v>
      </c>
      <c r="O447" s="322"/>
      <c r="P447" s="322"/>
      <c r="Q447" s="322"/>
      <c r="R447" s="322"/>
      <c r="S447" s="322"/>
      <c r="T447" s="323"/>
      <c r="U447" s="36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8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35"/>
      <c r="N448" s="321" t="s">
        <v>66</v>
      </c>
      <c r="O448" s="322"/>
      <c r="P448" s="322"/>
      <c r="Q448" s="322"/>
      <c r="R448" s="322"/>
      <c r="S448" s="322"/>
      <c r="T448" s="323"/>
      <c r="U448" s="36" t="s">
        <v>65</v>
      </c>
      <c r="V448" s="304">
        <f>IFERROR(SUM(V445:V446),"0")</f>
        <v>0</v>
      </c>
      <c r="W448" s="304">
        <f>IFERROR(SUM(W445:W446),"0")</f>
        <v>0</v>
      </c>
      <c r="X448" s="36"/>
      <c r="Y448" s="305"/>
      <c r="Z448" s="305"/>
    </row>
    <row r="449" spans="1:53" ht="16.5" customHeight="1" x14ac:dyDescent="0.25">
      <c r="A449" s="317" t="s">
        <v>609</v>
      </c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18"/>
      <c r="N449" s="318"/>
      <c r="O449" s="318"/>
      <c r="P449" s="318"/>
      <c r="Q449" s="318"/>
      <c r="R449" s="318"/>
      <c r="S449" s="318"/>
      <c r="T449" s="318"/>
      <c r="U449" s="318"/>
      <c r="V449" s="318"/>
      <c r="W449" s="318"/>
      <c r="X449" s="318"/>
      <c r="Y449" s="298"/>
      <c r="Z449" s="298"/>
    </row>
    <row r="450" spans="1:53" ht="14.25" customHeight="1" x14ac:dyDescent="0.25">
      <c r="A450" s="330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295"/>
      <c r="Z450" s="295"/>
    </row>
    <row r="451" spans="1:53" ht="16.5" customHeight="1" x14ac:dyDescent="0.25">
      <c r="A451" s="53" t="s">
        <v>610</v>
      </c>
      <c r="B451" s="53" t="s">
        <v>611</v>
      </c>
      <c r="C451" s="30">
        <v>4301051310</v>
      </c>
      <c r="D451" s="308">
        <v>4680115880870</v>
      </c>
      <c r="E451" s="309"/>
      <c r="F451" s="301">
        <v>1.3</v>
      </c>
      <c r="G451" s="31">
        <v>6</v>
      </c>
      <c r="H451" s="301">
        <v>7.8</v>
      </c>
      <c r="I451" s="301">
        <v>8.3640000000000008</v>
      </c>
      <c r="J451" s="31">
        <v>56</v>
      </c>
      <c r="K451" s="31" t="s">
        <v>98</v>
      </c>
      <c r="L451" s="32" t="s">
        <v>132</v>
      </c>
      <c r="M451" s="31">
        <v>40</v>
      </c>
      <c r="N451" s="47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20"/>
      <c r="P451" s="320"/>
      <c r="Q451" s="320"/>
      <c r="R451" s="309"/>
      <c r="S451" s="33"/>
      <c r="T451" s="33"/>
      <c r="U451" s="34" t="s">
        <v>65</v>
      </c>
      <c r="V451" s="302">
        <v>0</v>
      </c>
      <c r="W451" s="303">
        <f>IFERROR(IF(V451="",0,CEILING((V451/$H451),1)*$H451),"")</f>
        <v>0</v>
      </c>
      <c r="X451" s="35" t="str">
        <f>IFERROR(IF(W451=0,"",ROUNDUP(W451/H451,0)*0.02175),"")</f>
        <v/>
      </c>
      <c r="Y451" s="55"/>
      <c r="Z451" s="56"/>
      <c r="AD451" s="57"/>
      <c r="BA451" s="293" t="s">
        <v>1</v>
      </c>
    </row>
    <row r="452" spans="1:53" x14ac:dyDescent="0.2">
      <c r="A452" s="334"/>
      <c r="B452" s="318"/>
      <c r="C452" s="318"/>
      <c r="D452" s="318"/>
      <c r="E452" s="318"/>
      <c r="F452" s="318"/>
      <c r="G452" s="318"/>
      <c r="H452" s="318"/>
      <c r="I452" s="318"/>
      <c r="J452" s="318"/>
      <c r="K452" s="318"/>
      <c r="L452" s="318"/>
      <c r="M452" s="335"/>
      <c r="N452" s="321" t="s">
        <v>66</v>
      </c>
      <c r="O452" s="322"/>
      <c r="P452" s="322"/>
      <c r="Q452" s="322"/>
      <c r="R452" s="322"/>
      <c r="S452" s="322"/>
      <c r="T452" s="323"/>
      <c r="U452" s="36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8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35"/>
      <c r="N453" s="321" t="s">
        <v>66</v>
      </c>
      <c r="O453" s="322"/>
      <c r="P453" s="322"/>
      <c r="Q453" s="322"/>
      <c r="R453" s="322"/>
      <c r="S453" s="322"/>
      <c r="T453" s="323"/>
      <c r="U453" s="36" t="s">
        <v>65</v>
      </c>
      <c r="V453" s="304">
        <f>IFERROR(SUM(V451:V451),"0")</f>
        <v>0</v>
      </c>
      <c r="W453" s="304">
        <f>IFERROR(SUM(W451:W451),"0")</f>
        <v>0</v>
      </c>
      <c r="X453" s="36"/>
      <c r="Y453" s="305"/>
      <c r="Z453" s="305"/>
    </row>
    <row r="454" spans="1:53" ht="15" customHeight="1" x14ac:dyDescent="0.2">
      <c r="A454" s="474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44"/>
      <c r="N454" s="324" t="s">
        <v>612</v>
      </c>
      <c r="O454" s="325"/>
      <c r="P454" s="325"/>
      <c r="Q454" s="325"/>
      <c r="R454" s="325"/>
      <c r="S454" s="325"/>
      <c r="T454" s="326"/>
      <c r="U454" s="36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12004.100000000002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12066.100000000002</v>
      </c>
      <c r="X454" s="36"/>
      <c r="Y454" s="305"/>
      <c r="Z454" s="305"/>
    </row>
    <row r="455" spans="1:53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44"/>
      <c r="N455" s="324" t="s">
        <v>613</v>
      </c>
      <c r="O455" s="325"/>
      <c r="P455" s="325"/>
      <c r="Q455" s="325"/>
      <c r="R455" s="325"/>
      <c r="S455" s="325"/>
      <c r="T455" s="326"/>
      <c r="U455" s="36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12709.748005772008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12775.763999999999</v>
      </c>
      <c r="X455" s="36"/>
      <c r="Y455" s="305"/>
      <c r="Z455" s="305"/>
    </row>
    <row r="456" spans="1:53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44"/>
      <c r="N456" s="324" t="s">
        <v>614</v>
      </c>
      <c r="O456" s="325"/>
      <c r="P456" s="325"/>
      <c r="Q456" s="325"/>
      <c r="R456" s="325"/>
      <c r="S456" s="325"/>
      <c r="T456" s="326"/>
      <c r="U456" s="36" t="s">
        <v>615</v>
      </c>
      <c r="V45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23</v>
      </c>
      <c r="W456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23</v>
      </c>
      <c r="X456" s="36"/>
      <c r="Y456" s="305"/>
      <c r="Z456" s="305"/>
    </row>
    <row r="457" spans="1:53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44"/>
      <c r="N457" s="324" t="s">
        <v>616</v>
      </c>
      <c r="O457" s="325"/>
      <c r="P457" s="325"/>
      <c r="Q457" s="325"/>
      <c r="R457" s="325"/>
      <c r="S457" s="325"/>
      <c r="T457" s="326"/>
      <c r="U457" s="36" t="s">
        <v>65</v>
      </c>
      <c r="V457" s="304">
        <f>GrossWeightTotal+PalletQtyTotal*25</f>
        <v>13284.748005772008</v>
      </c>
      <c r="W457" s="304">
        <f>GrossWeightTotalR+PalletQtyTotalR*25</f>
        <v>13350.763999999999</v>
      </c>
      <c r="X457" s="36"/>
      <c r="Y457" s="305"/>
      <c r="Z457" s="305"/>
    </row>
    <row r="458" spans="1:53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44"/>
      <c r="N458" s="324" t="s">
        <v>617</v>
      </c>
      <c r="O458" s="325"/>
      <c r="P458" s="325"/>
      <c r="Q458" s="325"/>
      <c r="R458" s="325"/>
      <c r="S458" s="325"/>
      <c r="T458" s="326"/>
      <c r="U458" s="36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1911.9502805836141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1923</v>
      </c>
      <c r="X458" s="36"/>
      <c r="Y458" s="305"/>
      <c r="Z458" s="305"/>
    </row>
    <row r="459" spans="1:53" ht="14.25" customHeight="1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44"/>
      <c r="N459" s="324" t="s">
        <v>618</v>
      </c>
      <c r="O459" s="325"/>
      <c r="P459" s="325"/>
      <c r="Q459" s="325"/>
      <c r="R459" s="325"/>
      <c r="S459" s="325"/>
      <c r="T459" s="326"/>
      <c r="U459" s="38" t="s">
        <v>619</v>
      </c>
      <c r="V459" s="36"/>
      <c r="W459" s="36"/>
      <c r="X459" s="36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25.666840000000001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39" t="s">
        <v>620</v>
      </c>
      <c r="B461" s="297" t="s">
        <v>59</v>
      </c>
      <c r="C461" s="315" t="s">
        <v>93</v>
      </c>
      <c r="D461" s="515"/>
      <c r="E461" s="515"/>
      <c r="F461" s="372"/>
      <c r="G461" s="315" t="s">
        <v>233</v>
      </c>
      <c r="H461" s="515"/>
      <c r="I461" s="515"/>
      <c r="J461" s="515"/>
      <c r="K461" s="515"/>
      <c r="L461" s="515"/>
      <c r="M461" s="372"/>
      <c r="N461" s="315" t="s">
        <v>424</v>
      </c>
      <c r="O461" s="372"/>
      <c r="P461" s="315" t="s">
        <v>471</v>
      </c>
      <c r="Q461" s="372"/>
      <c r="R461" s="297" t="s">
        <v>541</v>
      </c>
      <c r="S461" s="315" t="s">
        <v>583</v>
      </c>
      <c r="T461" s="372"/>
      <c r="U461" s="294"/>
      <c r="Z461" s="51"/>
      <c r="AC461" s="294"/>
    </row>
    <row r="462" spans="1:53" ht="14.25" customHeight="1" thickTop="1" x14ac:dyDescent="0.2">
      <c r="A462" s="435" t="s">
        <v>621</v>
      </c>
      <c r="B462" s="315" t="s">
        <v>59</v>
      </c>
      <c r="C462" s="315" t="s">
        <v>94</v>
      </c>
      <c r="D462" s="315" t="s">
        <v>102</v>
      </c>
      <c r="E462" s="315" t="s">
        <v>93</v>
      </c>
      <c r="F462" s="315" t="s">
        <v>226</v>
      </c>
      <c r="G462" s="315" t="s">
        <v>234</v>
      </c>
      <c r="H462" s="315" t="s">
        <v>241</v>
      </c>
      <c r="I462" s="315" t="s">
        <v>258</v>
      </c>
      <c r="J462" s="315" t="s">
        <v>316</v>
      </c>
      <c r="K462" s="294"/>
      <c r="L462" s="315" t="s">
        <v>392</v>
      </c>
      <c r="M462" s="315" t="s">
        <v>410</v>
      </c>
      <c r="N462" s="315" t="s">
        <v>425</v>
      </c>
      <c r="O462" s="315" t="s">
        <v>448</v>
      </c>
      <c r="P462" s="315" t="s">
        <v>472</v>
      </c>
      <c r="Q462" s="315" t="s">
        <v>519</v>
      </c>
      <c r="R462" s="315" t="s">
        <v>541</v>
      </c>
      <c r="S462" s="315" t="s">
        <v>584</v>
      </c>
      <c r="T462" s="315" t="s">
        <v>609</v>
      </c>
      <c r="U462" s="294"/>
      <c r="Z462" s="51"/>
      <c r="AC462" s="294"/>
    </row>
    <row r="463" spans="1:53" ht="13.5" customHeight="1" thickBot="1" x14ac:dyDescent="0.25">
      <c r="A463" s="436"/>
      <c r="B463" s="316"/>
      <c r="C463" s="316"/>
      <c r="D463" s="316"/>
      <c r="E463" s="316"/>
      <c r="F463" s="316"/>
      <c r="G463" s="316"/>
      <c r="H463" s="316"/>
      <c r="I463" s="316"/>
      <c r="J463" s="316"/>
      <c r="K463" s="294"/>
      <c r="L463" s="316"/>
      <c r="M463" s="316"/>
      <c r="N463" s="316"/>
      <c r="O463" s="316"/>
      <c r="P463" s="316"/>
      <c r="Q463" s="316"/>
      <c r="R463" s="316"/>
      <c r="S463" s="316"/>
      <c r="T463" s="316"/>
      <c r="U463" s="294"/>
      <c r="Z463" s="51"/>
      <c r="AC463" s="294"/>
    </row>
    <row r="464" spans="1:53" ht="18" customHeight="1" thickTop="1" thickBot="1" x14ac:dyDescent="0.25">
      <c r="A464" s="39" t="s">
        <v>622</v>
      </c>
      <c r="B464" s="45">
        <f>IFERROR(W22*1,"0")+IFERROR(W26*1,"0")+IFERROR(W27*1,"0")+IFERROR(W28*1,"0")+IFERROR(W29*1,"0")+IFERROR(W30*1,"0")+IFERROR(W31*1,"0")+IFERROR(W35*1,"0")+IFERROR(W39*1,"0")+IFERROR(W43*1,"0")</f>
        <v>53.1</v>
      </c>
      <c r="C464" s="45">
        <f>IFERROR(W49*1,"0")+IFERROR(W50*1,"0")</f>
        <v>0</v>
      </c>
      <c r="D464" s="45">
        <f>IFERROR(W55*1,"0")+IFERROR(W56*1,"0")+IFERROR(W57*1,"0")+IFERROR(W58*1,"0")</f>
        <v>0</v>
      </c>
      <c r="E464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354.6</v>
      </c>
      <c r="F464" s="45">
        <f>IFERROR(W126*1,"0")+IFERROR(W127*1,"0")+IFERROR(W128*1,"0")</f>
        <v>226.8</v>
      </c>
      <c r="G464" s="45">
        <f>IFERROR(W134*1,"0")+IFERROR(W135*1,"0")+IFERROR(W136*1,"0")</f>
        <v>0</v>
      </c>
      <c r="H464" s="45">
        <f>IFERROR(W141*1,"0")+IFERROR(W142*1,"0")+IFERROR(W143*1,"0")+IFERROR(W144*1,"0")+IFERROR(W145*1,"0")+IFERROR(W146*1,"0")+IFERROR(W147*1,"0")+IFERROR(W148*1,"0")</f>
        <v>0</v>
      </c>
      <c r="I464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512.79999999999995</v>
      </c>
      <c r="J464" s="45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1106.7</v>
      </c>
      <c r="K464" s="294"/>
      <c r="L464" s="45">
        <f>IFERROR(W253*1,"0")+IFERROR(W254*1,"0")+IFERROR(W255*1,"0")+IFERROR(W256*1,"0")+IFERROR(W257*1,"0")+IFERROR(W258*1,"0")+IFERROR(W259*1,"0")+IFERROR(W263*1,"0")+IFERROR(W264*1,"0")</f>
        <v>0</v>
      </c>
      <c r="M464" s="45">
        <f>IFERROR(W269*1,"0")+IFERROR(W273*1,"0")+IFERROR(W274*1,"0")+IFERROR(W275*1,"0")+IFERROR(W279*1,"0")+IFERROR(W283*1,"0")</f>
        <v>453.59999999999997</v>
      </c>
      <c r="N464" s="45">
        <f>IFERROR(W289*1,"0")+IFERROR(W290*1,"0")+IFERROR(W291*1,"0")+IFERROR(W292*1,"0")+IFERROR(W293*1,"0")+IFERROR(W294*1,"0")+IFERROR(W295*1,"0")+IFERROR(W296*1,"0")+IFERROR(W300*1,"0")+IFERROR(W301*1,"0")+IFERROR(W305*1,"0")+IFERROR(W309*1,"0")</f>
        <v>5166</v>
      </c>
      <c r="O464" s="45">
        <f>IFERROR(W314*1,"0")+IFERROR(W315*1,"0")+IFERROR(W316*1,"0")+IFERROR(W317*1,"0")+IFERROR(W321*1,"0")+IFERROR(W322*1,"0")+IFERROR(W326*1,"0")+IFERROR(W327*1,"0")+IFERROR(W328*1,"0")+IFERROR(W329*1,"0")+IFERROR(W333*1,"0")</f>
        <v>1207.8</v>
      </c>
      <c r="P464" s="45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220.5</v>
      </c>
      <c r="Q464" s="45">
        <f>IFERROR(W376*1,"0")+IFERROR(W377*1,"0")+IFERROR(W381*1,"0")+IFERROR(W382*1,"0")+IFERROR(W383*1,"0")+IFERROR(W384*1,"0")+IFERROR(W385*1,"0")+IFERROR(W386*1,"0")+IFERROR(W387*1,"0")+IFERROR(W391*1,"0")</f>
        <v>193.2</v>
      </c>
      <c r="R464" s="45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2508</v>
      </c>
      <c r="S464" s="45">
        <f>IFERROR(W430*1,"0")+IFERROR(W431*1,"0")+IFERROR(W435*1,"0")+IFERROR(W436*1,"0")+IFERROR(W440*1,"0")+IFERROR(W441*1,"0")+IFERROR(W445*1,"0")+IFERROR(W446*1,"0")</f>
        <v>63</v>
      </c>
      <c r="T464" s="45">
        <f>IFERROR(W451*1,"0")</f>
        <v>0</v>
      </c>
      <c r="U464" s="294"/>
      <c r="Z464" s="51"/>
      <c r="AC464" s="294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D423:E423"/>
    <mergeCell ref="D174:E174"/>
    <mergeCell ref="D410:E410"/>
    <mergeCell ref="A36:M37"/>
    <mergeCell ref="A133:X133"/>
    <mergeCell ref="N168:T168"/>
    <mergeCell ref="A334:M335"/>
    <mergeCell ref="N381:R381"/>
    <mergeCell ref="N330:T330"/>
    <mergeCell ref="D351:E351"/>
    <mergeCell ref="D289:E289"/>
    <mergeCell ref="N147:R147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74:R74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A439:X439"/>
    <mergeCell ref="D197:E197"/>
    <mergeCell ref="N32:T32"/>
    <mergeCell ref="D253:E253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W17:W18"/>
    <mergeCell ref="O462:O463"/>
    <mergeCell ref="N161:T161"/>
    <mergeCell ref="N459:T459"/>
    <mergeCell ref="A288:X288"/>
    <mergeCell ref="N399:R399"/>
    <mergeCell ref="N178:R178"/>
    <mergeCell ref="A155:M156"/>
    <mergeCell ref="D142:E142"/>
    <mergeCell ref="N49:R49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A59:M60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329:E329"/>
    <mergeCell ref="N379:T379"/>
    <mergeCell ref="D400:E400"/>
    <mergeCell ref="N236:R236"/>
    <mergeCell ref="D77:E77"/>
    <mergeCell ref="D108:E108"/>
    <mergeCell ref="N350:R350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A233:X233"/>
    <mergeCell ref="D229:E229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31:E31"/>
    <mergeCell ref="D158:E158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D401:E401"/>
    <mergeCell ref="A411:M412"/>
    <mergeCell ref="A320:X320"/>
    <mergeCell ref="D403:E403"/>
    <mergeCell ref="N238:T238"/>
    <mergeCell ref="N86:R86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C462:C463"/>
    <mergeCell ref="N436:R436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D182:E182"/>
    <mergeCell ref="N163:R163"/>
    <mergeCell ref="A260:M261"/>
    <mergeCell ref="N101:R101"/>
    <mergeCell ref="D109:E109"/>
    <mergeCell ref="N324:T324"/>
    <mergeCell ref="D345:E345"/>
    <mergeCell ref="A330:M331"/>
    <mergeCell ref="N171:R171"/>
    <mergeCell ref="N144:R144"/>
    <mergeCell ref="N315:R315"/>
    <mergeCell ref="T5:U5"/>
    <mergeCell ref="D119:E119"/>
    <mergeCell ref="A137:M138"/>
    <mergeCell ref="N445:R445"/>
    <mergeCell ref="N174:R174"/>
    <mergeCell ref="U17:U18"/>
    <mergeCell ref="D190:E190"/>
    <mergeCell ref="N361:R361"/>
    <mergeCell ref="D246:E246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D340:E340"/>
    <mergeCell ref="N145:R145"/>
    <mergeCell ref="T6:U9"/>
    <mergeCell ref="N77:R77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N26:R26"/>
    <mergeCell ref="A79:M80"/>
    <mergeCell ref="N40:T40"/>
    <mergeCell ref="A442:M443"/>
    <mergeCell ref="N234:R234"/>
    <mergeCell ref="N405:R405"/>
    <mergeCell ref="N184:R184"/>
    <mergeCell ref="D7:L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A370:X370"/>
    <mergeCell ref="M462:M463"/>
    <mergeCell ref="D172:E172"/>
    <mergeCell ref="D178:E178"/>
    <mergeCell ref="N153:R153"/>
    <mergeCell ref="N249:T24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A449:X449"/>
    <mergeCell ref="D296:E296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N357:T357"/>
    <mergeCell ref="A408:X408"/>
    <mergeCell ref="D404:E404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D199:E19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D386:E386"/>
    <mergeCell ref="A395:X395"/>
    <mergeCell ref="H1:O1"/>
    <mergeCell ref="N109:R10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D383:E383"/>
    <mergeCell ref="A216:X216"/>
    <mergeCell ref="D256:E256"/>
    <mergeCell ref="A287:X287"/>
    <mergeCell ref="A343:X343"/>
    <mergeCell ref="N35:R35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79:T79"/>
    <mergeCell ref="N121:R121"/>
    <mergeCell ref="N382:R382"/>
    <mergeCell ref="N302:T302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N221:T221"/>
    <mergeCell ref="N243:T243"/>
    <mergeCell ref="M17:M18"/>
    <mergeCell ref="N67:R67"/>
    <mergeCell ref="A297:M298"/>
    <mergeCell ref="D10:E10"/>
    <mergeCell ref="N135:R135"/>
    <mergeCell ref="F10:G10"/>
    <mergeCell ref="D305:E305"/>
    <mergeCell ref="N227:R227"/>
    <mergeCell ref="N110:R110"/>
    <mergeCell ref="D99:E99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365:T365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N206:R206"/>
    <mergeCell ref="G17:G18"/>
    <mergeCell ref="D254:E254"/>
    <mergeCell ref="A210:M211"/>
    <mergeCell ref="D346:E346"/>
    <mergeCell ref="A89:M90"/>
    <mergeCell ref="A12:L12"/>
    <mergeCell ref="N291:R291"/>
    <mergeCell ref="N80:T80"/>
    <mergeCell ref="D101:E101"/>
    <mergeCell ref="N209:R209"/>
    <mergeCell ref="N378:T378"/>
    <mergeCell ref="D76:E76"/>
    <mergeCell ref="D430:E430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231:T231"/>
    <mergeCell ref="A372:M373"/>
    <mergeCell ref="N358:T358"/>
    <mergeCell ref="A332:X332"/>
    <mergeCell ref="N430:R430"/>
    <mergeCell ref="N230:R230"/>
    <mergeCell ref="N418:R418"/>
    <mergeCell ref="A427:X427"/>
    <mergeCell ref="S461:T461"/>
    <mergeCell ref="A280:M281"/>
    <mergeCell ref="D196:E196"/>
    <mergeCell ref="N456:T45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A406:M407"/>
    <mergeCell ref="N309:R309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88:R88"/>
    <mergeCell ref="N259:R259"/>
    <mergeCell ref="A318:M319"/>
    <mergeCell ref="A420:M421"/>
    <mergeCell ref="N146:R146"/>
    <mergeCell ref="N317:R317"/>
    <mergeCell ref="N373:T373"/>
    <mergeCell ref="D397:E397"/>
    <mergeCell ref="N447:T447"/>
    <mergeCell ref="F462:F463"/>
    <mergeCell ref="N164:R164"/>
    <mergeCell ref="N437:T437"/>
    <mergeCell ref="G462:G463"/>
    <mergeCell ref="I462:I463"/>
    <mergeCell ref="S462:S463"/>
    <mergeCell ref="O5:P5"/>
    <mergeCell ref="N143:R143"/>
    <mergeCell ref="N248:R248"/>
    <mergeCell ref="D49:E49"/>
    <mergeCell ref="N441:R441"/>
    <mergeCell ref="D120:E120"/>
    <mergeCell ref="D242:E242"/>
    <mergeCell ref="A251:X251"/>
    <mergeCell ref="N235:R235"/>
    <mergeCell ref="N435:R435"/>
    <mergeCell ref="F17:F18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A364:M36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A40:M41"/>
    <mergeCell ref="N137:T137"/>
    <mergeCell ref="A162:X162"/>
    <mergeCell ref="D218:E218"/>
    <mergeCell ref="N204:R204"/>
    <mergeCell ref="D247:E247"/>
    <mergeCell ref="N148:R148"/>
    <mergeCell ref="N179:R179"/>
    <mergeCell ref="D203:E203"/>
    <mergeCell ref="N159:R159"/>
    <mergeCell ref="N97:R97"/>
    <mergeCell ref="N96:R96"/>
    <mergeCell ref="N149:T149"/>
    <mergeCell ref="N76:R76"/>
    <mergeCell ref="N316:R316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A15:L15"/>
    <mergeCell ref="N23:T23"/>
    <mergeCell ref="A48:X48"/>
    <mergeCell ref="P1:R1"/>
    <mergeCell ref="D344:E344"/>
    <mergeCell ref="D17:E18"/>
    <mergeCell ref="D173:E173"/>
    <mergeCell ref="V17:V18"/>
    <mergeCell ref="X17:X18"/>
    <mergeCell ref="P462:P463"/>
    <mergeCell ref="A132:X132"/>
    <mergeCell ref="D50:E50"/>
    <mergeCell ref="D110:E110"/>
    <mergeCell ref="N340:R340"/>
    <mergeCell ref="N265:T265"/>
    <mergeCell ref="N458:T45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85:R8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1"/>
    </row>
    <row r="3" spans="2:8" x14ac:dyDescent="0.2">
      <c r="B3" s="46" t="s">
        <v>624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625</v>
      </c>
      <c r="D6" s="46" t="s">
        <v>626</v>
      </c>
      <c r="E6" s="46"/>
    </row>
    <row r="7" spans="2:8" x14ac:dyDescent="0.2">
      <c r="B7" s="46" t="s">
        <v>627</v>
      </c>
      <c r="C7" s="46" t="s">
        <v>628</v>
      </c>
      <c r="D7" s="46" t="s">
        <v>629</v>
      </c>
      <c r="E7" s="46"/>
    </row>
    <row r="9" spans="2:8" x14ac:dyDescent="0.2">
      <c r="B9" s="46" t="s">
        <v>630</v>
      </c>
      <c r="C9" s="46" t="s">
        <v>625</v>
      </c>
      <c r="D9" s="46"/>
      <c r="E9" s="46"/>
    </row>
    <row r="11" spans="2:8" x14ac:dyDescent="0.2">
      <c r="B11" s="46" t="s">
        <v>631</v>
      </c>
      <c r="C11" s="46" t="s">
        <v>628</v>
      </c>
      <c r="D11" s="46"/>
      <c r="E11" s="46"/>
    </row>
    <row r="13" spans="2:8" x14ac:dyDescent="0.2">
      <c r="B13" s="46" t="s">
        <v>632</v>
      </c>
      <c r="C13" s="46"/>
      <c r="D13" s="46"/>
      <c r="E13" s="46"/>
    </row>
    <row r="14" spans="2:8" x14ac:dyDescent="0.2">
      <c r="B14" s="46" t="s">
        <v>633</v>
      </c>
      <c r="C14" s="46"/>
      <c r="D14" s="46"/>
      <c r="E14" s="46"/>
    </row>
    <row r="15" spans="2:8" x14ac:dyDescent="0.2">
      <c r="B15" s="46" t="s">
        <v>634</v>
      </c>
      <c r="C15" s="46"/>
      <c r="D15" s="46"/>
      <c r="E15" s="46"/>
    </row>
    <row r="16" spans="2:8" x14ac:dyDescent="0.2">
      <c r="B16" s="46" t="s">
        <v>635</v>
      </c>
      <c r="C16" s="46"/>
      <c r="D16" s="46"/>
      <c r="E16" s="46"/>
    </row>
    <row r="17" spans="2:5" x14ac:dyDescent="0.2">
      <c r="B17" s="46" t="s">
        <v>636</v>
      </c>
      <c r="C17" s="46"/>
      <c r="D17" s="46"/>
      <c r="E17" s="46"/>
    </row>
    <row r="18" spans="2:5" x14ac:dyDescent="0.2">
      <c r="B18" s="46" t="s">
        <v>637</v>
      </c>
      <c r="C18" s="46"/>
      <c r="D18" s="46"/>
      <c r="E18" s="46"/>
    </row>
    <row r="19" spans="2:5" x14ac:dyDescent="0.2">
      <c r="B19" s="46" t="s">
        <v>638</v>
      </c>
      <c r="C19" s="46"/>
      <c r="D19" s="46"/>
      <c r="E19" s="46"/>
    </row>
    <row r="20" spans="2:5" x14ac:dyDescent="0.2">
      <c r="B20" s="46" t="s">
        <v>639</v>
      </c>
      <c r="C20" s="46"/>
      <c r="D20" s="46"/>
      <c r="E20" s="46"/>
    </row>
    <row r="21" spans="2:5" x14ac:dyDescent="0.2">
      <c r="B21" s="46" t="s">
        <v>640</v>
      </c>
      <c r="C21" s="46"/>
      <c r="D21" s="46"/>
      <c r="E21" s="46"/>
    </row>
    <row r="22" spans="2:5" x14ac:dyDescent="0.2">
      <c r="B22" s="46" t="s">
        <v>641</v>
      </c>
      <c r="C22" s="46"/>
      <c r="D22" s="46"/>
      <c r="E22" s="46"/>
    </row>
    <row r="23" spans="2:5" x14ac:dyDescent="0.2">
      <c r="B23" s="46" t="s">
        <v>642</v>
      </c>
      <c r="C23" s="46"/>
      <c r="D23" s="46"/>
      <c r="E23" s="46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2023-10-31T06:39:06Z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