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заказа'!$X$663:$X$663</definedName>
    <definedName name="GrossWeightTotalR">'Бланк заказа'!$Y$663:$Y$663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заказа'!$X$664:$X$664</definedName>
    <definedName name="PalletQtyTotalR">'Бланк заказа'!$Y$664:$Y$664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заказа'!$B$394:$B$394</definedName>
    <definedName name="ProductId204">'Бланк заказа'!$B$398:$B$398</definedName>
    <definedName name="ProductId205">'Бланк заказа'!$B$399:$B$399</definedName>
    <definedName name="ProductId206">'Бланк заказа'!$B$400:$B$400</definedName>
    <definedName name="ProductId207">'Бланк заказа'!$B$405:$B$405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заказа'!$B$411:$B$411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заказа'!$B$431:$B$431</definedName>
    <definedName name="ProductId223">'Бланк заказа'!$B$432:$B$432</definedName>
    <definedName name="ProductId224">'Бланк заказа'!$B$436:$B$436</definedName>
    <definedName name="ProductId225">'Бланк заказа'!$B$437:$B$437</definedName>
    <definedName name="ProductId226">'Бланк заказа'!$B$441:$B$441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заказа'!$B$453:$B$453</definedName>
    <definedName name="ProductId235">'Бланк заказа'!$B$457:$B$457</definedName>
    <definedName name="ProductId236">'Бланк заказа'!$B$458:$B$458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заказа'!$B$466:$B$466</definedName>
    <definedName name="ProductId242">'Бланк заказа'!$B$470:$B$470</definedName>
    <definedName name="ProductId243">'Бланк заказа'!$B$476:$B$476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заказа'!$B$508:$B$508</definedName>
    <definedName name="ProductId27">'Бланк заказа'!$B$69:$B$69</definedName>
    <definedName name="ProductId270">'Бланк заказа'!$B$509:$B$509</definedName>
    <definedName name="ProductId271">'Бланк заказа'!$B$513:$B$513</definedName>
    <definedName name="ProductId272">'Бланк заказа'!$B$514:$B$514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заказа'!$B$531:$B$531</definedName>
    <definedName name="ProductId28">'Бланк заказа'!$B$70:$B$70</definedName>
    <definedName name="ProductId280">'Бланк заказа'!$B$535:$B$535</definedName>
    <definedName name="ProductId281">'Бланк заказа'!$B$540:$B$540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заказа'!$B$548:$B$548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заказа'!$B$575:$B$575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заказа'!$B$587:$B$587</definedName>
    <definedName name="ProductId311">'Бланк заказа'!$B$588:$B$588</definedName>
    <definedName name="ProductId312">'Бланк заказа'!$B$589:$B$589</definedName>
    <definedName name="ProductId313">'Бланк заказа'!$B$593:$B$593</definedName>
    <definedName name="ProductId314">'Бланк заказа'!$B$594:$B$594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заказа'!$B$606:$B$606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заказа'!$B$627:$B$627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заказа'!$B$82:$B$82</definedName>
    <definedName name="ProductId340">'Бланк заказа'!$B$634:$B$634</definedName>
    <definedName name="ProductId341">'Бланк заказа'!$B$638:$B$638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заказа'!$B$646:$B$646</definedName>
    <definedName name="ProductId346">'Бланк заказа'!$B$647:$B$647</definedName>
    <definedName name="ProductId347">'Бланк заказа'!$B$651:$B$651</definedName>
    <definedName name="ProductId348">'Бланк заказа'!$B$655:$B$655</definedName>
    <definedName name="ProductId349">'Бланк заказа'!$B$659:$B$659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заказа'!$X$394:$X$394</definedName>
    <definedName name="SalesQty204">'Бланк заказа'!$X$398:$X$398</definedName>
    <definedName name="SalesQty205">'Бланк заказа'!$X$399:$X$399</definedName>
    <definedName name="SalesQty206">'Бланк заказа'!$X$400:$X$400</definedName>
    <definedName name="SalesQty207">'Бланк заказа'!$X$405:$X$405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заказа'!$X$411:$X$411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заказа'!$X$431:$X$431</definedName>
    <definedName name="SalesQty223">'Бланк заказа'!$X$432:$X$432</definedName>
    <definedName name="SalesQty224">'Бланк заказа'!$X$436:$X$436</definedName>
    <definedName name="SalesQty225">'Бланк заказа'!$X$437:$X$437</definedName>
    <definedName name="SalesQty226">'Бланк заказа'!$X$441:$X$441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заказа'!$X$453:$X$453</definedName>
    <definedName name="SalesQty235">'Бланк заказа'!$X$457:$X$457</definedName>
    <definedName name="SalesQty236">'Бланк заказа'!$X$458:$X$458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заказа'!$X$466:$X$466</definedName>
    <definedName name="SalesQty242">'Бланк заказа'!$X$470:$X$470</definedName>
    <definedName name="SalesQty243">'Бланк заказа'!$X$476:$X$476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заказа'!$X$508:$X$508</definedName>
    <definedName name="SalesQty27">'Бланк заказа'!$X$69:$X$69</definedName>
    <definedName name="SalesQty270">'Бланк заказа'!$X$509:$X$509</definedName>
    <definedName name="SalesQty271">'Бланк заказа'!$X$513:$X$513</definedName>
    <definedName name="SalesQty272">'Бланк заказа'!$X$514:$X$514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заказа'!$X$531:$X$531</definedName>
    <definedName name="SalesQty28">'Бланк заказа'!$X$70:$X$70</definedName>
    <definedName name="SalesQty280">'Бланк заказа'!$X$535:$X$535</definedName>
    <definedName name="SalesQty281">'Бланк заказа'!$X$540:$X$540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заказа'!$X$548:$X$548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заказа'!$X$575:$X$575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заказа'!$X$587:$X$587</definedName>
    <definedName name="SalesQty311">'Бланк заказа'!$X$588:$X$588</definedName>
    <definedName name="SalesQty312">'Бланк заказа'!$X$589:$X$589</definedName>
    <definedName name="SalesQty313">'Бланк заказа'!$X$593:$X$593</definedName>
    <definedName name="SalesQty314">'Бланк заказа'!$X$594:$X$594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заказа'!$X$606:$X$606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заказа'!$X$627:$X$627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заказа'!$X$82:$X$82</definedName>
    <definedName name="SalesQty340">'Бланк заказа'!$X$634:$X$634</definedName>
    <definedName name="SalesQty341">'Бланк заказа'!$X$638:$X$638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заказа'!$X$646:$X$646</definedName>
    <definedName name="SalesQty346">'Бланк заказа'!$X$647:$X$647</definedName>
    <definedName name="SalesQty347">'Бланк заказа'!$X$651:$X$651</definedName>
    <definedName name="SalesQty348">'Бланк заказа'!$X$655:$X$655</definedName>
    <definedName name="SalesQty349">'Бланк заказа'!$X$659:$X$659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заказа'!$Y$394:$Y$394</definedName>
    <definedName name="SalesRoundBox204">'Бланк заказа'!$Y$398:$Y$398</definedName>
    <definedName name="SalesRoundBox205">'Бланк заказа'!$Y$399:$Y$399</definedName>
    <definedName name="SalesRoundBox206">'Бланк заказа'!$Y$400:$Y$400</definedName>
    <definedName name="SalesRoundBox207">'Бланк заказа'!$Y$405:$Y$405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заказа'!$Y$411:$Y$411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заказа'!$Y$431:$Y$431</definedName>
    <definedName name="SalesRoundBox223">'Бланк заказа'!$Y$432:$Y$432</definedName>
    <definedName name="SalesRoundBox224">'Бланк заказа'!$Y$436:$Y$436</definedName>
    <definedName name="SalesRoundBox225">'Бланк заказа'!$Y$437:$Y$437</definedName>
    <definedName name="SalesRoundBox226">'Бланк заказа'!$Y$441:$Y$441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заказа'!$Y$453:$Y$453</definedName>
    <definedName name="SalesRoundBox235">'Бланк заказа'!$Y$457:$Y$457</definedName>
    <definedName name="SalesRoundBox236">'Бланк заказа'!$Y$458:$Y$458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заказа'!$Y$466:$Y$466</definedName>
    <definedName name="SalesRoundBox242">'Бланк заказа'!$Y$470:$Y$470</definedName>
    <definedName name="SalesRoundBox243">'Бланк заказа'!$Y$476:$Y$476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заказа'!$Y$508:$Y$508</definedName>
    <definedName name="SalesRoundBox27">'Бланк заказа'!$Y$69:$Y$69</definedName>
    <definedName name="SalesRoundBox270">'Бланк заказа'!$Y$509:$Y$509</definedName>
    <definedName name="SalesRoundBox271">'Бланк заказа'!$Y$513:$Y$513</definedName>
    <definedName name="SalesRoundBox272">'Бланк заказа'!$Y$514:$Y$514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заказа'!$Y$531:$Y$531</definedName>
    <definedName name="SalesRoundBox28">'Бланк заказа'!$Y$70:$Y$70</definedName>
    <definedName name="SalesRoundBox280">'Бланк заказа'!$Y$535:$Y$535</definedName>
    <definedName name="SalesRoundBox281">'Бланк заказа'!$Y$540:$Y$540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заказа'!$Y$548:$Y$548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заказа'!$Y$575:$Y$575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заказа'!$Y$587:$Y$587</definedName>
    <definedName name="SalesRoundBox311">'Бланк заказа'!$Y$588:$Y$588</definedName>
    <definedName name="SalesRoundBox312">'Бланк заказа'!$Y$589:$Y$589</definedName>
    <definedName name="SalesRoundBox313">'Бланк заказа'!$Y$593:$Y$593</definedName>
    <definedName name="SalesRoundBox314">'Бланк заказа'!$Y$594:$Y$594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заказа'!$Y$606:$Y$606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заказа'!$Y$627:$Y$627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заказа'!$Y$82:$Y$82</definedName>
    <definedName name="SalesRoundBox340">'Бланк заказа'!$Y$634:$Y$634</definedName>
    <definedName name="SalesRoundBox341">'Бланк заказа'!$Y$638:$Y$638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заказа'!$Y$646:$Y$646</definedName>
    <definedName name="SalesRoundBox346">'Бланк заказа'!$Y$647:$Y$647</definedName>
    <definedName name="SalesRoundBox347">'Бланк заказа'!$Y$651:$Y$651</definedName>
    <definedName name="SalesRoundBox348">'Бланк заказа'!$Y$655:$Y$655</definedName>
    <definedName name="SalesRoundBox349">'Бланк заказа'!$Y$659:$Y$659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заказа'!$W$394:$W$394</definedName>
    <definedName name="UnitOfMeasure204">'Бланк заказа'!$W$398:$W$398</definedName>
    <definedName name="UnitOfMeasure205">'Бланк заказа'!$W$399:$W$399</definedName>
    <definedName name="UnitOfMeasure206">'Бланк заказа'!$W$400:$W$400</definedName>
    <definedName name="UnitOfMeasure207">'Бланк заказа'!$W$405:$W$405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заказа'!$W$411:$W$411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заказа'!$W$431:$W$431</definedName>
    <definedName name="UnitOfMeasure223">'Бланк заказа'!$W$432:$W$432</definedName>
    <definedName name="UnitOfMeasure224">'Бланк заказа'!$W$436:$W$436</definedName>
    <definedName name="UnitOfMeasure225">'Бланк заказа'!$W$437:$W$437</definedName>
    <definedName name="UnitOfMeasure226">'Бланк заказа'!$W$441:$W$441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заказа'!$W$453:$W$453</definedName>
    <definedName name="UnitOfMeasure235">'Бланк заказа'!$W$457:$W$457</definedName>
    <definedName name="UnitOfMeasure236">'Бланк заказа'!$W$458:$W$458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заказа'!$W$466:$W$466</definedName>
    <definedName name="UnitOfMeasure242">'Бланк заказа'!$W$470:$W$470</definedName>
    <definedName name="UnitOfMeasure243">'Бланк заказа'!$W$476:$W$476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заказа'!$W$508:$W$508</definedName>
    <definedName name="UnitOfMeasure27">'Бланк заказа'!$W$69:$W$69</definedName>
    <definedName name="UnitOfMeasure270">'Бланк заказа'!$W$509:$W$509</definedName>
    <definedName name="UnitOfMeasure271">'Бланк заказа'!$W$513:$W$513</definedName>
    <definedName name="UnitOfMeasure272">'Бланк заказа'!$W$514:$W$514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заказа'!$W$531:$W$531</definedName>
    <definedName name="UnitOfMeasure28">'Бланк заказа'!$W$70:$W$70</definedName>
    <definedName name="UnitOfMeasure280">'Бланк заказа'!$W$535:$W$535</definedName>
    <definedName name="UnitOfMeasure281">'Бланк заказа'!$W$540:$W$540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заказа'!$W$548:$W$548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заказа'!$W$575:$W$575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заказа'!$W$587:$W$587</definedName>
    <definedName name="UnitOfMeasure311">'Бланк заказа'!$W$588:$W$588</definedName>
    <definedName name="UnitOfMeasure312">'Бланк заказа'!$W$589:$W$589</definedName>
    <definedName name="UnitOfMeasure313">'Бланк заказа'!$W$593:$W$593</definedName>
    <definedName name="UnitOfMeasure314">'Бланк заказа'!$W$594:$W$594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заказа'!$W$606:$W$606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заказа'!$W$627:$W$627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заказа'!$W$82:$W$82</definedName>
    <definedName name="UnitOfMeasure340">'Бланк заказа'!$W$634:$W$634</definedName>
    <definedName name="UnitOfMeasure341">'Бланк заказа'!$W$638:$W$638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заказа'!$W$646:$W$646</definedName>
    <definedName name="UnitOfMeasure346">'Бланк заказа'!$W$647:$W$647</definedName>
    <definedName name="UnitOfMeasure347">'Бланк заказа'!$W$651:$W$651</definedName>
    <definedName name="UnitOfMeasure348">'Бланк заказа'!$W$655:$W$655</definedName>
    <definedName name="UnitOfMeasure349">'Бланк заказа'!$W$659:$W$659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  <definedName name="_xlnm._FilterDatabase" localSheetId="0" hidden="1">'Бланк заказа'!$A$18:$AF$18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0.000"/>
    <numFmt numFmtId="167" formatCode="#,##0.00_ ;[Red]\-#,##0.00\ "/>
    <numFmt numFmtId="168" formatCode="dd/mm/yy;@"/>
  </numFmts>
  <fonts count="1106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651C32"/>
      </left>
      <right style="thin">
        <color indexed="64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5">
    <xf numFmtId="0" fontId="0" fillId="0" borderId="0" pivotButton="0" quotePrefix="0" xfId="0"/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2" fillId="0" borderId="14" applyAlignment="1" pivotButton="0" quotePrefix="0" xfId="39">
      <alignment horizontal="left" vertical="center"/>
    </xf>
    <xf numFmtId="0" fontId="33" fillId="0" borderId="0" applyAlignment="1" pivotButton="0" quotePrefix="0" xfId="0">
      <alignment horizontal="left" vertical="top" wrapText="1"/>
    </xf>
    <xf numFmtId="0" fontId="34" fillId="24" borderId="0" applyAlignment="1" pivotButton="0" quotePrefix="0" xfId="39">
      <alignment horizontal="center" vertical="center"/>
    </xf>
    <xf numFmtId="14" fontId="34" fillId="24" borderId="0" applyAlignment="1" pivotButton="0" quotePrefix="0" xfId="39">
      <alignment vertical="center" wrapText="1"/>
    </xf>
    <xf numFmtId="49" fontId="32" fillId="0" borderId="0" applyAlignment="1" pivotButton="0" quotePrefix="0" xfId="39">
      <alignment horizontal="left" vertical="center"/>
    </xf>
    <xf numFmtId="0" fontId="34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vertical="center" wrapText="1"/>
    </xf>
    <xf numFmtId="49" fontId="36" fillId="0" borderId="15" applyAlignment="1" applyProtection="1" pivotButton="0" quotePrefix="0" xfId="39">
      <alignment horizontal="center" vertical="center"/>
      <protection locked="0" hidden="0"/>
    </xf>
    <xf numFmtId="49" fontId="37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center" vertical="center" wrapText="1"/>
    </xf>
    <xf numFmtId="0" fontId="38" fillId="0" borderId="0" applyAlignment="1" pivotButton="0" quotePrefix="0" xfId="0">
      <alignment vertical="center" wrapText="1"/>
    </xf>
    <xf numFmtId="0" fontId="39" fillId="0" borderId="0" applyAlignment="1" applyProtection="1" pivotButton="0" quotePrefix="0" xfId="0">
      <alignment horizontal="right"/>
      <protection locked="1" hidden="1"/>
    </xf>
    <xf numFmtId="0" fontId="40" fillId="0" borderId="0" applyAlignment="1" pivotButton="0" quotePrefix="0" xfId="0">
      <alignment horizontal="right"/>
    </xf>
    <xf numFmtId="2" fontId="42" fillId="0" borderId="0" applyAlignment="1" applyProtection="1" pivotButton="0" quotePrefix="0" xfId="0">
      <alignment horizontal="center" vertical="center" wrapText="1"/>
      <protection locked="1" hidden="1"/>
    </xf>
    <xf numFmtId="0" fontId="41" fillId="0" borderId="0" applyAlignment="1" applyProtection="1" pivotButton="0" quotePrefix="0" xfId="0">
      <alignment horizontal="right" vertical="center"/>
      <protection locked="1" hidden="1"/>
    </xf>
    <xf numFmtId="0" fontId="35" fillId="0" borderId="0" applyAlignment="1" applyProtection="1" pivotButton="0" quotePrefix="0" xfId="0">
      <alignment horizontal="center"/>
      <protection locked="1" hidden="1"/>
    </xf>
    <xf numFmtId="0" fontId="41" fillId="0" borderId="0" applyAlignment="1" pivotButton="0" quotePrefix="0" xfId="0">
      <alignment horizontal="right" vertical="center"/>
    </xf>
    <xf numFmtId="49" fontId="36" fillId="25" borderId="15" applyAlignment="1" applyProtection="1" pivotButton="0" quotePrefix="0" xfId="39">
      <alignment horizontal="center" vertical="center"/>
      <protection locked="0" hidden="0"/>
    </xf>
    <xf numFmtId="0" fontId="39" fillId="0" borderId="0" applyAlignment="1" applyProtection="1" pivotButton="0" quotePrefix="0" xfId="0">
      <alignment horizontal="left"/>
      <protection locked="1" hidden="1"/>
    </xf>
    <xf numFmtId="0" fontId="43" fillId="0" borderId="0" applyAlignment="1" pivotButton="0" quotePrefix="0" xfId="0">
      <alignment horizontal="left" vertical="top"/>
    </xf>
    <xf numFmtId="0" fontId="44" fillId="0" borderId="0" applyAlignment="1" pivotButton="0" quotePrefix="0" xfId="0">
      <alignment horizontal="left" vertical="top" wrapText="1"/>
    </xf>
    <xf numFmtId="1" fontId="46" fillId="0" borderId="15" applyAlignment="1" pivotButton="0" quotePrefix="0" xfId="39">
      <alignment horizontal="center" vertical="center"/>
    </xf>
    <xf numFmtId="0" fontId="2" fillId="0" borderId="15" applyAlignment="1" applyProtection="1" pivotButton="0" quotePrefix="0" xfId="0">
      <alignment horizontal="center" vertical="center"/>
      <protection locked="1" hidden="1"/>
    </xf>
    <xf numFmtId="1" fontId="2" fillId="0" borderId="1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/>
    </xf>
    <xf numFmtId="0" fontId="30" fillId="0" borderId="15" applyAlignment="1" applyProtection="1" pivotButton="0" quotePrefix="0" xfId="0">
      <alignment horizontal="center"/>
      <protection locked="1" hidden="1"/>
    </xf>
    <xf numFmtId="2" fontId="3" fillId="0" borderId="15" applyAlignment="1" pivotButton="0" quotePrefix="0" xfId="0">
      <alignment horizontal="center"/>
    </xf>
    <xf numFmtId="0" fontId="35" fillId="24" borderId="15" applyAlignment="1" applyProtection="1" pivotButton="0" quotePrefix="0" xfId="0">
      <alignment horizontal="center"/>
      <protection locked="1" hidden="1"/>
    </xf>
    <xf numFmtId="164" fontId="41" fillId="24" borderId="15" applyAlignment="1" pivotButton="0" quotePrefix="0" xfId="0">
      <alignment horizontal="right"/>
    </xf>
    <xf numFmtId="0" fontId="47" fillId="24" borderId="15" applyAlignment="1" applyProtection="1" pivotButton="0" quotePrefix="0" xfId="0">
      <alignment horizontal="center"/>
      <protection locked="1" hidden="1"/>
    </xf>
    <xf numFmtId="0" fontId="48" fillId="24" borderId="16" applyAlignment="1" applyProtection="1" pivotButton="0" quotePrefix="0" xfId="0">
      <alignment horizontal="center" vertical="center" wrapText="1"/>
      <protection locked="1" hidden="1"/>
    </xf>
    <xf numFmtId="0" fontId="34" fillId="24" borderId="0" applyAlignment="1" pivotButton="0" quotePrefix="0" xfId="39">
      <alignment vertical="center" wrapText="1"/>
    </xf>
    <xf numFmtId="49" fontId="36" fillId="0" borderId="15" applyAlignment="1" applyProtection="1" pivotButton="0" quotePrefix="0" xfId="0">
      <alignment horizontal="center" vertical="center"/>
      <protection locked="0" hidden="0"/>
    </xf>
    <xf numFmtId="49" fontId="49" fillId="0" borderId="0" applyAlignment="1" pivotButton="0" quotePrefix="0" xfId="0">
      <alignment horizontal="center" vertical="center" wrapText="1"/>
    </xf>
    <xf numFmtId="49" fontId="36" fillId="0" borderId="0" applyAlignment="1" pivotButton="0" quotePrefix="0" xfId="0">
      <alignment horizontal="center" vertical="center"/>
    </xf>
    <xf numFmtId="165" fontId="36" fillId="0" borderId="0" applyAlignment="1" applyProtection="1" pivotButton="0" quotePrefix="0" xfId="0">
      <alignment horizontal="center" vertical="center"/>
      <protection locked="0" hidden="0"/>
    </xf>
    <xf numFmtId="4" fontId="28" fillId="0" borderId="17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0" fillId="0" borderId="0" applyAlignment="1" pivotButton="0" quotePrefix="0" xfId="0">
      <alignment horizontal="center" vertical="center"/>
    </xf>
    <xf numFmtId="0" fontId="48" fillId="0" borderId="0" applyAlignment="1" applyProtection="1" pivotButton="0" quotePrefix="0" xfId="0">
      <alignment horizontal="center" vertical="center" wrapText="1"/>
      <protection locked="1" hidden="1"/>
    </xf>
    <xf numFmtId="4" fontId="51" fillId="0" borderId="0" applyAlignment="1" applyProtection="1" pivotButton="0" quotePrefix="0" xfId="39">
      <alignment horizontal="center" vertical="center"/>
      <protection locked="1" hidden="1"/>
    </xf>
    <xf numFmtId="0" fontId="35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4" fillId="24" borderId="0" applyAlignment="1" pivotButton="0" quotePrefix="0" xfId="39">
      <alignment horizontal="center" vertical="center" wrapText="1"/>
    </xf>
    <xf numFmtId="1" fontId="46" fillId="0" borderId="20" applyAlignment="1" pivotButton="0" quotePrefix="0" xfId="0">
      <alignment horizontal="center" vertical="center"/>
    </xf>
    <xf numFmtId="2" fontId="48" fillId="24" borderId="24" applyAlignment="1" applyProtection="1" pivotButton="0" quotePrefix="0" xfId="0">
      <alignment vertical="center" wrapText="1"/>
      <protection locked="1" hidden="1"/>
    </xf>
    <xf numFmtId="2" fontId="3" fillId="0" borderId="11" applyAlignment="1" pivotButton="0" quotePrefix="0" xfId="0">
      <alignment horizontal="center" wrapText="1"/>
    </xf>
    <xf numFmtId="0" fontId="31" fillId="0" borderId="11" applyProtection="1" pivotButton="0" quotePrefix="0" xfId="0">
      <protection locked="1" hidden="1"/>
    </xf>
    <xf numFmtId="2" fontId="48" fillId="0" borderId="0" applyAlignment="1" applyProtection="1" pivotButton="0" quotePrefix="0" xfId="0">
      <alignment horizontal="left" vertical="center" wrapText="1"/>
      <protection locked="0" hidden="1"/>
    </xf>
    <xf numFmtId="0" fontId="42" fillId="0" borderId="0" applyAlignment="1" applyProtection="1" pivotButton="0" quotePrefix="0" xfId="0">
      <alignment horizontal="left" vertical="top" wrapText="1"/>
      <protection locked="0" hidden="0"/>
    </xf>
    <xf numFmtId="0" fontId="42" fillId="0" borderId="0" applyAlignment="1" applyProtection="1" pivotButton="0" quotePrefix="0" xfId="0">
      <alignment horizontal="center" vertical="top" wrapText="1"/>
      <protection locked="0" hidden="0"/>
    </xf>
    <xf numFmtId="2" fontId="42" fillId="0" borderId="0" applyAlignment="1" applyProtection="1" pivotButton="0" quotePrefix="0" xfId="0">
      <alignment horizontal="left" vertical="center" wrapText="1"/>
      <protection locked="0" hidden="1"/>
    </xf>
    <xf numFmtId="2" fontId="48" fillId="0" borderId="0" applyAlignment="1" applyProtection="1" pivotButton="0" quotePrefix="0" xfId="0">
      <alignment horizontal="left" vertical="center" wrapText="1"/>
      <protection locked="1" hidden="1"/>
    </xf>
    <xf numFmtId="2" fontId="53" fillId="0" borderId="0" applyAlignment="1" applyProtection="1" pivotButton="0" quotePrefix="0" xfId="0">
      <alignment horizontal="left" vertical="center" wrapText="1"/>
      <protection locked="1" hidden="1"/>
    </xf>
    <xf numFmtId="4" fontId="58" fillId="0" borderId="0" applyProtection="1" pivotButton="0" quotePrefix="0" xfId="0">
      <protection locked="1" hidden="1"/>
    </xf>
    <xf numFmtId="0" fontId="58" fillId="0" borderId="0" applyAlignment="1" applyProtection="1" pivotButton="0" quotePrefix="0" xfId="0">
      <alignment horizontal="center" vertical="center"/>
      <protection locked="1" hidden="1"/>
    </xf>
    <xf numFmtId="0" fontId="58" fillId="0" borderId="38" applyAlignment="1" applyProtection="1" pivotButton="0" quotePrefix="0" xfId="0">
      <alignment horizontal="center" vertical="center"/>
      <protection locked="1" hidden="1"/>
    </xf>
    <xf numFmtId="0" fontId="45" fillId="24" borderId="15" applyAlignment="1" applyProtection="1" pivotButton="0" quotePrefix="0" xfId="0">
      <alignment horizontal="center" vertical="center" wrapText="1"/>
      <protection locked="1" hidden="1"/>
    </xf>
    <xf numFmtId="0" fontId="58" fillId="0" borderId="0" applyProtection="1" pivotButton="0" quotePrefix="0" xfId="0">
      <protection locked="1" hidden="1"/>
    </xf>
    <xf numFmtId="0" fontId="60" fillId="0" borderId="11" applyAlignment="1" applyProtection="1" pivotButton="0" quotePrefix="0" xfId="0">
      <alignment wrapText="1"/>
      <protection locked="1" hidden="1"/>
    </xf>
    <xf numFmtId="0" fontId="61" fillId="0" borderId="0" pivotButton="0" quotePrefix="0" xfId="0"/>
    <xf numFmtId="0" fontId="63" fillId="0" borderId="11" applyAlignment="1" applyProtection="1" pivotButton="0" quotePrefix="0" xfId="0">
      <alignment wrapText="1"/>
      <protection locked="1" hidden="1"/>
    </xf>
    <xf numFmtId="0" fontId="64" fillId="0" borderId="0" pivotButton="0" quotePrefix="0" xfId="0"/>
    <xf numFmtId="0" fontId="66" fillId="0" borderId="11" applyAlignment="1" applyProtection="1" pivotButton="0" quotePrefix="0" xfId="0">
      <alignment wrapText="1"/>
      <protection locked="1" hidden="1"/>
    </xf>
    <xf numFmtId="0" fontId="67" fillId="0" borderId="0" pivotButton="0" quotePrefix="0" xfId="0"/>
    <xf numFmtId="0" fontId="69" fillId="0" borderId="11" applyAlignment="1" applyProtection="1" pivotButton="0" quotePrefix="0" xfId="0">
      <alignment wrapText="1"/>
      <protection locked="1" hidden="1"/>
    </xf>
    <xf numFmtId="0" fontId="70" fillId="0" borderId="0" pivotButton="0" quotePrefix="0" xfId="0"/>
    <xf numFmtId="0" fontId="72" fillId="0" borderId="11" applyAlignment="1" applyProtection="1" pivotButton="0" quotePrefix="0" xfId="0">
      <alignment wrapText="1"/>
      <protection locked="1" hidden="1"/>
    </xf>
    <xf numFmtId="0" fontId="73" fillId="0" borderId="0" pivotButton="0" quotePrefix="0" xfId="0"/>
    <xf numFmtId="0" fontId="75" fillId="0" borderId="11" applyAlignment="1" applyProtection="1" pivotButton="0" quotePrefix="0" xfId="0">
      <alignment wrapText="1"/>
      <protection locked="1" hidden="1"/>
    </xf>
    <xf numFmtId="0" fontId="76" fillId="0" borderId="0" pivotButton="0" quotePrefix="0" xfId="0"/>
    <xf numFmtId="0" fontId="78" fillId="0" borderId="11" applyAlignment="1" applyProtection="1" pivotButton="0" quotePrefix="0" xfId="0">
      <alignment wrapText="1"/>
      <protection locked="1" hidden="1"/>
    </xf>
    <xf numFmtId="0" fontId="79" fillId="0" borderId="0" pivotButton="0" quotePrefix="0" xfId="0"/>
    <xf numFmtId="0" fontId="81" fillId="0" borderId="11" applyAlignment="1" applyProtection="1" pivotButton="0" quotePrefix="0" xfId="0">
      <alignment wrapText="1"/>
      <protection locked="1" hidden="1"/>
    </xf>
    <xf numFmtId="0" fontId="82" fillId="0" borderId="0" pivotButton="0" quotePrefix="0" xfId="0"/>
    <xf numFmtId="0" fontId="84" fillId="0" borderId="11" applyAlignment="1" applyProtection="1" pivotButton="0" quotePrefix="0" xfId="0">
      <alignment wrapText="1"/>
      <protection locked="1" hidden="1"/>
    </xf>
    <xf numFmtId="0" fontId="85" fillId="0" borderId="0" pivotButton="0" quotePrefix="0" xfId="0"/>
    <xf numFmtId="0" fontId="87" fillId="0" borderId="11" applyAlignment="1" applyProtection="1" pivotButton="0" quotePrefix="0" xfId="0">
      <alignment wrapText="1"/>
      <protection locked="1" hidden="1"/>
    </xf>
    <xf numFmtId="0" fontId="88" fillId="0" borderId="0" pivotButton="0" quotePrefix="0" xfId="0"/>
    <xf numFmtId="0" fontId="90" fillId="0" borderId="11" applyAlignment="1" applyProtection="1" pivotButton="0" quotePrefix="0" xfId="0">
      <alignment wrapText="1"/>
      <protection locked="1" hidden="1"/>
    </xf>
    <xf numFmtId="0" fontId="91" fillId="0" borderId="0" pivotButton="0" quotePrefix="0" xfId="0"/>
    <xf numFmtId="0" fontId="93" fillId="0" borderId="11" applyAlignment="1" applyProtection="1" pivotButton="0" quotePrefix="0" xfId="0">
      <alignment wrapText="1"/>
      <protection locked="1" hidden="1"/>
    </xf>
    <xf numFmtId="0" fontId="94" fillId="0" borderId="0" pivotButton="0" quotePrefix="0" xfId="0"/>
    <xf numFmtId="0" fontId="96" fillId="0" borderId="11" applyAlignment="1" applyProtection="1" pivotButton="0" quotePrefix="0" xfId="0">
      <alignment wrapText="1"/>
      <protection locked="1" hidden="1"/>
    </xf>
    <xf numFmtId="0" fontId="97" fillId="0" borderId="0" pivotButton="0" quotePrefix="0" xfId="0"/>
    <xf numFmtId="0" fontId="99" fillId="0" borderId="11" applyAlignment="1" applyProtection="1" pivotButton="0" quotePrefix="0" xfId="0">
      <alignment wrapText="1"/>
      <protection locked="1" hidden="1"/>
    </xf>
    <xf numFmtId="0" fontId="100" fillId="0" borderId="0" pivotButton="0" quotePrefix="0" xfId="0"/>
    <xf numFmtId="0" fontId="102" fillId="0" borderId="11" applyAlignment="1" applyProtection="1" pivotButton="0" quotePrefix="0" xfId="0">
      <alignment wrapText="1"/>
      <protection locked="1" hidden="1"/>
    </xf>
    <xf numFmtId="0" fontId="103" fillId="0" borderId="0" pivotButton="0" quotePrefix="0" xfId="0"/>
    <xf numFmtId="0" fontId="105" fillId="0" borderId="11" applyAlignment="1" applyProtection="1" pivotButton="0" quotePrefix="0" xfId="0">
      <alignment wrapText="1"/>
      <protection locked="1" hidden="1"/>
    </xf>
    <xf numFmtId="0" fontId="106" fillId="0" borderId="0" pivotButton="0" quotePrefix="0" xfId="0"/>
    <xf numFmtId="0" fontId="108" fillId="0" borderId="11" applyAlignment="1" applyProtection="1" pivotButton="0" quotePrefix="0" xfId="0">
      <alignment wrapText="1"/>
      <protection locked="1" hidden="1"/>
    </xf>
    <xf numFmtId="0" fontId="109" fillId="0" borderId="0" pivotButton="0" quotePrefix="0" xfId="0"/>
    <xf numFmtId="0" fontId="111" fillId="0" borderId="11" applyAlignment="1" applyProtection="1" pivotButton="0" quotePrefix="0" xfId="0">
      <alignment wrapText="1"/>
      <protection locked="1" hidden="1"/>
    </xf>
    <xf numFmtId="0" fontId="112" fillId="0" borderId="0" pivotButton="0" quotePrefix="0" xfId="0"/>
    <xf numFmtId="0" fontId="114" fillId="0" borderId="11" applyAlignment="1" applyProtection="1" pivotButton="0" quotePrefix="0" xfId="0">
      <alignment wrapText="1"/>
      <protection locked="1" hidden="1"/>
    </xf>
    <xf numFmtId="0" fontId="115" fillId="0" borderId="0" pivotButton="0" quotePrefix="0" xfId="0"/>
    <xf numFmtId="0" fontId="117" fillId="0" borderId="11" applyAlignment="1" applyProtection="1" pivotButton="0" quotePrefix="0" xfId="0">
      <alignment wrapText="1"/>
      <protection locked="1" hidden="1"/>
    </xf>
    <xf numFmtId="0" fontId="118" fillId="0" borderId="0" pivotButton="0" quotePrefix="0" xfId="0"/>
    <xf numFmtId="0" fontId="120" fillId="0" borderId="11" applyAlignment="1" applyProtection="1" pivotButton="0" quotePrefix="0" xfId="0">
      <alignment wrapText="1"/>
      <protection locked="1" hidden="1"/>
    </xf>
    <xf numFmtId="0" fontId="121" fillId="0" borderId="0" pivotButton="0" quotePrefix="0" xfId="0"/>
    <xf numFmtId="0" fontId="123" fillId="0" borderId="11" applyAlignment="1" applyProtection="1" pivotButton="0" quotePrefix="0" xfId="0">
      <alignment wrapText="1"/>
      <protection locked="1" hidden="1"/>
    </xf>
    <xf numFmtId="0" fontId="124" fillId="0" borderId="0" pivotButton="0" quotePrefix="0" xfId="0"/>
    <xf numFmtId="0" fontId="126" fillId="0" borderId="11" applyAlignment="1" applyProtection="1" pivotButton="0" quotePrefix="0" xfId="0">
      <alignment wrapText="1"/>
      <protection locked="1" hidden="1"/>
    </xf>
    <xf numFmtId="0" fontId="127" fillId="0" borderId="0" pivotButton="0" quotePrefix="0" xfId="0"/>
    <xf numFmtId="0" fontId="129" fillId="0" borderId="11" applyAlignment="1" applyProtection="1" pivotButton="0" quotePrefix="0" xfId="0">
      <alignment wrapText="1"/>
      <protection locked="1" hidden="1"/>
    </xf>
    <xf numFmtId="0" fontId="130" fillId="0" borderId="0" pivotButton="0" quotePrefix="0" xfId="0"/>
    <xf numFmtId="0" fontId="132" fillId="0" borderId="11" applyAlignment="1" applyProtection="1" pivotButton="0" quotePrefix="0" xfId="0">
      <alignment wrapText="1"/>
      <protection locked="1" hidden="1"/>
    </xf>
    <xf numFmtId="0" fontId="133" fillId="0" borderId="0" pivotButton="0" quotePrefix="0" xfId="0"/>
    <xf numFmtId="0" fontId="135" fillId="0" borderId="11" applyAlignment="1" applyProtection="1" pivotButton="0" quotePrefix="0" xfId="0">
      <alignment wrapText="1"/>
      <protection locked="1" hidden="1"/>
    </xf>
    <xf numFmtId="0" fontId="136" fillId="0" borderId="0" pivotButton="0" quotePrefix="0" xfId="0"/>
    <xf numFmtId="0" fontId="138" fillId="0" borderId="11" applyAlignment="1" applyProtection="1" pivotButton="0" quotePrefix="0" xfId="0">
      <alignment wrapText="1"/>
      <protection locked="1" hidden="1"/>
    </xf>
    <xf numFmtId="0" fontId="139" fillId="0" borderId="0" pivotButton="0" quotePrefix="0" xfId="0"/>
    <xf numFmtId="0" fontId="141" fillId="0" borderId="11" applyAlignment="1" applyProtection="1" pivotButton="0" quotePrefix="0" xfId="0">
      <alignment wrapText="1"/>
      <protection locked="1" hidden="1"/>
    </xf>
    <xf numFmtId="0" fontId="142" fillId="0" borderId="0" pivotButton="0" quotePrefix="0" xfId="0"/>
    <xf numFmtId="0" fontId="144" fillId="0" borderId="11" applyAlignment="1" applyProtection="1" pivotButton="0" quotePrefix="0" xfId="0">
      <alignment wrapText="1"/>
      <protection locked="1" hidden="1"/>
    </xf>
    <xf numFmtId="0" fontId="145" fillId="0" borderId="0" pivotButton="0" quotePrefix="0" xfId="0"/>
    <xf numFmtId="0" fontId="147" fillId="0" borderId="11" applyAlignment="1" applyProtection="1" pivotButton="0" quotePrefix="0" xfId="0">
      <alignment wrapText="1"/>
      <protection locked="1" hidden="1"/>
    </xf>
    <xf numFmtId="0" fontId="148" fillId="0" borderId="0" pivotButton="0" quotePrefix="0" xfId="0"/>
    <xf numFmtId="0" fontId="150" fillId="0" borderId="11" applyAlignment="1" applyProtection="1" pivotButton="0" quotePrefix="0" xfId="0">
      <alignment wrapText="1"/>
      <protection locked="1" hidden="1"/>
    </xf>
    <xf numFmtId="0" fontId="151" fillId="0" borderId="0" pivotButton="0" quotePrefix="0" xfId="0"/>
    <xf numFmtId="0" fontId="153" fillId="0" borderId="11" applyAlignment="1" applyProtection="1" pivotButton="0" quotePrefix="0" xfId="0">
      <alignment wrapText="1"/>
      <protection locked="1" hidden="1"/>
    </xf>
    <xf numFmtId="0" fontId="154" fillId="0" borderId="0" pivotButton="0" quotePrefix="0" xfId="0"/>
    <xf numFmtId="0" fontId="156" fillId="0" borderId="11" applyAlignment="1" applyProtection="1" pivotButton="0" quotePrefix="0" xfId="0">
      <alignment wrapText="1"/>
      <protection locked="1" hidden="1"/>
    </xf>
    <xf numFmtId="0" fontId="157" fillId="0" borderId="0" pivotButton="0" quotePrefix="0" xfId="0"/>
    <xf numFmtId="0" fontId="159" fillId="0" borderId="11" applyAlignment="1" applyProtection="1" pivotButton="0" quotePrefix="0" xfId="0">
      <alignment wrapText="1"/>
      <protection locked="1" hidden="1"/>
    </xf>
    <xf numFmtId="0" fontId="160" fillId="0" borderId="0" pivotButton="0" quotePrefix="0" xfId="0"/>
    <xf numFmtId="0" fontId="162" fillId="0" borderId="11" applyAlignment="1" applyProtection="1" pivotButton="0" quotePrefix="0" xfId="0">
      <alignment wrapText="1"/>
      <protection locked="1" hidden="1"/>
    </xf>
    <xf numFmtId="0" fontId="163" fillId="0" borderId="0" pivotButton="0" quotePrefix="0" xfId="0"/>
    <xf numFmtId="0" fontId="165" fillId="0" borderId="11" applyAlignment="1" applyProtection="1" pivotButton="0" quotePrefix="0" xfId="0">
      <alignment wrapText="1"/>
      <protection locked="1" hidden="1"/>
    </xf>
    <xf numFmtId="0" fontId="166" fillId="0" borderId="0" pivotButton="0" quotePrefix="0" xfId="0"/>
    <xf numFmtId="0" fontId="168" fillId="0" borderId="11" applyAlignment="1" applyProtection="1" pivotButton="0" quotePrefix="0" xfId="0">
      <alignment wrapText="1"/>
      <protection locked="1" hidden="1"/>
    </xf>
    <xf numFmtId="0" fontId="169" fillId="0" borderId="0" pivotButton="0" quotePrefix="0" xfId="0"/>
    <xf numFmtId="0" fontId="171" fillId="0" borderId="11" applyAlignment="1" applyProtection="1" pivotButton="0" quotePrefix="0" xfId="0">
      <alignment wrapText="1"/>
      <protection locked="1" hidden="1"/>
    </xf>
    <xf numFmtId="0" fontId="172" fillId="0" borderId="0" pivotButton="0" quotePrefix="0" xfId="0"/>
    <xf numFmtId="0" fontId="174" fillId="0" borderId="11" applyAlignment="1" applyProtection="1" pivotButton="0" quotePrefix="0" xfId="0">
      <alignment wrapText="1"/>
      <protection locked="1" hidden="1"/>
    </xf>
    <xf numFmtId="0" fontId="175" fillId="0" borderId="0" pivotButton="0" quotePrefix="0" xfId="0"/>
    <xf numFmtId="0" fontId="177" fillId="0" borderId="11" applyAlignment="1" applyProtection="1" pivotButton="0" quotePrefix="0" xfId="0">
      <alignment wrapText="1"/>
      <protection locked="1" hidden="1"/>
    </xf>
    <xf numFmtId="0" fontId="178" fillId="0" borderId="0" pivotButton="0" quotePrefix="0" xfId="0"/>
    <xf numFmtId="0" fontId="180" fillId="0" borderId="11" applyAlignment="1" applyProtection="1" pivotButton="0" quotePrefix="0" xfId="0">
      <alignment wrapText="1"/>
      <protection locked="1" hidden="1"/>
    </xf>
    <xf numFmtId="0" fontId="181" fillId="0" borderId="0" pivotButton="0" quotePrefix="0" xfId="0"/>
    <xf numFmtId="0" fontId="183" fillId="0" borderId="11" applyAlignment="1" applyProtection="1" pivotButton="0" quotePrefix="0" xfId="0">
      <alignment wrapText="1"/>
      <protection locked="1" hidden="1"/>
    </xf>
    <xf numFmtId="0" fontId="184" fillId="0" borderId="0" pivotButton="0" quotePrefix="0" xfId="0"/>
    <xf numFmtId="0" fontId="186" fillId="0" borderId="11" applyAlignment="1" applyProtection="1" pivotButton="0" quotePrefix="0" xfId="0">
      <alignment wrapText="1"/>
      <protection locked="1" hidden="1"/>
    </xf>
    <xf numFmtId="0" fontId="187" fillId="0" borderId="0" pivotButton="0" quotePrefix="0" xfId="0"/>
    <xf numFmtId="0" fontId="189" fillId="0" borderId="11" applyAlignment="1" applyProtection="1" pivotButton="0" quotePrefix="0" xfId="0">
      <alignment wrapText="1"/>
      <protection locked="1" hidden="1"/>
    </xf>
    <xf numFmtId="0" fontId="190" fillId="0" borderId="0" pivotButton="0" quotePrefix="0" xfId="0"/>
    <xf numFmtId="0" fontId="192" fillId="0" borderId="11" applyAlignment="1" applyProtection="1" pivotButton="0" quotePrefix="0" xfId="0">
      <alignment wrapText="1"/>
      <protection locked="1" hidden="1"/>
    </xf>
    <xf numFmtId="0" fontId="193" fillId="0" borderId="0" pivotButton="0" quotePrefix="0" xfId="0"/>
    <xf numFmtId="0" fontId="195" fillId="0" borderId="11" applyAlignment="1" applyProtection="1" pivotButton="0" quotePrefix="0" xfId="0">
      <alignment wrapText="1"/>
      <protection locked="1" hidden="1"/>
    </xf>
    <xf numFmtId="0" fontId="196" fillId="0" borderId="0" pivotButton="0" quotePrefix="0" xfId="0"/>
    <xf numFmtId="0" fontId="198" fillId="0" borderId="11" applyAlignment="1" applyProtection="1" pivotButton="0" quotePrefix="0" xfId="0">
      <alignment wrapText="1"/>
      <protection locked="1" hidden="1"/>
    </xf>
    <xf numFmtId="0" fontId="199" fillId="0" borderId="0" pivotButton="0" quotePrefix="0" xfId="0"/>
    <xf numFmtId="0" fontId="201" fillId="0" borderId="11" applyAlignment="1" applyProtection="1" pivotButton="0" quotePrefix="0" xfId="0">
      <alignment wrapText="1"/>
      <protection locked="1" hidden="1"/>
    </xf>
    <xf numFmtId="0" fontId="202" fillId="0" borderId="0" pivotButton="0" quotePrefix="0" xfId="0"/>
    <xf numFmtId="0" fontId="204" fillId="0" borderId="11" applyAlignment="1" applyProtection="1" pivotButton="0" quotePrefix="0" xfId="0">
      <alignment wrapText="1"/>
      <protection locked="1" hidden="1"/>
    </xf>
    <xf numFmtId="0" fontId="205" fillId="0" borderId="0" pivotButton="0" quotePrefix="0" xfId="0"/>
    <xf numFmtId="0" fontId="207" fillId="0" borderId="11" applyAlignment="1" applyProtection="1" pivotButton="0" quotePrefix="0" xfId="0">
      <alignment wrapText="1"/>
      <protection locked="1" hidden="1"/>
    </xf>
    <xf numFmtId="0" fontId="208" fillId="0" borderId="0" pivotButton="0" quotePrefix="0" xfId="0"/>
    <xf numFmtId="0" fontId="210" fillId="0" borderId="11" applyAlignment="1" applyProtection="1" pivotButton="0" quotePrefix="0" xfId="0">
      <alignment wrapText="1"/>
      <protection locked="1" hidden="1"/>
    </xf>
    <xf numFmtId="0" fontId="211" fillId="0" borderId="0" pivotButton="0" quotePrefix="0" xfId="0"/>
    <xf numFmtId="0" fontId="213" fillId="0" borderId="11" applyAlignment="1" applyProtection="1" pivotButton="0" quotePrefix="0" xfId="0">
      <alignment wrapText="1"/>
      <protection locked="1" hidden="1"/>
    </xf>
    <xf numFmtId="0" fontId="214" fillId="0" borderId="0" pivotButton="0" quotePrefix="0" xfId="0"/>
    <xf numFmtId="0" fontId="216" fillId="0" borderId="11" applyAlignment="1" applyProtection="1" pivotButton="0" quotePrefix="0" xfId="0">
      <alignment wrapText="1"/>
      <protection locked="1" hidden="1"/>
    </xf>
    <xf numFmtId="0" fontId="217" fillId="0" borderId="0" pivotButton="0" quotePrefix="0" xfId="0"/>
    <xf numFmtId="0" fontId="219" fillId="0" borderId="11" applyAlignment="1" applyProtection="1" pivotButton="0" quotePrefix="0" xfId="0">
      <alignment wrapText="1"/>
      <protection locked="1" hidden="1"/>
    </xf>
    <xf numFmtId="0" fontId="220" fillId="0" borderId="0" pivotButton="0" quotePrefix="0" xfId="0"/>
    <xf numFmtId="0" fontId="222" fillId="0" borderId="11" applyAlignment="1" applyProtection="1" pivotButton="0" quotePrefix="0" xfId="0">
      <alignment wrapText="1"/>
      <protection locked="1" hidden="1"/>
    </xf>
    <xf numFmtId="0" fontId="223" fillId="0" borderId="0" pivotButton="0" quotePrefix="0" xfId="0"/>
    <xf numFmtId="0" fontId="225" fillId="0" borderId="11" applyAlignment="1" applyProtection="1" pivotButton="0" quotePrefix="0" xfId="0">
      <alignment wrapText="1"/>
      <protection locked="1" hidden="1"/>
    </xf>
    <xf numFmtId="0" fontId="226" fillId="0" borderId="0" pivotButton="0" quotePrefix="0" xfId="0"/>
    <xf numFmtId="0" fontId="228" fillId="0" borderId="11" applyAlignment="1" applyProtection="1" pivotButton="0" quotePrefix="0" xfId="0">
      <alignment wrapText="1"/>
      <protection locked="1" hidden="1"/>
    </xf>
    <xf numFmtId="0" fontId="229" fillId="0" borderId="0" pivotButton="0" quotePrefix="0" xfId="0"/>
    <xf numFmtId="0" fontId="231" fillId="0" borderId="11" applyAlignment="1" applyProtection="1" pivotButton="0" quotePrefix="0" xfId="0">
      <alignment wrapText="1"/>
      <protection locked="1" hidden="1"/>
    </xf>
    <xf numFmtId="0" fontId="232" fillId="0" borderId="0" pivotButton="0" quotePrefix="0" xfId="0"/>
    <xf numFmtId="0" fontId="234" fillId="0" borderId="11" applyAlignment="1" applyProtection="1" pivotButton="0" quotePrefix="0" xfId="0">
      <alignment wrapText="1"/>
      <protection locked="1" hidden="1"/>
    </xf>
    <xf numFmtId="0" fontId="235" fillId="0" borderId="0" pivotButton="0" quotePrefix="0" xfId="0"/>
    <xf numFmtId="0" fontId="237" fillId="0" borderId="11" applyAlignment="1" applyProtection="1" pivotButton="0" quotePrefix="0" xfId="0">
      <alignment wrapText="1"/>
      <protection locked="1" hidden="1"/>
    </xf>
    <xf numFmtId="0" fontId="238" fillId="0" borderId="0" pivotButton="0" quotePrefix="0" xfId="0"/>
    <xf numFmtId="0" fontId="240" fillId="0" borderId="11" applyAlignment="1" applyProtection="1" pivotButton="0" quotePrefix="0" xfId="0">
      <alignment wrapText="1"/>
      <protection locked="1" hidden="1"/>
    </xf>
    <xf numFmtId="0" fontId="241" fillId="0" borderId="0" pivotButton="0" quotePrefix="0" xfId="0"/>
    <xf numFmtId="0" fontId="243" fillId="0" borderId="11" applyAlignment="1" applyProtection="1" pivotButton="0" quotePrefix="0" xfId="0">
      <alignment wrapText="1"/>
      <protection locked="1" hidden="1"/>
    </xf>
    <xf numFmtId="0" fontId="244" fillId="0" borderId="0" pivotButton="0" quotePrefix="0" xfId="0"/>
    <xf numFmtId="0" fontId="246" fillId="0" borderId="11" applyAlignment="1" applyProtection="1" pivotButton="0" quotePrefix="0" xfId="0">
      <alignment wrapText="1"/>
      <protection locked="1" hidden="1"/>
    </xf>
    <xf numFmtId="0" fontId="247" fillId="0" borderId="0" pivotButton="0" quotePrefix="0" xfId="0"/>
    <xf numFmtId="0" fontId="249" fillId="0" borderId="11" applyAlignment="1" applyProtection="1" pivotButton="0" quotePrefix="0" xfId="0">
      <alignment wrapText="1"/>
      <protection locked="1" hidden="1"/>
    </xf>
    <xf numFmtId="0" fontId="250" fillId="0" borderId="0" pivotButton="0" quotePrefix="0" xfId="0"/>
    <xf numFmtId="0" fontId="252" fillId="0" borderId="11" applyAlignment="1" applyProtection="1" pivotButton="0" quotePrefix="0" xfId="0">
      <alignment wrapText="1"/>
      <protection locked="1" hidden="1"/>
    </xf>
    <xf numFmtId="0" fontId="253" fillId="0" borderId="0" pivotButton="0" quotePrefix="0" xfId="0"/>
    <xf numFmtId="0" fontId="255" fillId="0" borderId="11" applyAlignment="1" applyProtection="1" pivotButton="0" quotePrefix="0" xfId="0">
      <alignment wrapText="1"/>
      <protection locked="1" hidden="1"/>
    </xf>
    <xf numFmtId="0" fontId="256" fillId="0" borderId="0" pivotButton="0" quotePrefix="0" xfId="0"/>
    <xf numFmtId="0" fontId="258" fillId="0" borderId="11" applyAlignment="1" applyProtection="1" pivotButton="0" quotePrefix="0" xfId="0">
      <alignment wrapText="1"/>
      <protection locked="1" hidden="1"/>
    </xf>
    <xf numFmtId="0" fontId="259" fillId="0" borderId="0" pivotButton="0" quotePrefix="0" xfId="0"/>
    <xf numFmtId="0" fontId="261" fillId="0" borderId="11" applyAlignment="1" applyProtection="1" pivotButton="0" quotePrefix="0" xfId="0">
      <alignment wrapText="1"/>
      <protection locked="1" hidden="1"/>
    </xf>
    <xf numFmtId="0" fontId="262" fillId="0" borderId="0" pivotButton="0" quotePrefix="0" xfId="0"/>
    <xf numFmtId="0" fontId="264" fillId="0" borderId="11" applyAlignment="1" applyProtection="1" pivotButton="0" quotePrefix="0" xfId="0">
      <alignment wrapText="1"/>
      <protection locked="1" hidden="1"/>
    </xf>
    <xf numFmtId="0" fontId="265" fillId="0" borderId="0" pivotButton="0" quotePrefix="0" xfId="0"/>
    <xf numFmtId="0" fontId="267" fillId="0" borderId="11" applyAlignment="1" applyProtection="1" pivotButton="0" quotePrefix="0" xfId="0">
      <alignment wrapText="1"/>
      <protection locked="1" hidden="1"/>
    </xf>
    <xf numFmtId="0" fontId="268" fillId="0" borderId="0" pivotButton="0" quotePrefix="0" xfId="0"/>
    <xf numFmtId="0" fontId="270" fillId="0" borderId="11" applyAlignment="1" applyProtection="1" pivotButton="0" quotePrefix="0" xfId="0">
      <alignment wrapText="1"/>
      <protection locked="1" hidden="1"/>
    </xf>
    <xf numFmtId="0" fontId="271" fillId="0" borderId="0" pivotButton="0" quotePrefix="0" xfId="0"/>
    <xf numFmtId="0" fontId="273" fillId="0" borderId="11" applyAlignment="1" applyProtection="1" pivotButton="0" quotePrefix="0" xfId="0">
      <alignment wrapText="1"/>
      <protection locked="1" hidden="1"/>
    </xf>
    <xf numFmtId="0" fontId="274" fillId="0" borderId="0" pivotButton="0" quotePrefix="0" xfId="0"/>
    <xf numFmtId="0" fontId="276" fillId="0" borderId="11" applyAlignment="1" applyProtection="1" pivotButton="0" quotePrefix="0" xfId="0">
      <alignment wrapText="1"/>
      <protection locked="1" hidden="1"/>
    </xf>
    <xf numFmtId="0" fontId="277" fillId="0" borderId="0" pivotButton="0" quotePrefix="0" xfId="0"/>
    <xf numFmtId="0" fontId="279" fillId="0" borderId="11" applyAlignment="1" applyProtection="1" pivotButton="0" quotePrefix="0" xfId="0">
      <alignment wrapText="1"/>
      <protection locked="1" hidden="1"/>
    </xf>
    <xf numFmtId="0" fontId="280" fillId="0" borderId="0" pivotButton="0" quotePrefix="0" xfId="0"/>
    <xf numFmtId="0" fontId="282" fillId="0" borderId="11" applyAlignment="1" applyProtection="1" pivotButton="0" quotePrefix="0" xfId="0">
      <alignment wrapText="1"/>
      <protection locked="1" hidden="1"/>
    </xf>
    <xf numFmtId="0" fontId="283" fillId="0" borderId="0" pivotButton="0" quotePrefix="0" xfId="0"/>
    <xf numFmtId="0" fontId="285" fillId="0" borderId="11" applyAlignment="1" applyProtection="1" pivotButton="0" quotePrefix="0" xfId="0">
      <alignment wrapText="1"/>
      <protection locked="1" hidden="1"/>
    </xf>
    <xf numFmtId="0" fontId="286" fillId="0" borderId="0" pivotButton="0" quotePrefix="0" xfId="0"/>
    <xf numFmtId="0" fontId="288" fillId="0" borderId="11" applyAlignment="1" applyProtection="1" pivotButton="0" quotePrefix="0" xfId="0">
      <alignment wrapText="1"/>
      <protection locked="1" hidden="1"/>
    </xf>
    <xf numFmtId="0" fontId="289" fillId="0" borderId="0" pivotButton="0" quotePrefix="0" xfId="0"/>
    <xf numFmtId="0" fontId="291" fillId="0" borderId="11" applyAlignment="1" applyProtection="1" pivotButton="0" quotePrefix="0" xfId="0">
      <alignment wrapText="1"/>
      <protection locked="1" hidden="1"/>
    </xf>
    <xf numFmtId="0" fontId="292" fillId="0" borderId="0" pivotButton="0" quotePrefix="0" xfId="0"/>
    <xf numFmtId="0" fontId="294" fillId="0" borderId="11" applyAlignment="1" applyProtection="1" pivotButton="0" quotePrefix="0" xfId="0">
      <alignment wrapText="1"/>
      <protection locked="1" hidden="1"/>
    </xf>
    <xf numFmtId="0" fontId="295" fillId="0" borderId="0" pivotButton="0" quotePrefix="0" xfId="0"/>
    <xf numFmtId="0" fontId="297" fillId="0" borderId="11" applyAlignment="1" applyProtection="1" pivotButton="0" quotePrefix="0" xfId="0">
      <alignment wrapText="1"/>
      <protection locked="1" hidden="1"/>
    </xf>
    <xf numFmtId="0" fontId="298" fillId="0" borderId="0" pivotButton="0" quotePrefix="0" xfId="0"/>
    <xf numFmtId="0" fontId="300" fillId="0" borderId="11" applyAlignment="1" applyProtection="1" pivotButton="0" quotePrefix="0" xfId="0">
      <alignment wrapText="1"/>
      <protection locked="1" hidden="1"/>
    </xf>
    <xf numFmtId="0" fontId="301" fillId="0" borderId="0" pivotButton="0" quotePrefix="0" xfId="0"/>
    <xf numFmtId="0" fontId="303" fillId="0" borderId="11" applyAlignment="1" applyProtection="1" pivotButton="0" quotePrefix="0" xfId="0">
      <alignment wrapText="1"/>
      <protection locked="1" hidden="1"/>
    </xf>
    <xf numFmtId="0" fontId="304" fillId="0" borderId="0" pivotButton="0" quotePrefix="0" xfId="0"/>
    <xf numFmtId="0" fontId="306" fillId="0" borderId="11" applyAlignment="1" applyProtection="1" pivotButton="0" quotePrefix="0" xfId="0">
      <alignment wrapText="1"/>
      <protection locked="1" hidden="1"/>
    </xf>
    <xf numFmtId="0" fontId="307" fillId="0" borderId="0" pivotButton="0" quotePrefix="0" xfId="0"/>
    <xf numFmtId="0" fontId="309" fillId="0" borderId="11" applyAlignment="1" applyProtection="1" pivotButton="0" quotePrefix="0" xfId="0">
      <alignment wrapText="1"/>
      <protection locked="1" hidden="1"/>
    </xf>
    <xf numFmtId="0" fontId="310" fillId="0" borderId="0" pivotButton="0" quotePrefix="0" xfId="0"/>
    <xf numFmtId="0" fontId="312" fillId="0" borderId="11" applyAlignment="1" applyProtection="1" pivotButton="0" quotePrefix="0" xfId="0">
      <alignment wrapText="1"/>
      <protection locked="1" hidden="1"/>
    </xf>
    <xf numFmtId="0" fontId="313" fillId="0" borderId="0" pivotButton="0" quotePrefix="0" xfId="0"/>
    <xf numFmtId="0" fontId="315" fillId="0" borderId="11" applyAlignment="1" applyProtection="1" pivotButton="0" quotePrefix="0" xfId="0">
      <alignment wrapText="1"/>
      <protection locked="1" hidden="1"/>
    </xf>
    <xf numFmtId="0" fontId="316" fillId="0" borderId="0" pivotButton="0" quotePrefix="0" xfId="0"/>
    <xf numFmtId="0" fontId="318" fillId="0" borderId="11" applyAlignment="1" applyProtection="1" pivotButton="0" quotePrefix="0" xfId="0">
      <alignment wrapText="1"/>
      <protection locked="1" hidden="1"/>
    </xf>
    <xf numFmtId="0" fontId="319" fillId="0" borderId="0" pivotButton="0" quotePrefix="0" xfId="0"/>
    <xf numFmtId="0" fontId="321" fillId="0" borderId="11" applyAlignment="1" applyProtection="1" pivotButton="0" quotePrefix="0" xfId="0">
      <alignment wrapText="1"/>
      <protection locked="1" hidden="1"/>
    </xf>
    <xf numFmtId="0" fontId="322" fillId="0" borderId="0" pivotButton="0" quotePrefix="0" xfId="0"/>
    <xf numFmtId="0" fontId="324" fillId="0" borderId="11" applyAlignment="1" applyProtection="1" pivotButton="0" quotePrefix="0" xfId="0">
      <alignment wrapText="1"/>
      <protection locked="1" hidden="1"/>
    </xf>
    <xf numFmtId="0" fontId="325" fillId="0" borderId="0" pivotButton="0" quotePrefix="0" xfId="0"/>
    <xf numFmtId="0" fontId="327" fillId="0" borderId="11" applyAlignment="1" applyProtection="1" pivotButton="0" quotePrefix="0" xfId="0">
      <alignment wrapText="1"/>
      <protection locked="1" hidden="1"/>
    </xf>
    <xf numFmtId="0" fontId="328" fillId="0" borderId="0" pivotButton="0" quotePrefix="0" xfId="0"/>
    <xf numFmtId="0" fontId="330" fillId="0" borderId="11" applyAlignment="1" applyProtection="1" pivotButton="0" quotePrefix="0" xfId="0">
      <alignment wrapText="1"/>
      <protection locked="1" hidden="1"/>
    </xf>
    <xf numFmtId="0" fontId="331" fillId="0" borderId="0" pivotButton="0" quotePrefix="0" xfId="0"/>
    <xf numFmtId="0" fontId="333" fillId="0" borderId="11" applyAlignment="1" applyProtection="1" pivotButton="0" quotePrefix="0" xfId="0">
      <alignment wrapText="1"/>
      <protection locked="1" hidden="1"/>
    </xf>
    <xf numFmtId="0" fontId="334" fillId="0" borderId="0" pivotButton="0" quotePrefix="0" xfId="0"/>
    <xf numFmtId="0" fontId="336" fillId="0" borderId="11" applyAlignment="1" applyProtection="1" pivotButton="0" quotePrefix="0" xfId="0">
      <alignment wrapText="1"/>
      <protection locked="1" hidden="1"/>
    </xf>
    <xf numFmtId="0" fontId="337" fillId="0" borderId="0" pivotButton="0" quotePrefix="0" xfId="0"/>
    <xf numFmtId="0" fontId="339" fillId="0" borderId="11" applyAlignment="1" applyProtection="1" pivotButton="0" quotePrefix="0" xfId="0">
      <alignment wrapText="1"/>
      <protection locked="1" hidden="1"/>
    </xf>
    <xf numFmtId="0" fontId="340" fillId="0" borderId="0" pivotButton="0" quotePrefix="0" xfId="0"/>
    <xf numFmtId="0" fontId="342" fillId="0" borderId="11" applyAlignment="1" applyProtection="1" pivotButton="0" quotePrefix="0" xfId="0">
      <alignment wrapText="1"/>
      <protection locked="1" hidden="1"/>
    </xf>
    <xf numFmtId="0" fontId="343" fillId="0" borderId="0" pivotButton="0" quotePrefix="0" xfId="0"/>
    <xf numFmtId="0" fontId="345" fillId="0" borderId="11" applyAlignment="1" applyProtection="1" pivotButton="0" quotePrefix="0" xfId="0">
      <alignment wrapText="1"/>
      <protection locked="1" hidden="1"/>
    </xf>
    <xf numFmtId="0" fontId="346" fillId="0" borderId="0" pivotButton="0" quotePrefix="0" xfId="0"/>
    <xf numFmtId="0" fontId="348" fillId="0" borderId="11" applyAlignment="1" applyProtection="1" pivotButton="0" quotePrefix="0" xfId="0">
      <alignment wrapText="1"/>
      <protection locked="1" hidden="1"/>
    </xf>
    <xf numFmtId="0" fontId="349" fillId="0" borderId="0" pivotButton="0" quotePrefix="0" xfId="0"/>
    <xf numFmtId="0" fontId="351" fillId="0" borderId="11" applyAlignment="1" applyProtection="1" pivotButton="0" quotePrefix="0" xfId="0">
      <alignment wrapText="1"/>
      <protection locked="1" hidden="1"/>
    </xf>
    <xf numFmtId="0" fontId="352" fillId="0" borderId="0" pivotButton="0" quotePrefix="0" xfId="0"/>
    <xf numFmtId="0" fontId="354" fillId="0" borderId="11" applyAlignment="1" applyProtection="1" pivotButton="0" quotePrefix="0" xfId="0">
      <alignment wrapText="1"/>
      <protection locked="1" hidden="1"/>
    </xf>
    <xf numFmtId="0" fontId="355" fillId="0" borderId="0" pivotButton="0" quotePrefix="0" xfId="0"/>
    <xf numFmtId="0" fontId="357" fillId="0" borderId="11" applyAlignment="1" applyProtection="1" pivotButton="0" quotePrefix="0" xfId="0">
      <alignment wrapText="1"/>
      <protection locked="1" hidden="1"/>
    </xf>
    <xf numFmtId="0" fontId="358" fillId="0" borderId="0" pivotButton="0" quotePrefix="0" xfId="0"/>
    <xf numFmtId="0" fontId="360" fillId="0" borderId="11" applyAlignment="1" applyProtection="1" pivotButton="0" quotePrefix="0" xfId="0">
      <alignment wrapText="1"/>
      <protection locked="1" hidden="1"/>
    </xf>
    <xf numFmtId="0" fontId="361" fillId="0" borderId="0" pivotButton="0" quotePrefix="0" xfId="0"/>
    <xf numFmtId="0" fontId="363" fillId="0" borderId="11" applyAlignment="1" applyProtection="1" pivotButton="0" quotePrefix="0" xfId="0">
      <alignment wrapText="1"/>
      <protection locked="1" hidden="1"/>
    </xf>
    <xf numFmtId="0" fontId="364" fillId="0" borderId="0" pivotButton="0" quotePrefix="0" xfId="0"/>
    <xf numFmtId="0" fontId="366" fillId="0" borderId="11" applyAlignment="1" applyProtection="1" pivotButton="0" quotePrefix="0" xfId="0">
      <alignment wrapText="1"/>
      <protection locked="1" hidden="1"/>
    </xf>
    <xf numFmtId="0" fontId="367" fillId="0" borderId="0" pivotButton="0" quotePrefix="0" xfId="0"/>
    <xf numFmtId="0" fontId="369" fillId="0" borderId="11" applyAlignment="1" applyProtection="1" pivotButton="0" quotePrefix="0" xfId="0">
      <alignment wrapText="1"/>
      <protection locked="1" hidden="1"/>
    </xf>
    <xf numFmtId="0" fontId="370" fillId="0" borderId="0" pivotButton="0" quotePrefix="0" xfId="0"/>
    <xf numFmtId="0" fontId="372" fillId="0" borderId="11" applyAlignment="1" applyProtection="1" pivotButton="0" quotePrefix="0" xfId="0">
      <alignment wrapText="1"/>
      <protection locked="1" hidden="1"/>
    </xf>
    <xf numFmtId="0" fontId="373" fillId="0" borderId="0" pivotButton="0" quotePrefix="0" xfId="0"/>
    <xf numFmtId="0" fontId="375" fillId="0" borderId="11" applyAlignment="1" applyProtection="1" pivotButton="0" quotePrefix="0" xfId="0">
      <alignment wrapText="1"/>
      <protection locked="1" hidden="1"/>
    </xf>
    <xf numFmtId="0" fontId="376" fillId="0" borderId="0" pivotButton="0" quotePrefix="0" xfId="0"/>
    <xf numFmtId="0" fontId="378" fillId="0" borderId="11" applyAlignment="1" applyProtection="1" pivotButton="0" quotePrefix="0" xfId="0">
      <alignment wrapText="1"/>
      <protection locked="1" hidden="1"/>
    </xf>
    <xf numFmtId="0" fontId="379" fillId="0" borderId="0" pivotButton="0" quotePrefix="0" xfId="0"/>
    <xf numFmtId="0" fontId="381" fillId="0" borderId="11" applyAlignment="1" applyProtection="1" pivotButton="0" quotePrefix="0" xfId="0">
      <alignment wrapText="1"/>
      <protection locked="1" hidden="1"/>
    </xf>
    <xf numFmtId="0" fontId="382" fillId="0" borderId="0" pivotButton="0" quotePrefix="0" xfId="0"/>
    <xf numFmtId="0" fontId="384" fillId="0" borderId="11" applyAlignment="1" applyProtection="1" pivotButton="0" quotePrefix="0" xfId="0">
      <alignment wrapText="1"/>
      <protection locked="1" hidden="1"/>
    </xf>
    <xf numFmtId="0" fontId="385" fillId="0" borderId="0" pivotButton="0" quotePrefix="0" xfId="0"/>
    <xf numFmtId="0" fontId="387" fillId="0" borderId="11" applyAlignment="1" applyProtection="1" pivotButton="0" quotePrefix="0" xfId="0">
      <alignment wrapText="1"/>
      <protection locked="1" hidden="1"/>
    </xf>
    <xf numFmtId="0" fontId="388" fillId="0" borderId="0" pivotButton="0" quotePrefix="0" xfId="0"/>
    <xf numFmtId="0" fontId="390" fillId="0" borderId="11" applyAlignment="1" applyProtection="1" pivotButton="0" quotePrefix="0" xfId="0">
      <alignment wrapText="1"/>
      <protection locked="1" hidden="1"/>
    </xf>
    <xf numFmtId="0" fontId="391" fillId="0" borderId="0" pivotButton="0" quotePrefix="0" xfId="0"/>
    <xf numFmtId="0" fontId="393" fillId="0" borderId="11" applyAlignment="1" applyProtection="1" pivotButton="0" quotePrefix="0" xfId="0">
      <alignment wrapText="1"/>
      <protection locked="1" hidden="1"/>
    </xf>
    <xf numFmtId="0" fontId="394" fillId="0" borderId="0" pivotButton="0" quotePrefix="0" xfId="0"/>
    <xf numFmtId="0" fontId="396" fillId="0" borderId="11" applyAlignment="1" applyProtection="1" pivotButton="0" quotePrefix="0" xfId="0">
      <alignment wrapText="1"/>
      <protection locked="1" hidden="1"/>
    </xf>
    <xf numFmtId="0" fontId="397" fillId="0" borderId="0" pivotButton="0" quotePrefix="0" xfId="0"/>
    <xf numFmtId="0" fontId="399" fillId="0" borderId="11" applyAlignment="1" applyProtection="1" pivotButton="0" quotePrefix="0" xfId="0">
      <alignment wrapText="1"/>
      <protection locked="1" hidden="1"/>
    </xf>
    <xf numFmtId="0" fontId="400" fillId="0" borderId="0" pivotButton="0" quotePrefix="0" xfId="0"/>
    <xf numFmtId="0" fontId="402" fillId="0" borderId="11" applyAlignment="1" applyProtection="1" pivotButton="0" quotePrefix="0" xfId="0">
      <alignment wrapText="1"/>
      <protection locked="1" hidden="1"/>
    </xf>
    <xf numFmtId="0" fontId="403" fillId="0" borderId="0" pivotButton="0" quotePrefix="0" xfId="0"/>
    <xf numFmtId="0" fontId="405" fillId="0" borderId="11" applyAlignment="1" applyProtection="1" pivotButton="0" quotePrefix="0" xfId="0">
      <alignment wrapText="1"/>
      <protection locked="1" hidden="1"/>
    </xf>
    <xf numFmtId="0" fontId="406" fillId="0" borderId="0" pivotButton="0" quotePrefix="0" xfId="0"/>
    <xf numFmtId="0" fontId="408" fillId="0" borderId="11" applyAlignment="1" applyProtection="1" pivotButton="0" quotePrefix="0" xfId="0">
      <alignment wrapText="1"/>
      <protection locked="1" hidden="1"/>
    </xf>
    <xf numFmtId="0" fontId="409" fillId="0" borderId="0" pivotButton="0" quotePrefix="0" xfId="0"/>
    <xf numFmtId="0" fontId="411" fillId="0" borderId="11" applyAlignment="1" applyProtection="1" pivotButton="0" quotePrefix="0" xfId="0">
      <alignment wrapText="1"/>
      <protection locked="1" hidden="1"/>
    </xf>
    <xf numFmtId="0" fontId="412" fillId="0" borderId="0" pivotButton="0" quotePrefix="0" xfId="0"/>
    <xf numFmtId="0" fontId="414" fillId="0" borderId="11" applyAlignment="1" applyProtection="1" pivotButton="0" quotePrefix="0" xfId="0">
      <alignment wrapText="1"/>
      <protection locked="1" hidden="1"/>
    </xf>
    <xf numFmtId="0" fontId="415" fillId="0" borderId="0" pivotButton="0" quotePrefix="0" xfId="0"/>
    <xf numFmtId="0" fontId="417" fillId="0" borderId="11" applyAlignment="1" applyProtection="1" pivotButton="0" quotePrefix="0" xfId="0">
      <alignment wrapText="1"/>
      <protection locked="1" hidden="1"/>
    </xf>
    <xf numFmtId="0" fontId="418" fillId="0" borderId="0" pivotButton="0" quotePrefix="0" xfId="0"/>
    <xf numFmtId="0" fontId="420" fillId="0" borderId="11" applyAlignment="1" applyProtection="1" pivotButton="0" quotePrefix="0" xfId="0">
      <alignment wrapText="1"/>
      <protection locked="1" hidden="1"/>
    </xf>
    <xf numFmtId="0" fontId="421" fillId="0" borderId="0" pivotButton="0" quotePrefix="0" xfId="0"/>
    <xf numFmtId="0" fontId="423" fillId="0" borderId="11" applyAlignment="1" applyProtection="1" pivotButton="0" quotePrefix="0" xfId="0">
      <alignment wrapText="1"/>
      <protection locked="1" hidden="1"/>
    </xf>
    <xf numFmtId="0" fontId="424" fillId="0" borderId="0" pivotButton="0" quotePrefix="0" xfId="0"/>
    <xf numFmtId="0" fontId="426" fillId="0" borderId="11" applyAlignment="1" applyProtection="1" pivotButton="0" quotePrefix="0" xfId="0">
      <alignment wrapText="1"/>
      <protection locked="1" hidden="1"/>
    </xf>
    <xf numFmtId="0" fontId="427" fillId="0" borderId="0" pivotButton="0" quotePrefix="0" xfId="0"/>
    <xf numFmtId="0" fontId="429" fillId="0" borderId="11" applyAlignment="1" applyProtection="1" pivotButton="0" quotePrefix="0" xfId="0">
      <alignment wrapText="1"/>
      <protection locked="1" hidden="1"/>
    </xf>
    <xf numFmtId="0" fontId="430" fillId="0" borderId="0" pivotButton="0" quotePrefix="0" xfId="0"/>
    <xf numFmtId="0" fontId="432" fillId="0" borderId="11" applyAlignment="1" applyProtection="1" pivotButton="0" quotePrefix="0" xfId="0">
      <alignment wrapText="1"/>
      <protection locked="1" hidden="1"/>
    </xf>
    <xf numFmtId="0" fontId="433" fillId="0" borderId="0" pivotButton="0" quotePrefix="0" xfId="0"/>
    <xf numFmtId="0" fontId="435" fillId="0" borderId="11" applyAlignment="1" applyProtection="1" pivotButton="0" quotePrefix="0" xfId="0">
      <alignment wrapText="1"/>
      <protection locked="1" hidden="1"/>
    </xf>
    <xf numFmtId="0" fontId="436" fillId="0" borderId="0" pivotButton="0" quotePrefix="0" xfId="0"/>
    <xf numFmtId="0" fontId="438" fillId="0" borderId="11" applyAlignment="1" applyProtection="1" pivotButton="0" quotePrefix="0" xfId="0">
      <alignment wrapText="1"/>
      <protection locked="1" hidden="1"/>
    </xf>
    <xf numFmtId="0" fontId="439" fillId="0" borderId="0" pivotButton="0" quotePrefix="0" xfId="0"/>
    <xf numFmtId="0" fontId="441" fillId="0" borderId="11" applyAlignment="1" applyProtection="1" pivotButton="0" quotePrefix="0" xfId="0">
      <alignment wrapText="1"/>
      <protection locked="1" hidden="1"/>
    </xf>
    <xf numFmtId="0" fontId="442" fillId="0" borderId="0" pivotButton="0" quotePrefix="0" xfId="0"/>
    <xf numFmtId="0" fontId="444" fillId="0" borderId="11" applyAlignment="1" applyProtection="1" pivotButton="0" quotePrefix="0" xfId="0">
      <alignment wrapText="1"/>
      <protection locked="1" hidden="1"/>
    </xf>
    <xf numFmtId="0" fontId="445" fillId="0" borderId="0" pivotButton="0" quotePrefix="0" xfId="0"/>
    <xf numFmtId="0" fontId="447" fillId="0" borderId="11" applyAlignment="1" applyProtection="1" pivotButton="0" quotePrefix="0" xfId="0">
      <alignment wrapText="1"/>
      <protection locked="1" hidden="1"/>
    </xf>
    <xf numFmtId="0" fontId="448" fillId="0" borderId="0" pivotButton="0" quotePrefix="0" xfId="0"/>
    <xf numFmtId="0" fontId="450" fillId="0" borderId="11" applyAlignment="1" applyProtection="1" pivotButton="0" quotePrefix="0" xfId="0">
      <alignment wrapText="1"/>
      <protection locked="1" hidden="1"/>
    </xf>
    <xf numFmtId="0" fontId="451" fillId="0" borderId="0" pivotButton="0" quotePrefix="0" xfId="0"/>
    <xf numFmtId="0" fontId="453" fillId="0" borderId="11" applyAlignment="1" applyProtection="1" pivotButton="0" quotePrefix="0" xfId="0">
      <alignment wrapText="1"/>
      <protection locked="1" hidden="1"/>
    </xf>
    <xf numFmtId="0" fontId="454" fillId="0" borderId="0" pivotButton="0" quotePrefix="0" xfId="0"/>
    <xf numFmtId="0" fontId="456" fillId="0" borderId="11" applyAlignment="1" applyProtection="1" pivotButton="0" quotePrefix="0" xfId="0">
      <alignment wrapText="1"/>
      <protection locked="1" hidden="1"/>
    </xf>
    <xf numFmtId="0" fontId="457" fillId="0" borderId="0" pivotButton="0" quotePrefix="0" xfId="0"/>
    <xf numFmtId="0" fontId="459" fillId="0" borderId="11" applyAlignment="1" applyProtection="1" pivotButton="0" quotePrefix="0" xfId="0">
      <alignment wrapText="1"/>
      <protection locked="1" hidden="1"/>
    </xf>
    <xf numFmtId="0" fontId="460" fillId="0" borderId="0" pivotButton="0" quotePrefix="0" xfId="0"/>
    <xf numFmtId="0" fontId="462" fillId="0" borderId="11" applyAlignment="1" applyProtection="1" pivotButton="0" quotePrefix="0" xfId="0">
      <alignment wrapText="1"/>
      <protection locked="1" hidden="1"/>
    </xf>
    <xf numFmtId="0" fontId="463" fillId="0" borderId="0" pivotButton="0" quotePrefix="0" xfId="0"/>
    <xf numFmtId="0" fontId="465" fillId="0" borderId="11" applyAlignment="1" applyProtection="1" pivotButton="0" quotePrefix="0" xfId="0">
      <alignment wrapText="1"/>
      <protection locked="1" hidden="1"/>
    </xf>
    <xf numFmtId="0" fontId="466" fillId="0" borderId="0" pivotButton="0" quotePrefix="0" xfId="0"/>
    <xf numFmtId="0" fontId="468" fillId="0" borderId="11" applyAlignment="1" applyProtection="1" pivotButton="0" quotePrefix="0" xfId="0">
      <alignment wrapText="1"/>
      <protection locked="1" hidden="1"/>
    </xf>
    <xf numFmtId="0" fontId="469" fillId="0" borderId="0" pivotButton="0" quotePrefix="0" xfId="0"/>
    <xf numFmtId="0" fontId="471" fillId="0" borderId="11" applyAlignment="1" applyProtection="1" pivotButton="0" quotePrefix="0" xfId="0">
      <alignment wrapText="1"/>
      <protection locked="1" hidden="1"/>
    </xf>
    <xf numFmtId="0" fontId="472" fillId="0" borderId="0" pivotButton="0" quotePrefix="0" xfId="0"/>
    <xf numFmtId="0" fontId="474" fillId="0" borderId="11" applyAlignment="1" applyProtection="1" pivotButton="0" quotePrefix="0" xfId="0">
      <alignment wrapText="1"/>
      <protection locked="1" hidden="1"/>
    </xf>
    <xf numFmtId="0" fontId="475" fillId="0" borderId="0" pivotButton="0" quotePrefix="0" xfId="0"/>
    <xf numFmtId="0" fontId="477" fillId="0" borderId="11" applyAlignment="1" applyProtection="1" pivotButton="0" quotePrefix="0" xfId="0">
      <alignment wrapText="1"/>
      <protection locked="1" hidden="1"/>
    </xf>
    <xf numFmtId="0" fontId="478" fillId="0" borderId="0" pivotButton="0" quotePrefix="0" xfId="0"/>
    <xf numFmtId="0" fontId="480" fillId="0" borderId="11" applyAlignment="1" applyProtection="1" pivotButton="0" quotePrefix="0" xfId="0">
      <alignment wrapText="1"/>
      <protection locked="1" hidden="1"/>
    </xf>
    <xf numFmtId="0" fontId="481" fillId="0" borderId="0" pivotButton="0" quotePrefix="0" xfId="0"/>
    <xf numFmtId="0" fontId="483" fillId="0" borderId="11" applyAlignment="1" applyProtection="1" pivotButton="0" quotePrefix="0" xfId="0">
      <alignment wrapText="1"/>
      <protection locked="1" hidden="1"/>
    </xf>
    <xf numFmtId="0" fontId="484" fillId="0" borderId="0" pivotButton="0" quotePrefix="0" xfId="0"/>
    <xf numFmtId="0" fontId="486" fillId="0" borderId="11" applyAlignment="1" applyProtection="1" pivotButton="0" quotePrefix="0" xfId="0">
      <alignment wrapText="1"/>
      <protection locked="1" hidden="1"/>
    </xf>
    <xf numFmtId="0" fontId="487" fillId="0" borderId="0" pivotButton="0" quotePrefix="0" xfId="0"/>
    <xf numFmtId="0" fontId="489" fillId="0" borderId="11" applyAlignment="1" applyProtection="1" pivotButton="0" quotePrefix="0" xfId="0">
      <alignment wrapText="1"/>
      <protection locked="1" hidden="1"/>
    </xf>
    <xf numFmtId="0" fontId="490" fillId="0" borderId="0" pivotButton="0" quotePrefix="0" xfId="0"/>
    <xf numFmtId="0" fontId="492" fillId="0" borderId="11" applyAlignment="1" applyProtection="1" pivotButton="0" quotePrefix="0" xfId="0">
      <alignment wrapText="1"/>
      <protection locked="1" hidden="1"/>
    </xf>
    <xf numFmtId="0" fontId="493" fillId="0" borderId="0" pivotButton="0" quotePrefix="0" xfId="0"/>
    <xf numFmtId="0" fontId="495" fillId="0" borderId="11" applyAlignment="1" applyProtection="1" pivotButton="0" quotePrefix="0" xfId="0">
      <alignment wrapText="1"/>
      <protection locked="1" hidden="1"/>
    </xf>
    <xf numFmtId="0" fontId="496" fillId="0" borderId="0" pivotButton="0" quotePrefix="0" xfId="0"/>
    <xf numFmtId="0" fontId="498" fillId="0" borderId="11" applyAlignment="1" applyProtection="1" pivotButton="0" quotePrefix="0" xfId="0">
      <alignment wrapText="1"/>
      <protection locked="1" hidden="1"/>
    </xf>
    <xf numFmtId="0" fontId="499" fillId="0" borderId="0" pivotButton="0" quotePrefix="0" xfId="0"/>
    <xf numFmtId="0" fontId="501" fillId="0" borderId="11" applyAlignment="1" applyProtection="1" pivotButton="0" quotePrefix="0" xfId="0">
      <alignment wrapText="1"/>
      <protection locked="1" hidden="1"/>
    </xf>
    <xf numFmtId="0" fontId="502" fillId="0" borderId="0" pivotButton="0" quotePrefix="0" xfId="0"/>
    <xf numFmtId="0" fontId="504" fillId="0" borderId="11" applyAlignment="1" applyProtection="1" pivotButton="0" quotePrefix="0" xfId="0">
      <alignment wrapText="1"/>
      <protection locked="1" hidden="1"/>
    </xf>
    <xf numFmtId="0" fontId="505" fillId="0" borderId="0" pivotButton="0" quotePrefix="0" xfId="0"/>
    <xf numFmtId="0" fontId="507" fillId="0" borderId="11" applyAlignment="1" applyProtection="1" pivotButton="0" quotePrefix="0" xfId="0">
      <alignment wrapText="1"/>
      <protection locked="1" hidden="1"/>
    </xf>
    <xf numFmtId="0" fontId="508" fillId="0" borderId="0" pivotButton="0" quotePrefix="0" xfId="0"/>
    <xf numFmtId="0" fontId="510" fillId="0" borderId="11" applyAlignment="1" applyProtection="1" pivotButton="0" quotePrefix="0" xfId="0">
      <alignment wrapText="1"/>
      <protection locked="1" hidden="1"/>
    </xf>
    <xf numFmtId="0" fontId="511" fillId="0" borderId="0" pivotButton="0" quotePrefix="0" xfId="0"/>
    <xf numFmtId="0" fontId="513" fillId="0" borderId="11" applyAlignment="1" applyProtection="1" pivotButton="0" quotePrefix="0" xfId="0">
      <alignment wrapText="1"/>
      <protection locked="1" hidden="1"/>
    </xf>
    <xf numFmtId="0" fontId="514" fillId="0" borderId="0" pivotButton="0" quotePrefix="0" xfId="0"/>
    <xf numFmtId="0" fontId="516" fillId="0" borderId="11" applyAlignment="1" applyProtection="1" pivotButton="0" quotePrefix="0" xfId="0">
      <alignment wrapText="1"/>
      <protection locked="1" hidden="1"/>
    </xf>
    <xf numFmtId="0" fontId="517" fillId="0" borderId="0" pivotButton="0" quotePrefix="0" xfId="0"/>
    <xf numFmtId="0" fontId="519" fillId="0" borderId="11" applyAlignment="1" applyProtection="1" pivotButton="0" quotePrefix="0" xfId="0">
      <alignment wrapText="1"/>
      <protection locked="1" hidden="1"/>
    </xf>
    <xf numFmtId="0" fontId="520" fillId="0" borderId="0" pivotButton="0" quotePrefix="0" xfId="0"/>
    <xf numFmtId="0" fontId="522" fillId="0" borderId="11" applyAlignment="1" applyProtection="1" pivotButton="0" quotePrefix="0" xfId="0">
      <alignment wrapText="1"/>
      <protection locked="1" hidden="1"/>
    </xf>
    <xf numFmtId="0" fontId="523" fillId="0" borderId="0" pivotButton="0" quotePrefix="0" xfId="0"/>
    <xf numFmtId="0" fontId="525" fillId="0" borderId="11" applyAlignment="1" applyProtection="1" pivotButton="0" quotePrefix="0" xfId="0">
      <alignment wrapText="1"/>
      <protection locked="1" hidden="1"/>
    </xf>
    <xf numFmtId="0" fontId="526" fillId="0" borderId="0" pivotButton="0" quotePrefix="0" xfId="0"/>
    <xf numFmtId="0" fontId="528" fillId="0" borderId="11" applyAlignment="1" applyProtection="1" pivotButton="0" quotePrefix="0" xfId="0">
      <alignment wrapText="1"/>
      <protection locked="1" hidden="1"/>
    </xf>
    <xf numFmtId="0" fontId="529" fillId="0" borderId="0" pivotButton="0" quotePrefix="0" xfId="0"/>
    <xf numFmtId="0" fontId="531" fillId="0" borderId="11" applyAlignment="1" applyProtection="1" pivotButton="0" quotePrefix="0" xfId="0">
      <alignment wrapText="1"/>
      <protection locked="1" hidden="1"/>
    </xf>
    <xf numFmtId="0" fontId="532" fillId="0" borderId="0" pivotButton="0" quotePrefix="0" xfId="0"/>
    <xf numFmtId="0" fontId="534" fillId="0" borderId="11" applyAlignment="1" applyProtection="1" pivotButton="0" quotePrefix="0" xfId="0">
      <alignment wrapText="1"/>
      <protection locked="1" hidden="1"/>
    </xf>
    <xf numFmtId="0" fontId="535" fillId="0" borderId="0" pivotButton="0" quotePrefix="0" xfId="0"/>
    <xf numFmtId="0" fontId="537" fillId="0" borderId="11" applyAlignment="1" applyProtection="1" pivotButton="0" quotePrefix="0" xfId="0">
      <alignment wrapText="1"/>
      <protection locked="1" hidden="1"/>
    </xf>
    <xf numFmtId="0" fontId="538" fillId="0" borderId="0" pivotButton="0" quotePrefix="0" xfId="0"/>
    <xf numFmtId="0" fontId="540" fillId="0" borderId="11" applyAlignment="1" applyProtection="1" pivotButton="0" quotePrefix="0" xfId="0">
      <alignment wrapText="1"/>
      <protection locked="1" hidden="1"/>
    </xf>
    <xf numFmtId="0" fontId="541" fillId="0" borderId="0" pivotButton="0" quotePrefix="0" xfId="0"/>
    <xf numFmtId="0" fontId="543" fillId="0" borderId="11" applyAlignment="1" applyProtection="1" pivotButton="0" quotePrefix="0" xfId="0">
      <alignment wrapText="1"/>
      <protection locked="1" hidden="1"/>
    </xf>
    <xf numFmtId="0" fontId="544" fillId="0" borderId="0" pivotButton="0" quotePrefix="0" xfId="0"/>
    <xf numFmtId="0" fontId="546" fillId="0" borderId="11" applyAlignment="1" applyProtection="1" pivotButton="0" quotePrefix="0" xfId="0">
      <alignment wrapText="1"/>
      <protection locked="1" hidden="1"/>
    </xf>
    <xf numFmtId="0" fontId="547" fillId="0" borderId="0" pivotButton="0" quotePrefix="0" xfId="0"/>
    <xf numFmtId="0" fontId="549" fillId="0" borderId="11" applyAlignment="1" applyProtection="1" pivotButton="0" quotePrefix="0" xfId="0">
      <alignment wrapText="1"/>
      <protection locked="1" hidden="1"/>
    </xf>
    <xf numFmtId="0" fontId="550" fillId="0" borderId="0" pivotButton="0" quotePrefix="0" xfId="0"/>
    <xf numFmtId="0" fontId="552" fillId="0" borderId="11" applyAlignment="1" applyProtection="1" pivotButton="0" quotePrefix="0" xfId="0">
      <alignment wrapText="1"/>
      <protection locked="1" hidden="1"/>
    </xf>
    <xf numFmtId="0" fontId="553" fillId="0" borderId="0" pivotButton="0" quotePrefix="0" xfId="0"/>
    <xf numFmtId="0" fontId="555" fillId="0" borderId="11" applyAlignment="1" applyProtection="1" pivotButton="0" quotePrefix="0" xfId="0">
      <alignment wrapText="1"/>
      <protection locked="1" hidden="1"/>
    </xf>
    <xf numFmtId="0" fontId="556" fillId="0" borderId="0" pivotButton="0" quotePrefix="0" xfId="0"/>
    <xf numFmtId="0" fontId="558" fillId="0" borderId="11" applyAlignment="1" applyProtection="1" pivotButton="0" quotePrefix="0" xfId="0">
      <alignment wrapText="1"/>
      <protection locked="1" hidden="1"/>
    </xf>
    <xf numFmtId="0" fontId="559" fillId="0" borderId="0" pivotButton="0" quotePrefix="0" xfId="0"/>
    <xf numFmtId="0" fontId="561" fillId="0" borderId="11" applyAlignment="1" applyProtection="1" pivotButton="0" quotePrefix="0" xfId="0">
      <alignment wrapText="1"/>
      <protection locked="1" hidden="1"/>
    </xf>
    <xf numFmtId="0" fontId="562" fillId="0" borderId="0" pivotButton="0" quotePrefix="0" xfId="0"/>
    <xf numFmtId="0" fontId="564" fillId="0" borderId="11" applyAlignment="1" applyProtection="1" pivotButton="0" quotePrefix="0" xfId="0">
      <alignment wrapText="1"/>
      <protection locked="1" hidden="1"/>
    </xf>
    <xf numFmtId="0" fontId="565" fillId="0" borderId="0" pivotButton="0" quotePrefix="0" xfId="0"/>
    <xf numFmtId="0" fontId="567" fillId="0" borderId="11" applyAlignment="1" applyProtection="1" pivotButton="0" quotePrefix="0" xfId="0">
      <alignment wrapText="1"/>
      <protection locked="1" hidden="1"/>
    </xf>
    <xf numFmtId="0" fontId="568" fillId="0" borderId="0" pivotButton="0" quotePrefix="0" xfId="0"/>
    <xf numFmtId="0" fontId="570" fillId="0" borderId="11" applyAlignment="1" applyProtection="1" pivotButton="0" quotePrefix="0" xfId="0">
      <alignment wrapText="1"/>
      <protection locked="1" hidden="1"/>
    </xf>
    <xf numFmtId="0" fontId="571" fillId="0" borderId="0" pivotButton="0" quotePrefix="0" xfId="0"/>
    <xf numFmtId="0" fontId="573" fillId="0" borderId="11" applyAlignment="1" applyProtection="1" pivotButton="0" quotePrefix="0" xfId="0">
      <alignment wrapText="1"/>
      <protection locked="1" hidden="1"/>
    </xf>
    <xf numFmtId="0" fontId="574" fillId="0" borderId="0" pivotButton="0" quotePrefix="0" xfId="0"/>
    <xf numFmtId="0" fontId="576" fillId="0" borderId="11" applyAlignment="1" applyProtection="1" pivotButton="0" quotePrefix="0" xfId="0">
      <alignment wrapText="1"/>
      <protection locked="1" hidden="1"/>
    </xf>
    <xf numFmtId="0" fontId="577" fillId="0" borderId="0" pivotButton="0" quotePrefix="0" xfId="0"/>
    <xf numFmtId="0" fontId="579" fillId="0" borderId="11" applyAlignment="1" applyProtection="1" pivotButton="0" quotePrefix="0" xfId="0">
      <alignment wrapText="1"/>
      <protection locked="1" hidden="1"/>
    </xf>
    <xf numFmtId="0" fontId="580" fillId="0" borderId="0" pivotButton="0" quotePrefix="0" xfId="0"/>
    <xf numFmtId="0" fontId="582" fillId="0" borderId="11" applyAlignment="1" applyProtection="1" pivotButton="0" quotePrefix="0" xfId="0">
      <alignment wrapText="1"/>
      <protection locked="1" hidden="1"/>
    </xf>
    <xf numFmtId="0" fontId="583" fillId="0" borderId="0" pivotButton="0" quotePrefix="0" xfId="0"/>
    <xf numFmtId="0" fontId="585" fillId="0" borderId="11" applyAlignment="1" applyProtection="1" pivotButton="0" quotePrefix="0" xfId="0">
      <alignment wrapText="1"/>
      <protection locked="1" hidden="1"/>
    </xf>
    <xf numFmtId="0" fontId="586" fillId="0" borderId="0" pivotButton="0" quotePrefix="0" xfId="0"/>
    <xf numFmtId="0" fontId="588" fillId="0" borderId="11" applyAlignment="1" applyProtection="1" pivotButton="0" quotePrefix="0" xfId="0">
      <alignment wrapText="1"/>
      <protection locked="1" hidden="1"/>
    </xf>
    <xf numFmtId="0" fontId="589" fillId="0" borderId="0" pivotButton="0" quotePrefix="0" xfId="0"/>
    <xf numFmtId="0" fontId="591" fillId="0" borderId="11" applyAlignment="1" applyProtection="1" pivotButton="0" quotePrefix="0" xfId="0">
      <alignment wrapText="1"/>
      <protection locked="1" hidden="1"/>
    </xf>
    <xf numFmtId="0" fontId="592" fillId="0" borderId="0" pivotButton="0" quotePrefix="0" xfId="0"/>
    <xf numFmtId="0" fontId="594" fillId="0" borderId="11" applyAlignment="1" applyProtection="1" pivotButton="0" quotePrefix="0" xfId="0">
      <alignment wrapText="1"/>
      <protection locked="1" hidden="1"/>
    </xf>
    <xf numFmtId="0" fontId="595" fillId="0" borderId="0" pivotButton="0" quotePrefix="0" xfId="0"/>
    <xf numFmtId="0" fontId="597" fillId="0" borderId="11" applyAlignment="1" applyProtection="1" pivotButton="0" quotePrefix="0" xfId="0">
      <alignment wrapText="1"/>
      <protection locked="1" hidden="1"/>
    </xf>
    <xf numFmtId="0" fontId="598" fillId="0" borderId="0" pivotButton="0" quotePrefix="0" xfId="0"/>
    <xf numFmtId="0" fontId="600" fillId="0" borderId="11" applyAlignment="1" applyProtection="1" pivotButton="0" quotePrefix="0" xfId="0">
      <alignment wrapText="1"/>
      <protection locked="1" hidden="1"/>
    </xf>
    <xf numFmtId="0" fontId="601" fillId="0" borderId="0" pivotButton="0" quotePrefix="0" xfId="0"/>
    <xf numFmtId="0" fontId="603" fillId="0" borderId="11" applyAlignment="1" applyProtection="1" pivotButton="0" quotePrefix="0" xfId="0">
      <alignment wrapText="1"/>
      <protection locked="1" hidden="1"/>
    </xf>
    <xf numFmtId="0" fontId="604" fillId="0" borderId="0" pivotButton="0" quotePrefix="0" xfId="0"/>
    <xf numFmtId="0" fontId="606" fillId="0" borderId="11" applyAlignment="1" applyProtection="1" pivotButton="0" quotePrefix="0" xfId="0">
      <alignment wrapText="1"/>
      <protection locked="1" hidden="1"/>
    </xf>
    <xf numFmtId="0" fontId="607" fillId="0" borderId="0" pivotButton="0" quotePrefix="0" xfId="0"/>
    <xf numFmtId="0" fontId="609" fillId="0" borderId="11" applyAlignment="1" applyProtection="1" pivotButton="0" quotePrefix="0" xfId="0">
      <alignment wrapText="1"/>
      <protection locked="1" hidden="1"/>
    </xf>
    <xf numFmtId="0" fontId="610" fillId="0" borderId="0" pivotButton="0" quotePrefix="0" xfId="0"/>
    <xf numFmtId="0" fontId="612" fillId="0" borderId="11" applyAlignment="1" applyProtection="1" pivotButton="0" quotePrefix="0" xfId="0">
      <alignment wrapText="1"/>
      <protection locked="1" hidden="1"/>
    </xf>
    <xf numFmtId="0" fontId="613" fillId="0" borderId="0" pivotButton="0" quotePrefix="0" xfId="0"/>
    <xf numFmtId="0" fontId="615" fillId="0" borderId="11" applyAlignment="1" applyProtection="1" pivotButton="0" quotePrefix="0" xfId="0">
      <alignment wrapText="1"/>
      <protection locked="1" hidden="1"/>
    </xf>
    <xf numFmtId="0" fontId="616" fillId="0" borderId="0" pivotButton="0" quotePrefix="0" xfId="0"/>
    <xf numFmtId="0" fontId="618" fillId="0" borderId="11" applyAlignment="1" applyProtection="1" pivotButton="0" quotePrefix="0" xfId="0">
      <alignment wrapText="1"/>
      <protection locked="1" hidden="1"/>
    </xf>
    <xf numFmtId="0" fontId="619" fillId="0" borderId="0" pivotButton="0" quotePrefix="0" xfId="0"/>
    <xf numFmtId="0" fontId="621" fillId="0" borderId="11" applyAlignment="1" applyProtection="1" pivotButton="0" quotePrefix="0" xfId="0">
      <alignment wrapText="1"/>
      <protection locked="1" hidden="1"/>
    </xf>
    <xf numFmtId="0" fontId="622" fillId="0" borderId="0" pivotButton="0" quotePrefix="0" xfId="0"/>
    <xf numFmtId="0" fontId="624" fillId="0" borderId="11" applyAlignment="1" applyProtection="1" pivotButton="0" quotePrefix="0" xfId="0">
      <alignment wrapText="1"/>
      <protection locked="1" hidden="1"/>
    </xf>
    <xf numFmtId="0" fontId="625" fillId="0" borderId="0" pivotButton="0" quotePrefix="0" xfId="0"/>
    <xf numFmtId="0" fontId="627" fillId="0" borderId="11" applyAlignment="1" applyProtection="1" pivotButton="0" quotePrefix="0" xfId="0">
      <alignment wrapText="1"/>
      <protection locked="1" hidden="1"/>
    </xf>
    <xf numFmtId="0" fontId="628" fillId="0" borderId="0" pivotButton="0" quotePrefix="0" xfId="0"/>
    <xf numFmtId="0" fontId="630" fillId="0" borderId="11" applyAlignment="1" applyProtection="1" pivotButton="0" quotePrefix="0" xfId="0">
      <alignment wrapText="1"/>
      <protection locked="1" hidden="1"/>
    </xf>
    <xf numFmtId="0" fontId="631" fillId="0" borderId="0" pivotButton="0" quotePrefix="0" xfId="0"/>
    <xf numFmtId="0" fontId="633" fillId="0" borderId="11" applyAlignment="1" applyProtection="1" pivotButton="0" quotePrefix="0" xfId="0">
      <alignment wrapText="1"/>
      <protection locked="1" hidden="1"/>
    </xf>
    <xf numFmtId="0" fontId="634" fillId="0" borderId="0" pivotButton="0" quotePrefix="0" xfId="0"/>
    <xf numFmtId="0" fontId="636" fillId="0" borderId="11" applyAlignment="1" applyProtection="1" pivotButton="0" quotePrefix="0" xfId="0">
      <alignment wrapText="1"/>
      <protection locked="1" hidden="1"/>
    </xf>
    <xf numFmtId="0" fontId="637" fillId="0" borderId="0" pivotButton="0" quotePrefix="0" xfId="0"/>
    <xf numFmtId="0" fontId="639" fillId="0" borderId="11" applyAlignment="1" applyProtection="1" pivotButton="0" quotePrefix="0" xfId="0">
      <alignment wrapText="1"/>
      <protection locked="1" hidden="1"/>
    </xf>
    <xf numFmtId="0" fontId="640" fillId="0" borderId="0" pivotButton="0" quotePrefix="0" xfId="0"/>
    <xf numFmtId="0" fontId="642" fillId="0" borderId="11" applyAlignment="1" applyProtection="1" pivotButton="0" quotePrefix="0" xfId="0">
      <alignment wrapText="1"/>
      <protection locked="1" hidden="1"/>
    </xf>
    <xf numFmtId="0" fontId="643" fillId="0" borderId="0" pivotButton="0" quotePrefix="0" xfId="0"/>
    <xf numFmtId="0" fontId="645" fillId="0" borderId="11" applyAlignment="1" applyProtection="1" pivotButton="0" quotePrefix="0" xfId="0">
      <alignment wrapText="1"/>
      <protection locked="1" hidden="1"/>
    </xf>
    <xf numFmtId="0" fontId="646" fillId="0" borderId="0" pivotButton="0" quotePrefix="0" xfId="0"/>
    <xf numFmtId="0" fontId="648" fillId="0" borderId="11" applyAlignment="1" applyProtection="1" pivotButton="0" quotePrefix="0" xfId="0">
      <alignment wrapText="1"/>
      <protection locked="1" hidden="1"/>
    </xf>
    <xf numFmtId="0" fontId="649" fillId="0" borderId="0" pivotButton="0" quotePrefix="0" xfId="0"/>
    <xf numFmtId="0" fontId="651" fillId="0" borderId="11" applyAlignment="1" applyProtection="1" pivotButton="0" quotePrefix="0" xfId="0">
      <alignment wrapText="1"/>
      <protection locked="1" hidden="1"/>
    </xf>
    <xf numFmtId="0" fontId="652" fillId="0" borderId="0" pivotButton="0" quotePrefix="0" xfId="0"/>
    <xf numFmtId="0" fontId="654" fillId="0" borderId="11" applyAlignment="1" applyProtection="1" pivotButton="0" quotePrefix="0" xfId="0">
      <alignment wrapText="1"/>
      <protection locked="1" hidden="1"/>
    </xf>
    <xf numFmtId="0" fontId="655" fillId="0" borderId="0" pivotButton="0" quotePrefix="0" xfId="0"/>
    <xf numFmtId="0" fontId="657" fillId="0" borderId="11" applyAlignment="1" applyProtection="1" pivotButton="0" quotePrefix="0" xfId="0">
      <alignment wrapText="1"/>
      <protection locked="1" hidden="1"/>
    </xf>
    <xf numFmtId="0" fontId="658" fillId="0" borderId="0" pivotButton="0" quotePrefix="0" xfId="0"/>
    <xf numFmtId="0" fontId="660" fillId="0" borderId="11" applyAlignment="1" applyProtection="1" pivotButton="0" quotePrefix="0" xfId="0">
      <alignment wrapText="1"/>
      <protection locked="1" hidden="1"/>
    </xf>
    <xf numFmtId="0" fontId="661" fillId="0" borderId="0" pivotButton="0" quotePrefix="0" xfId="0"/>
    <xf numFmtId="0" fontId="663" fillId="0" borderId="11" applyAlignment="1" applyProtection="1" pivotButton="0" quotePrefix="0" xfId="0">
      <alignment wrapText="1"/>
      <protection locked="1" hidden="1"/>
    </xf>
    <xf numFmtId="0" fontId="664" fillId="0" borderId="0" pivotButton="0" quotePrefix="0" xfId="0"/>
    <xf numFmtId="0" fontId="666" fillId="0" borderId="11" applyAlignment="1" applyProtection="1" pivotButton="0" quotePrefix="0" xfId="0">
      <alignment wrapText="1"/>
      <protection locked="1" hidden="1"/>
    </xf>
    <xf numFmtId="0" fontId="667" fillId="0" borderId="0" pivotButton="0" quotePrefix="0" xfId="0"/>
    <xf numFmtId="0" fontId="669" fillId="0" borderId="11" applyAlignment="1" applyProtection="1" pivotButton="0" quotePrefix="0" xfId="0">
      <alignment wrapText="1"/>
      <protection locked="1" hidden="1"/>
    </xf>
    <xf numFmtId="0" fontId="670" fillId="0" borderId="0" pivotButton="0" quotePrefix="0" xfId="0"/>
    <xf numFmtId="0" fontId="672" fillId="0" borderId="11" applyAlignment="1" applyProtection="1" pivotButton="0" quotePrefix="0" xfId="0">
      <alignment wrapText="1"/>
      <protection locked="1" hidden="1"/>
    </xf>
    <xf numFmtId="0" fontId="673" fillId="0" borderId="0" pivotButton="0" quotePrefix="0" xfId="0"/>
    <xf numFmtId="0" fontId="675" fillId="0" borderId="11" applyAlignment="1" applyProtection="1" pivotButton="0" quotePrefix="0" xfId="0">
      <alignment wrapText="1"/>
      <protection locked="1" hidden="1"/>
    </xf>
    <xf numFmtId="0" fontId="676" fillId="0" borderId="0" pivotButton="0" quotePrefix="0" xfId="0"/>
    <xf numFmtId="0" fontId="678" fillId="0" borderId="11" applyAlignment="1" applyProtection="1" pivotButton="0" quotePrefix="0" xfId="0">
      <alignment wrapText="1"/>
      <protection locked="1" hidden="1"/>
    </xf>
    <xf numFmtId="0" fontId="679" fillId="0" borderId="0" pivotButton="0" quotePrefix="0" xfId="0"/>
    <xf numFmtId="0" fontId="681" fillId="0" borderId="11" applyAlignment="1" applyProtection="1" pivotButton="0" quotePrefix="0" xfId="0">
      <alignment wrapText="1"/>
      <protection locked="1" hidden="1"/>
    </xf>
    <xf numFmtId="0" fontId="682" fillId="0" borderId="0" pivotButton="0" quotePrefix="0" xfId="0"/>
    <xf numFmtId="0" fontId="684" fillId="0" borderId="11" applyAlignment="1" applyProtection="1" pivotButton="0" quotePrefix="0" xfId="0">
      <alignment wrapText="1"/>
      <protection locked="1" hidden="1"/>
    </xf>
    <xf numFmtId="0" fontId="685" fillId="0" borderId="0" pivotButton="0" quotePrefix="0" xfId="0"/>
    <xf numFmtId="0" fontId="687" fillId="0" borderId="11" applyAlignment="1" applyProtection="1" pivotButton="0" quotePrefix="0" xfId="0">
      <alignment wrapText="1"/>
      <protection locked="1" hidden="1"/>
    </xf>
    <xf numFmtId="0" fontId="688" fillId="0" borderId="0" pivotButton="0" quotePrefix="0" xfId="0"/>
    <xf numFmtId="0" fontId="690" fillId="0" borderId="11" applyAlignment="1" applyProtection="1" pivotButton="0" quotePrefix="0" xfId="0">
      <alignment wrapText="1"/>
      <protection locked="1" hidden="1"/>
    </xf>
    <xf numFmtId="0" fontId="691" fillId="0" borderId="0" pivotButton="0" quotePrefix="0" xfId="0"/>
    <xf numFmtId="0" fontId="693" fillId="0" borderId="11" applyAlignment="1" applyProtection="1" pivotButton="0" quotePrefix="0" xfId="0">
      <alignment wrapText="1"/>
      <protection locked="1" hidden="1"/>
    </xf>
    <xf numFmtId="0" fontId="694" fillId="0" borderId="0" pivotButton="0" quotePrefix="0" xfId="0"/>
    <xf numFmtId="0" fontId="696" fillId="0" borderId="11" applyAlignment="1" applyProtection="1" pivotButton="0" quotePrefix="0" xfId="0">
      <alignment wrapText="1"/>
      <protection locked="1" hidden="1"/>
    </xf>
    <xf numFmtId="0" fontId="697" fillId="0" borderId="0" pivotButton="0" quotePrefix="0" xfId="0"/>
    <xf numFmtId="0" fontId="699" fillId="0" borderId="11" applyAlignment="1" applyProtection="1" pivotButton="0" quotePrefix="0" xfId="0">
      <alignment wrapText="1"/>
      <protection locked="1" hidden="1"/>
    </xf>
    <xf numFmtId="0" fontId="700" fillId="0" borderId="0" pivotButton="0" quotePrefix="0" xfId="0"/>
    <xf numFmtId="0" fontId="702" fillId="0" borderId="11" applyAlignment="1" applyProtection="1" pivotButton="0" quotePrefix="0" xfId="0">
      <alignment wrapText="1"/>
      <protection locked="1" hidden="1"/>
    </xf>
    <xf numFmtId="0" fontId="703" fillId="0" borderId="0" pivotButton="0" quotePrefix="0" xfId="0"/>
    <xf numFmtId="0" fontId="705" fillId="0" borderId="11" applyAlignment="1" applyProtection="1" pivotButton="0" quotePrefix="0" xfId="0">
      <alignment wrapText="1"/>
      <protection locked="1" hidden="1"/>
    </xf>
    <xf numFmtId="0" fontId="706" fillId="0" borderId="0" pivotButton="0" quotePrefix="0" xfId="0"/>
    <xf numFmtId="0" fontId="708" fillId="0" borderId="11" applyAlignment="1" applyProtection="1" pivotButton="0" quotePrefix="0" xfId="0">
      <alignment wrapText="1"/>
      <protection locked="1" hidden="1"/>
    </xf>
    <xf numFmtId="0" fontId="709" fillId="0" borderId="0" pivotButton="0" quotePrefix="0" xfId="0"/>
    <xf numFmtId="0" fontId="711" fillId="0" borderId="11" applyAlignment="1" applyProtection="1" pivotButton="0" quotePrefix="0" xfId="0">
      <alignment wrapText="1"/>
      <protection locked="1" hidden="1"/>
    </xf>
    <xf numFmtId="0" fontId="712" fillId="0" borderId="0" pivotButton="0" quotePrefix="0" xfId="0"/>
    <xf numFmtId="0" fontId="714" fillId="0" borderId="11" applyAlignment="1" applyProtection="1" pivotButton="0" quotePrefix="0" xfId="0">
      <alignment wrapText="1"/>
      <protection locked="1" hidden="1"/>
    </xf>
    <xf numFmtId="0" fontId="715" fillId="0" borderId="0" pivotButton="0" quotePrefix="0" xfId="0"/>
    <xf numFmtId="0" fontId="717" fillId="0" borderId="11" applyAlignment="1" applyProtection="1" pivotButton="0" quotePrefix="0" xfId="0">
      <alignment wrapText="1"/>
      <protection locked="1" hidden="1"/>
    </xf>
    <xf numFmtId="0" fontId="718" fillId="0" borderId="0" pivotButton="0" quotePrefix="0" xfId="0"/>
    <xf numFmtId="0" fontId="720" fillId="0" borderId="11" applyAlignment="1" applyProtection="1" pivotButton="0" quotePrefix="0" xfId="0">
      <alignment wrapText="1"/>
      <protection locked="1" hidden="1"/>
    </xf>
    <xf numFmtId="0" fontId="721" fillId="0" borderId="0" pivotButton="0" quotePrefix="0" xfId="0"/>
    <xf numFmtId="0" fontId="723" fillId="0" borderId="11" applyAlignment="1" applyProtection="1" pivotButton="0" quotePrefix="0" xfId="0">
      <alignment wrapText="1"/>
      <protection locked="1" hidden="1"/>
    </xf>
    <xf numFmtId="0" fontId="724" fillId="0" borderId="0" pivotButton="0" quotePrefix="0" xfId="0"/>
    <xf numFmtId="0" fontId="726" fillId="0" borderId="11" applyAlignment="1" applyProtection="1" pivotButton="0" quotePrefix="0" xfId="0">
      <alignment wrapText="1"/>
      <protection locked="1" hidden="1"/>
    </xf>
    <xf numFmtId="0" fontId="727" fillId="0" borderId="0" pivotButton="0" quotePrefix="0" xfId="0"/>
    <xf numFmtId="0" fontId="729" fillId="0" borderId="11" applyAlignment="1" applyProtection="1" pivotButton="0" quotePrefix="0" xfId="0">
      <alignment wrapText="1"/>
      <protection locked="1" hidden="1"/>
    </xf>
    <xf numFmtId="0" fontId="730" fillId="0" borderId="0" pivotButton="0" quotePrefix="0" xfId="0"/>
    <xf numFmtId="0" fontId="732" fillId="0" borderId="11" applyAlignment="1" applyProtection="1" pivotButton="0" quotePrefix="0" xfId="0">
      <alignment wrapText="1"/>
      <protection locked="1" hidden="1"/>
    </xf>
    <xf numFmtId="0" fontId="733" fillId="0" borderId="0" pivotButton="0" quotePrefix="0" xfId="0"/>
    <xf numFmtId="0" fontId="735" fillId="0" borderId="11" applyAlignment="1" applyProtection="1" pivotButton="0" quotePrefix="0" xfId="0">
      <alignment wrapText="1"/>
      <protection locked="1" hidden="1"/>
    </xf>
    <xf numFmtId="0" fontId="736" fillId="0" borderId="0" pivotButton="0" quotePrefix="0" xfId="0"/>
    <xf numFmtId="0" fontId="738" fillId="0" borderId="11" applyAlignment="1" applyProtection="1" pivotButton="0" quotePrefix="0" xfId="0">
      <alignment wrapText="1"/>
      <protection locked="1" hidden="1"/>
    </xf>
    <xf numFmtId="0" fontId="739" fillId="0" borderId="0" pivotButton="0" quotePrefix="0" xfId="0"/>
    <xf numFmtId="0" fontId="741" fillId="0" borderId="11" applyAlignment="1" applyProtection="1" pivotButton="0" quotePrefix="0" xfId="0">
      <alignment wrapText="1"/>
      <protection locked="1" hidden="1"/>
    </xf>
    <xf numFmtId="0" fontId="742" fillId="0" borderId="0" pivotButton="0" quotePrefix="0" xfId="0"/>
    <xf numFmtId="0" fontId="744" fillId="0" borderId="11" applyAlignment="1" applyProtection="1" pivotButton="0" quotePrefix="0" xfId="0">
      <alignment wrapText="1"/>
      <protection locked="1" hidden="1"/>
    </xf>
    <xf numFmtId="0" fontId="745" fillId="0" borderId="0" pivotButton="0" quotePrefix="0" xfId="0"/>
    <xf numFmtId="0" fontId="747" fillId="0" borderId="11" applyAlignment="1" applyProtection="1" pivotButton="0" quotePrefix="0" xfId="0">
      <alignment wrapText="1"/>
      <protection locked="1" hidden="1"/>
    </xf>
    <xf numFmtId="0" fontId="748" fillId="0" borderId="0" pivotButton="0" quotePrefix="0" xfId="0"/>
    <xf numFmtId="0" fontId="750" fillId="0" borderId="11" applyAlignment="1" applyProtection="1" pivotButton="0" quotePrefix="0" xfId="0">
      <alignment wrapText="1"/>
      <protection locked="1" hidden="1"/>
    </xf>
    <xf numFmtId="0" fontId="751" fillId="0" borderId="0" pivotButton="0" quotePrefix="0" xfId="0"/>
    <xf numFmtId="0" fontId="753" fillId="0" borderId="11" applyAlignment="1" applyProtection="1" pivotButton="0" quotePrefix="0" xfId="0">
      <alignment wrapText="1"/>
      <protection locked="1" hidden="1"/>
    </xf>
    <xf numFmtId="0" fontId="754" fillId="0" borderId="0" pivotButton="0" quotePrefix="0" xfId="0"/>
    <xf numFmtId="0" fontId="756" fillId="0" borderId="11" applyAlignment="1" applyProtection="1" pivotButton="0" quotePrefix="0" xfId="0">
      <alignment wrapText="1"/>
      <protection locked="1" hidden="1"/>
    </xf>
    <xf numFmtId="0" fontId="757" fillId="0" borderId="0" pivotButton="0" quotePrefix="0" xfId="0"/>
    <xf numFmtId="0" fontId="759" fillId="0" borderId="11" applyAlignment="1" applyProtection="1" pivotButton="0" quotePrefix="0" xfId="0">
      <alignment wrapText="1"/>
      <protection locked="1" hidden="1"/>
    </xf>
    <xf numFmtId="0" fontId="760" fillId="0" borderId="0" pivotButton="0" quotePrefix="0" xfId="0"/>
    <xf numFmtId="0" fontId="762" fillId="0" borderId="11" applyAlignment="1" applyProtection="1" pivotButton="0" quotePrefix="0" xfId="0">
      <alignment wrapText="1"/>
      <protection locked="1" hidden="1"/>
    </xf>
    <xf numFmtId="0" fontId="763" fillId="0" borderId="0" pivotButton="0" quotePrefix="0" xfId="0"/>
    <xf numFmtId="0" fontId="765" fillId="0" borderId="11" applyAlignment="1" applyProtection="1" pivotButton="0" quotePrefix="0" xfId="0">
      <alignment wrapText="1"/>
      <protection locked="1" hidden="1"/>
    </xf>
    <xf numFmtId="0" fontId="766" fillId="0" borderId="0" pivotButton="0" quotePrefix="0" xfId="0"/>
    <xf numFmtId="0" fontId="768" fillId="0" borderId="11" applyAlignment="1" applyProtection="1" pivotButton="0" quotePrefix="0" xfId="0">
      <alignment wrapText="1"/>
      <protection locked="1" hidden="1"/>
    </xf>
    <xf numFmtId="0" fontId="769" fillId="0" borderId="0" pivotButton="0" quotePrefix="0" xfId="0"/>
    <xf numFmtId="0" fontId="771" fillId="0" borderId="11" applyAlignment="1" applyProtection="1" pivotButton="0" quotePrefix="0" xfId="0">
      <alignment wrapText="1"/>
      <protection locked="1" hidden="1"/>
    </xf>
    <xf numFmtId="0" fontId="772" fillId="0" borderId="0" pivotButton="0" quotePrefix="0" xfId="0"/>
    <xf numFmtId="0" fontId="774" fillId="0" borderId="11" applyAlignment="1" applyProtection="1" pivotButton="0" quotePrefix="0" xfId="0">
      <alignment wrapText="1"/>
      <protection locked="1" hidden="1"/>
    </xf>
    <xf numFmtId="0" fontId="775" fillId="0" borderId="0" pivotButton="0" quotePrefix="0" xfId="0"/>
    <xf numFmtId="0" fontId="777" fillId="0" borderId="11" applyAlignment="1" applyProtection="1" pivotButton="0" quotePrefix="0" xfId="0">
      <alignment wrapText="1"/>
      <protection locked="1" hidden="1"/>
    </xf>
    <xf numFmtId="0" fontId="778" fillId="0" borderId="0" pivotButton="0" quotePrefix="0" xfId="0"/>
    <xf numFmtId="0" fontId="780" fillId="0" borderId="11" applyAlignment="1" applyProtection="1" pivotButton="0" quotePrefix="0" xfId="0">
      <alignment wrapText="1"/>
      <protection locked="1" hidden="1"/>
    </xf>
    <xf numFmtId="0" fontId="781" fillId="0" borderId="0" pivotButton="0" quotePrefix="0" xfId="0"/>
    <xf numFmtId="0" fontId="783" fillId="0" borderId="11" applyAlignment="1" applyProtection="1" pivotButton="0" quotePrefix="0" xfId="0">
      <alignment wrapText="1"/>
      <protection locked="1" hidden="1"/>
    </xf>
    <xf numFmtId="0" fontId="784" fillId="0" borderId="0" pivotButton="0" quotePrefix="0" xfId="0"/>
    <xf numFmtId="0" fontId="786" fillId="0" borderId="11" applyAlignment="1" applyProtection="1" pivotButton="0" quotePrefix="0" xfId="0">
      <alignment wrapText="1"/>
      <protection locked="1" hidden="1"/>
    </xf>
    <xf numFmtId="0" fontId="787" fillId="0" borderId="0" pivotButton="0" quotePrefix="0" xfId="0"/>
    <xf numFmtId="0" fontId="789" fillId="0" borderId="11" applyAlignment="1" applyProtection="1" pivotButton="0" quotePrefix="0" xfId="0">
      <alignment wrapText="1"/>
      <protection locked="1" hidden="1"/>
    </xf>
    <xf numFmtId="0" fontId="790" fillId="0" borderId="0" pivotButton="0" quotePrefix="0" xfId="0"/>
    <xf numFmtId="0" fontId="792" fillId="0" borderId="11" applyAlignment="1" applyProtection="1" pivotButton="0" quotePrefix="0" xfId="0">
      <alignment wrapText="1"/>
      <protection locked="1" hidden="1"/>
    </xf>
    <xf numFmtId="0" fontId="793" fillId="0" borderId="0" pivotButton="0" quotePrefix="0" xfId="0"/>
    <xf numFmtId="0" fontId="795" fillId="0" borderId="11" applyAlignment="1" applyProtection="1" pivotButton="0" quotePrefix="0" xfId="0">
      <alignment wrapText="1"/>
      <protection locked="1" hidden="1"/>
    </xf>
    <xf numFmtId="0" fontId="796" fillId="0" borderId="0" pivotButton="0" quotePrefix="0" xfId="0"/>
    <xf numFmtId="0" fontId="798" fillId="0" borderId="11" applyAlignment="1" applyProtection="1" pivotButton="0" quotePrefix="0" xfId="0">
      <alignment wrapText="1"/>
      <protection locked="1" hidden="1"/>
    </xf>
    <xf numFmtId="0" fontId="799" fillId="0" borderId="0" pivotButton="0" quotePrefix="0" xfId="0"/>
    <xf numFmtId="0" fontId="801" fillId="0" borderId="11" applyAlignment="1" applyProtection="1" pivotButton="0" quotePrefix="0" xfId="0">
      <alignment wrapText="1"/>
      <protection locked="1" hidden="1"/>
    </xf>
    <xf numFmtId="0" fontId="802" fillId="0" borderId="0" pivotButton="0" quotePrefix="0" xfId="0"/>
    <xf numFmtId="0" fontId="804" fillId="0" borderId="11" applyAlignment="1" applyProtection="1" pivotButton="0" quotePrefix="0" xfId="0">
      <alignment wrapText="1"/>
      <protection locked="1" hidden="1"/>
    </xf>
    <xf numFmtId="0" fontId="805" fillId="0" borderId="0" pivotButton="0" quotePrefix="0" xfId="0"/>
    <xf numFmtId="0" fontId="807" fillId="0" borderId="11" applyAlignment="1" applyProtection="1" pivotButton="0" quotePrefix="0" xfId="0">
      <alignment wrapText="1"/>
      <protection locked="1" hidden="1"/>
    </xf>
    <xf numFmtId="0" fontId="808" fillId="0" borderId="0" pivotButton="0" quotePrefix="0" xfId="0"/>
    <xf numFmtId="0" fontId="810" fillId="0" borderId="11" applyAlignment="1" applyProtection="1" pivotButton="0" quotePrefix="0" xfId="0">
      <alignment wrapText="1"/>
      <protection locked="1" hidden="1"/>
    </xf>
    <xf numFmtId="0" fontId="811" fillId="0" borderId="0" pivotButton="0" quotePrefix="0" xfId="0"/>
    <xf numFmtId="0" fontId="813" fillId="0" borderId="11" applyAlignment="1" applyProtection="1" pivotButton="0" quotePrefix="0" xfId="0">
      <alignment wrapText="1"/>
      <protection locked="1" hidden="1"/>
    </xf>
    <xf numFmtId="0" fontId="814" fillId="0" borderId="0" pivotButton="0" quotePrefix="0" xfId="0"/>
    <xf numFmtId="0" fontId="816" fillId="0" borderId="11" applyAlignment="1" applyProtection="1" pivotButton="0" quotePrefix="0" xfId="0">
      <alignment wrapText="1"/>
      <protection locked="1" hidden="1"/>
    </xf>
    <xf numFmtId="0" fontId="817" fillId="0" borderId="0" pivotButton="0" quotePrefix="0" xfId="0"/>
    <xf numFmtId="0" fontId="819" fillId="0" borderId="11" applyAlignment="1" applyProtection="1" pivotButton="0" quotePrefix="0" xfId="0">
      <alignment wrapText="1"/>
      <protection locked="1" hidden="1"/>
    </xf>
    <xf numFmtId="0" fontId="820" fillId="0" borderId="0" pivotButton="0" quotePrefix="0" xfId="0"/>
    <xf numFmtId="0" fontId="822" fillId="0" borderId="11" applyAlignment="1" applyProtection="1" pivotButton="0" quotePrefix="0" xfId="0">
      <alignment wrapText="1"/>
      <protection locked="1" hidden="1"/>
    </xf>
    <xf numFmtId="0" fontId="823" fillId="0" borderId="0" pivotButton="0" quotePrefix="0" xfId="0"/>
    <xf numFmtId="0" fontId="825" fillId="0" borderId="11" applyAlignment="1" applyProtection="1" pivotButton="0" quotePrefix="0" xfId="0">
      <alignment wrapText="1"/>
      <protection locked="1" hidden="1"/>
    </xf>
    <xf numFmtId="0" fontId="826" fillId="0" borderId="0" pivotButton="0" quotePrefix="0" xfId="0"/>
    <xf numFmtId="0" fontId="828" fillId="0" borderId="11" applyAlignment="1" applyProtection="1" pivotButton="0" quotePrefix="0" xfId="0">
      <alignment wrapText="1"/>
      <protection locked="1" hidden="1"/>
    </xf>
    <xf numFmtId="0" fontId="829" fillId="0" borderId="0" pivotButton="0" quotePrefix="0" xfId="0"/>
    <xf numFmtId="0" fontId="831" fillId="0" borderId="11" applyAlignment="1" applyProtection="1" pivotButton="0" quotePrefix="0" xfId="0">
      <alignment wrapText="1"/>
      <protection locked="1" hidden="1"/>
    </xf>
    <xf numFmtId="0" fontId="832" fillId="0" borderId="0" pivotButton="0" quotePrefix="0" xfId="0"/>
    <xf numFmtId="0" fontId="834" fillId="0" borderId="11" applyAlignment="1" applyProtection="1" pivotButton="0" quotePrefix="0" xfId="0">
      <alignment wrapText="1"/>
      <protection locked="1" hidden="1"/>
    </xf>
    <xf numFmtId="0" fontId="835" fillId="0" borderId="0" pivotButton="0" quotePrefix="0" xfId="0"/>
    <xf numFmtId="0" fontId="837" fillId="0" borderId="11" applyAlignment="1" applyProtection="1" pivotButton="0" quotePrefix="0" xfId="0">
      <alignment wrapText="1"/>
      <protection locked="1" hidden="1"/>
    </xf>
    <xf numFmtId="0" fontId="838" fillId="0" borderId="0" pivotButton="0" quotePrefix="0" xfId="0"/>
    <xf numFmtId="0" fontId="840" fillId="0" borderId="11" applyAlignment="1" applyProtection="1" pivotButton="0" quotePrefix="0" xfId="0">
      <alignment wrapText="1"/>
      <protection locked="1" hidden="1"/>
    </xf>
    <xf numFmtId="0" fontId="841" fillId="0" borderId="0" pivotButton="0" quotePrefix="0" xfId="0"/>
    <xf numFmtId="0" fontId="843" fillId="0" borderId="11" applyAlignment="1" applyProtection="1" pivotButton="0" quotePrefix="0" xfId="0">
      <alignment wrapText="1"/>
      <protection locked="1" hidden="1"/>
    </xf>
    <xf numFmtId="0" fontId="844" fillId="0" borderId="0" pivotButton="0" quotePrefix="0" xfId="0"/>
    <xf numFmtId="0" fontId="846" fillId="0" borderId="11" applyAlignment="1" applyProtection="1" pivotButton="0" quotePrefix="0" xfId="0">
      <alignment wrapText="1"/>
      <protection locked="1" hidden="1"/>
    </xf>
    <xf numFmtId="0" fontId="847" fillId="0" borderId="0" pivotButton="0" quotePrefix="0" xfId="0"/>
    <xf numFmtId="0" fontId="849" fillId="0" borderId="11" applyAlignment="1" applyProtection="1" pivotButton="0" quotePrefix="0" xfId="0">
      <alignment wrapText="1"/>
      <protection locked="1" hidden="1"/>
    </xf>
    <xf numFmtId="0" fontId="850" fillId="0" borderId="0" pivotButton="0" quotePrefix="0" xfId="0"/>
    <xf numFmtId="0" fontId="852" fillId="0" borderId="11" applyAlignment="1" applyProtection="1" pivotButton="0" quotePrefix="0" xfId="0">
      <alignment wrapText="1"/>
      <protection locked="1" hidden="1"/>
    </xf>
    <xf numFmtId="0" fontId="853" fillId="0" borderId="0" pivotButton="0" quotePrefix="0" xfId="0"/>
    <xf numFmtId="0" fontId="855" fillId="0" borderId="11" applyAlignment="1" applyProtection="1" pivotButton="0" quotePrefix="0" xfId="0">
      <alignment wrapText="1"/>
      <protection locked="1" hidden="1"/>
    </xf>
    <xf numFmtId="0" fontId="856" fillId="0" borderId="0" pivotButton="0" quotePrefix="0" xfId="0"/>
    <xf numFmtId="0" fontId="858" fillId="0" borderId="11" applyAlignment="1" applyProtection="1" pivotButton="0" quotePrefix="0" xfId="0">
      <alignment wrapText="1"/>
      <protection locked="1" hidden="1"/>
    </xf>
    <xf numFmtId="0" fontId="859" fillId="0" borderId="0" pivotButton="0" quotePrefix="0" xfId="0"/>
    <xf numFmtId="0" fontId="861" fillId="0" borderId="11" applyAlignment="1" applyProtection="1" pivotButton="0" quotePrefix="0" xfId="0">
      <alignment wrapText="1"/>
      <protection locked="1" hidden="1"/>
    </xf>
    <xf numFmtId="0" fontId="862" fillId="0" borderId="0" pivotButton="0" quotePrefix="0" xfId="0"/>
    <xf numFmtId="0" fontId="864" fillId="0" borderId="11" applyAlignment="1" applyProtection="1" pivotButton="0" quotePrefix="0" xfId="0">
      <alignment wrapText="1"/>
      <protection locked="1" hidden="1"/>
    </xf>
    <xf numFmtId="0" fontId="865" fillId="0" borderId="0" pivotButton="0" quotePrefix="0" xfId="0"/>
    <xf numFmtId="0" fontId="867" fillId="0" borderId="11" applyAlignment="1" applyProtection="1" pivotButton="0" quotePrefix="0" xfId="0">
      <alignment wrapText="1"/>
      <protection locked="1" hidden="1"/>
    </xf>
    <xf numFmtId="0" fontId="868" fillId="0" borderId="0" pivotButton="0" quotePrefix="0" xfId="0"/>
    <xf numFmtId="0" fontId="870" fillId="0" borderId="11" applyAlignment="1" applyProtection="1" pivotButton="0" quotePrefix="0" xfId="0">
      <alignment wrapText="1"/>
      <protection locked="1" hidden="1"/>
    </xf>
    <xf numFmtId="0" fontId="871" fillId="0" borderId="0" pivotButton="0" quotePrefix="0" xfId="0"/>
    <xf numFmtId="0" fontId="873" fillId="0" borderId="11" applyAlignment="1" applyProtection="1" pivotButton="0" quotePrefix="0" xfId="0">
      <alignment wrapText="1"/>
      <protection locked="1" hidden="1"/>
    </xf>
    <xf numFmtId="0" fontId="874" fillId="0" borderId="0" pivotButton="0" quotePrefix="0" xfId="0"/>
    <xf numFmtId="0" fontId="876" fillId="0" borderId="11" applyAlignment="1" applyProtection="1" pivotButton="0" quotePrefix="0" xfId="0">
      <alignment wrapText="1"/>
      <protection locked="1" hidden="1"/>
    </xf>
    <xf numFmtId="0" fontId="877" fillId="0" borderId="0" pivotButton="0" quotePrefix="0" xfId="0"/>
    <xf numFmtId="0" fontId="879" fillId="0" borderId="11" applyAlignment="1" applyProtection="1" pivotButton="0" quotePrefix="0" xfId="0">
      <alignment wrapText="1"/>
      <protection locked="1" hidden="1"/>
    </xf>
    <xf numFmtId="0" fontId="880" fillId="0" borderId="0" pivotButton="0" quotePrefix="0" xfId="0"/>
    <xf numFmtId="0" fontId="882" fillId="0" borderId="11" applyAlignment="1" applyProtection="1" pivotButton="0" quotePrefix="0" xfId="0">
      <alignment wrapText="1"/>
      <protection locked="1" hidden="1"/>
    </xf>
    <xf numFmtId="0" fontId="883" fillId="0" borderId="0" pivotButton="0" quotePrefix="0" xfId="0"/>
    <xf numFmtId="0" fontId="885" fillId="0" borderId="11" applyAlignment="1" applyProtection="1" pivotButton="0" quotePrefix="0" xfId="0">
      <alignment wrapText="1"/>
      <protection locked="1" hidden="1"/>
    </xf>
    <xf numFmtId="0" fontId="886" fillId="0" borderId="0" pivotButton="0" quotePrefix="0" xfId="0"/>
    <xf numFmtId="0" fontId="888" fillId="0" borderId="11" applyAlignment="1" applyProtection="1" pivotButton="0" quotePrefix="0" xfId="0">
      <alignment wrapText="1"/>
      <protection locked="1" hidden="1"/>
    </xf>
    <xf numFmtId="0" fontId="889" fillId="0" borderId="0" pivotButton="0" quotePrefix="0" xfId="0"/>
    <xf numFmtId="0" fontId="891" fillId="0" borderId="11" applyAlignment="1" applyProtection="1" pivotButton="0" quotePrefix="0" xfId="0">
      <alignment wrapText="1"/>
      <protection locked="1" hidden="1"/>
    </xf>
    <xf numFmtId="0" fontId="892" fillId="0" borderId="0" pivotButton="0" quotePrefix="0" xfId="0"/>
    <xf numFmtId="0" fontId="894" fillId="0" borderId="11" applyAlignment="1" applyProtection="1" pivotButton="0" quotePrefix="0" xfId="0">
      <alignment wrapText="1"/>
      <protection locked="1" hidden="1"/>
    </xf>
    <xf numFmtId="0" fontId="895" fillId="0" borderId="0" pivotButton="0" quotePrefix="0" xfId="0"/>
    <xf numFmtId="0" fontId="897" fillId="0" borderId="11" applyAlignment="1" applyProtection="1" pivotButton="0" quotePrefix="0" xfId="0">
      <alignment wrapText="1"/>
      <protection locked="1" hidden="1"/>
    </xf>
    <xf numFmtId="0" fontId="898" fillId="0" borderId="0" pivotButton="0" quotePrefix="0" xfId="0"/>
    <xf numFmtId="0" fontId="900" fillId="0" borderId="11" applyAlignment="1" applyProtection="1" pivotButton="0" quotePrefix="0" xfId="0">
      <alignment wrapText="1"/>
      <protection locked="1" hidden="1"/>
    </xf>
    <xf numFmtId="0" fontId="901" fillId="0" borderId="0" pivotButton="0" quotePrefix="0" xfId="0"/>
    <xf numFmtId="0" fontId="903" fillId="0" borderId="11" applyAlignment="1" applyProtection="1" pivotButton="0" quotePrefix="0" xfId="0">
      <alignment wrapText="1"/>
      <protection locked="1" hidden="1"/>
    </xf>
    <xf numFmtId="0" fontId="904" fillId="0" borderId="0" pivotButton="0" quotePrefix="0" xfId="0"/>
    <xf numFmtId="0" fontId="906" fillId="0" borderId="11" applyAlignment="1" applyProtection="1" pivotButton="0" quotePrefix="0" xfId="0">
      <alignment wrapText="1"/>
      <protection locked="1" hidden="1"/>
    </xf>
    <xf numFmtId="0" fontId="907" fillId="0" borderId="0" pivotButton="0" quotePrefix="0" xfId="0"/>
    <xf numFmtId="0" fontId="909" fillId="0" borderId="11" applyAlignment="1" applyProtection="1" pivotButton="0" quotePrefix="0" xfId="0">
      <alignment wrapText="1"/>
      <protection locked="1" hidden="1"/>
    </xf>
    <xf numFmtId="0" fontId="910" fillId="0" borderId="0" pivotButton="0" quotePrefix="0" xfId="0"/>
    <xf numFmtId="0" fontId="912" fillId="0" borderId="11" applyAlignment="1" applyProtection="1" pivotButton="0" quotePrefix="0" xfId="0">
      <alignment wrapText="1"/>
      <protection locked="1" hidden="1"/>
    </xf>
    <xf numFmtId="0" fontId="913" fillId="0" borderId="0" pivotButton="0" quotePrefix="0" xfId="0"/>
    <xf numFmtId="0" fontId="915" fillId="0" borderId="11" applyAlignment="1" applyProtection="1" pivotButton="0" quotePrefix="0" xfId="0">
      <alignment wrapText="1"/>
      <protection locked="1" hidden="1"/>
    </xf>
    <xf numFmtId="0" fontId="916" fillId="0" borderId="0" pivotButton="0" quotePrefix="0" xfId="0"/>
    <xf numFmtId="0" fontId="918" fillId="0" borderId="11" applyAlignment="1" applyProtection="1" pivotButton="0" quotePrefix="0" xfId="0">
      <alignment wrapText="1"/>
      <protection locked="1" hidden="1"/>
    </xf>
    <xf numFmtId="0" fontId="919" fillId="0" borderId="0" pivotButton="0" quotePrefix="0" xfId="0"/>
    <xf numFmtId="0" fontId="921" fillId="0" borderId="11" applyAlignment="1" applyProtection="1" pivotButton="0" quotePrefix="0" xfId="0">
      <alignment wrapText="1"/>
      <protection locked="1" hidden="1"/>
    </xf>
    <xf numFmtId="0" fontId="922" fillId="0" borderId="0" pivotButton="0" quotePrefix="0" xfId="0"/>
    <xf numFmtId="0" fontId="924" fillId="0" borderId="11" applyAlignment="1" applyProtection="1" pivotButton="0" quotePrefix="0" xfId="0">
      <alignment wrapText="1"/>
      <protection locked="1" hidden="1"/>
    </xf>
    <xf numFmtId="0" fontId="925" fillId="0" borderId="0" pivotButton="0" quotePrefix="0" xfId="0"/>
    <xf numFmtId="0" fontId="927" fillId="0" borderId="11" applyAlignment="1" applyProtection="1" pivotButton="0" quotePrefix="0" xfId="0">
      <alignment wrapText="1"/>
      <protection locked="1" hidden="1"/>
    </xf>
    <xf numFmtId="0" fontId="928" fillId="0" borderId="0" pivotButton="0" quotePrefix="0" xfId="0"/>
    <xf numFmtId="0" fontId="930" fillId="0" borderId="11" applyAlignment="1" applyProtection="1" pivotButton="0" quotePrefix="0" xfId="0">
      <alignment wrapText="1"/>
      <protection locked="1" hidden="1"/>
    </xf>
    <xf numFmtId="0" fontId="931" fillId="0" borderId="0" pivotButton="0" quotePrefix="0" xfId="0"/>
    <xf numFmtId="0" fontId="933" fillId="0" borderId="11" applyAlignment="1" applyProtection="1" pivotButton="0" quotePrefix="0" xfId="0">
      <alignment wrapText="1"/>
      <protection locked="1" hidden="1"/>
    </xf>
    <xf numFmtId="0" fontId="934" fillId="0" borderId="0" pivotButton="0" quotePrefix="0" xfId="0"/>
    <xf numFmtId="0" fontId="936" fillId="0" borderId="11" applyAlignment="1" applyProtection="1" pivotButton="0" quotePrefix="0" xfId="0">
      <alignment wrapText="1"/>
      <protection locked="1" hidden="1"/>
    </xf>
    <xf numFmtId="0" fontId="937" fillId="0" borderId="0" pivotButton="0" quotePrefix="0" xfId="0"/>
    <xf numFmtId="0" fontId="939" fillId="0" borderId="11" applyAlignment="1" applyProtection="1" pivotButton="0" quotePrefix="0" xfId="0">
      <alignment wrapText="1"/>
      <protection locked="1" hidden="1"/>
    </xf>
    <xf numFmtId="0" fontId="940" fillId="0" borderId="0" pivotButton="0" quotePrefix="0" xfId="0"/>
    <xf numFmtId="0" fontId="942" fillId="0" borderId="11" applyAlignment="1" applyProtection="1" pivotButton="0" quotePrefix="0" xfId="0">
      <alignment wrapText="1"/>
      <protection locked="1" hidden="1"/>
    </xf>
    <xf numFmtId="0" fontId="943" fillId="0" borderId="0" pivotButton="0" quotePrefix="0" xfId="0"/>
    <xf numFmtId="0" fontId="945" fillId="0" borderId="11" applyAlignment="1" applyProtection="1" pivotButton="0" quotePrefix="0" xfId="0">
      <alignment wrapText="1"/>
      <protection locked="1" hidden="1"/>
    </xf>
    <xf numFmtId="0" fontId="946" fillId="0" borderId="0" pivotButton="0" quotePrefix="0" xfId="0"/>
    <xf numFmtId="0" fontId="948" fillId="0" borderId="11" applyAlignment="1" applyProtection="1" pivotButton="0" quotePrefix="0" xfId="0">
      <alignment wrapText="1"/>
      <protection locked="1" hidden="1"/>
    </xf>
    <xf numFmtId="0" fontId="949" fillId="0" borderId="0" pivotButton="0" quotePrefix="0" xfId="0"/>
    <xf numFmtId="0" fontId="951" fillId="0" borderId="11" applyAlignment="1" applyProtection="1" pivotButton="0" quotePrefix="0" xfId="0">
      <alignment wrapText="1"/>
      <protection locked="1" hidden="1"/>
    </xf>
    <xf numFmtId="0" fontId="952" fillId="0" borderId="0" pivotButton="0" quotePrefix="0" xfId="0"/>
    <xf numFmtId="0" fontId="954" fillId="0" borderId="11" applyAlignment="1" applyProtection="1" pivotButton="0" quotePrefix="0" xfId="0">
      <alignment wrapText="1"/>
      <protection locked="1" hidden="1"/>
    </xf>
    <xf numFmtId="0" fontId="955" fillId="0" borderId="0" pivotButton="0" quotePrefix="0" xfId="0"/>
    <xf numFmtId="0" fontId="957" fillId="0" borderId="11" applyAlignment="1" applyProtection="1" pivotButton="0" quotePrefix="0" xfId="0">
      <alignment wrapText="1"/>
      <protection locked="1" hidden="1"/>
    </xf>
    <xf numFmtId="0" fontId="958" fillId="0" borderId="0" pivotButton="0" quotePrefix="0" xfId="0"/>
    <xf numFmtId="0" fontId="960" fillId="0" borderId="11" applyAlignment="1" applyProtection="1" pivotButton="0" quotePrefix="0" xfId="0">
      <alignment wrapText="1"/>
      <protection locked="1" hidden="1"/>
    </xf>
    <xf numFmtId="0" fontId="961" fillId="0" borderId="0" pivotButton="0" quotePrefix="0" xfId="0"/>
    <xf numFmtId="0" fontId="963" fillId="0" borderId="11" applyAlignment="1" applyProtection="1" pivotButton="0" quotePrefix="0" xfId="0">
      <alignment wrapText="1"/>
      <protection locked="1" hidden="1"/>
    </xf>
    <xf numFmtId="0" fontId="964" fillId="0" borderId="0" pivotButton="0" quotePrefix="0" xfId="0"/>
    <xf numFmtId="0" fontId="966" fillId="0" borderId="11" applyAlignment="1" applyProtection="1" pivotButton="0" quotePrefix="0" xfId="0">
      <alignment wrapText="1"/>
      <protection locked="1" hidden="1"/>
    </xf>
    <xf numFmtId="0" fontId="967" fillId="0" borderId="0" pivotButton="0" quotePrefix="0" xfId="0"/>
    <xf numFmtId="0" fontId="969" fillId="0" borderId="11" applyAlignment="1" applyProtection="1" pivotButton="0" quotePrefix="0" xfId="0">
      <alignment wrapText="1"/>
      <protection locked="1" hidden="1"/>
    </xf>
    <xf numFmtId="0" fontId="970" fillId="0" borderId="0" pivotButton="0" quotePrefix="0" xfId="0"/>
    <xf numFmtId="0" fontId="972" fillId="0" borderId="11" applyAlignment="1" applyProtection="1" pivotButton="0" quotePrefix="0" xfId="0">
      <alignment wrapText="1"/>
      <protection locked="1" hidden="1"/>
    </xf>
    <xf numFmtId="0" fontId="973" fillId="0" borderId="0" pivotButton="0" quotePrefix="0" xfId="0"/>
    <xf numFmtId="0" fontId="975" fillId="0" borderId="11" applyAlignment="1" applyProtection="1" pivotButton="0" quotePrefix="0" xfId="0">
      <alignment wrapText="1"/>
      <protection locked="1" hidden="1"/>
    </xf>
    <xf numFmtId="0" fontId="976" fillId="0" borderId="0" pivotButton="0" quotePrefix="0" xfId="0"/>
    <xf numFmtId="0" fontId="978" fillId="0" borderId="11" applyAlignment="1" applyProtection="1" pivotButton="0" quotePrefix="0" xfId="0">
      <alignment wrapText="1"/>
      <protection locked="1" hidden="1"/>
    </xf>
    <xf numFmtId="0" fontId="979" fillId="0" borderId="0" pivotButton="0" quotePrefix="0" xfId="0"/>
    <xf numFmtId="0" fontId="981" fillId="0" borderId="11" applyAlignment="1" applyProtection="1" pivotButton="0" quotePrefix="0" xfId="0">
      <alignment wrapText="1"/>
      <protection locked="1" hidden="1"/>
    </xf>
    <xf numFmtId="0" fontId="982" fillId="0" borderId="0" pivotButton="0" quotePrefix="0" xfId="0"/>
    <xf numFmtId="0" fontId="984" fillId="0" borderId="11" applyAlignment="1" applyProtection="1" pivotButton="0" quotePrefix="0" xfId="0">
      <alignment wrapText="1"/>
      <protection locked="1" hidden="1"/>
    </xf>
    <xf numFmtId="0" fontId="985" fillId="0" borderId="0" pivotButton="0" quotePrefix="0" xfId="0"/>
    <xf numFmtId="0" fontId="987" fillId="0" borderId="11" applyAlignment="1" applyProtection="1" pivotButton="0" quotePrefix="0" xfId="0">
      <alignment wrapText="1"/>
      <protection locked="1" hidden="1"/>
    </xf>
    <xf numFmtId="0" fontId="988" fillId="0" borderId="0" pivotButton="0" quotePrefix="0" xfId="0"/>
    <xf numFmtId="0" fontId="990" fillId="0" borderId="11" applyAlignment="1" applyProtection="1" pivotButton="0" quotePrefix="0" xfId="0">
      <alignment wrapText="1"/>
      <protection locked="1" hidden="1"/>
    </xf>
    <xf numFmtId="0" fontId="991" fillId="0" borderId="0" pivotButton="0" quotePrefix="0" xfId="0"/>
    <xf numFmtId="0" fontId="993" fillId="0" borderId="11" applyAlignment="1" applyProtection="1" pivotButton="0" quotePrefix="0" xfId="0">
      <alignment wrapText="1"/>
      <protection locked="1" hidden="1"/>
    </xf>
    <xf numFmtId="0" fontId="994" fillId="0" borderId="0" pivotButton="0" quotePrefix="0" xfId="0"/>
    <xf numFmtId="0" fontId="996" fillId="0" borderId="11" applyAlignment="1" applyProtection="1" pivotButton="0" quotePrefix="0" xfId="0">
      <alignment wrapText="1"/>
      <protection locked="1" hidden="1"/>
    </xf>
    <xf numFmtId="0" fontId="997" fillId="0" borderId="0" pivotButton="0" quotePrefix="0" xfId="0"/>
    <xf numFmtId="0" fontId="999" fillId="0" borderId="11" applyAlignment="1" applyProtection="1" pivotButton="0" quotePrefix="0" xfId="0">
      <alignment wrapText="1"/>
      <protection locked="1" hidden="1"/>
    </xf>
    <xf numFmtId="0" fontId="1000" fillId="0" borderId="0" pivotButton="0" quotePrefix="0" xfId="0"/>
    <xf numFmtId="0" fontId="1002" fillId="0" borderId="11" applyAlignment="1" applyProtection="1" pivotButton="0" quotePrefix="0" xfId="0">
      <alignment wrapText="1"/>
      <protection locked="1" hidden="1"/>
    </xf>
    <xf numFmtId="0" fontId="1003" fillId="0" borderId="0" pivotButton="0" quotePrefix="0" xfId="0"/>
    <xf numFmtId="0" fontId="1005" fillId="0" borderId="11" applyAlignment="1" applyProtection="1" pivotButton="0" quotePrefix="0" xfId="0">
      <alignment wrapText="1"/>
      <protection locked="1" hidden="1"/>
    </xf>
    <xf numFmtId="0" fontId="1006" fillId="0" borderId="0" pivotButton="0" quotePrefix="0" xfId="0"/>
    <xf numFmtId="0" fontId="1008" fillId="0" borderId="11" applyAlignment="1" applyProtection="1" pivotButton="0" quotePrefix="0" xfId="0">
      <alignment wrapText="1"/>
      <protection locked="1" hidden="1"/>
    </xf>
    <xf numFmtId="0" fontId="1009" fillId="0" borderId="0" pivotButton="0" quotePrefix="0" xfId="0"/>
    <xf numFmtId="0" fontId="1011" fillId="0" borderId="11" applyAlignment="1" applyProtection="1" pivotButton="0" quotePrefix="0" xfId="0">
      <alignment wrapText="1"/>
      <protection locked="1" hidden="1"/>
    </xf>
    <xf numFmtId="0" fontId="1012" fillId="0" borderId="0" pivotButton="0" quotePrefix="0" xfId="0"/>
    <xf numFmtId="0" fontId="1014" fillId="0" borderId="11" applyAlignment="1" applyProtection="1" pivotButton="0" quotePrefix="0" xfId="0">
      <alignment wrapText="1"/>
      <protection locked="1" hidden="1"/>
    </xf>
    <xf numFmtId="0" fontId="1015" fillId="0" borderId="0" pivotButton="0" quotePrefix="0" xfId="0"/>
    <xf numFmtId="0" fontId="1017" fillId="0" borderId="11" applyAlignment="1" applyProtection="1" pivotButton="0" quotePrefix="0" xfId="0">
      <alignment wrapText="1"/>
      <protection locked="1" hidden="1"/>
    </xf>
    <xf numFmtId="0" fontId="1018" fillId="0" borderId="0" pivotButton="0" quotePrefix="0" xfId="0"/>
    <xf numFmtId="0" fontId="1020" fillId="0" borderId="11" applyAlignment="1" applyProtection="1" pivotButton="0" quotePrefix="0" xfId="0">
      <alignment wrapText="1"/>
      <protection locked="1" hidden="1"/>
    </xf>
    <xf numFmtId="0" fontId="1021" fillId="0" borderId="0" pivotButton="0" quotePrefix="0" xfId="0"/>
    <xf numFmtId="0" fontId="1023" fillId="0" borderId="11" applyAlignment="1" applyProtection="1" pivotButton="0" quotePrefix="0" xfId="0">
      <alignment wrapText="1"/>
      <protection locked="1" hidden="1"/>
    </xf>
    <xf numFmtId="0" fontId="1024" fillId="0" borderId="0" pivotButton="0" quotePrefix="0" xfId="0"/>
    <xf numFmtId="0" fontId="1026" fillId="0" borderId="11" applyAlignment="1" applyProtection="1" pivotButton="0" quotePrefix="0" xfId="0">
      <alignment wrapText="1"/>
      <protection locked="1" hidden="1"/>
    </xf>
    <xf numFmtId="0" fontId="1027" fillId="0" borderId="0" pivotButton="0" quotePrefix="0" xfId="0"/>
    <xf numFmtId="0" fontId="1029" fillId="0" borderId="11" applyAlignment="1" applyProtection="1" pivotButton="0" quotePrefix="0" xfId="0">
      <alignment wrapText="1"/>
      <protection locked="1" hidden="1"/>
    </xf>
    <xf numFmtId="0" fontId="1030" fillId="0" borderId="0" pivotButton="0" quotePrefix="0" xfId="0"/>
    <xf numFmtId="0" fontId="1032" fillId="0" borderId="11" applyAlignment="1" applyProtection="1" pivotButton="0" quotePrefix="0" xfId="0">
      <alignment wrapText="1"/>
      <protection locked="1" hidden="1"/>
    </xf>
    <xf numFmtId="0" fontId="1033" fillId="0" borderId="0" pivotButton="0" quotePrefix="0" xfId="0"/>
    <xf numFmtId="0" fontId="1035" fillId="0" borderId="11" applyAlignment="1" applyProtection="1" pivotButton="0" quotePrefix="0" xfId="0">
      <alignment wrapText="1"/>
      <protection locked="1" hidden="1"/>
    </xf>
    <xf numFmtId="0" fontId="1036" fillId="0" borderId="0" pivotButton="0" quotePrefix="0" xfId="0"/>
    <xf numFmtId="0" fontId="1038" fillId="0" borderId="11" applyAlignment="1" applyProtection="1" pivotButton="0" quotePrefix="0" xfId="0">
      <alignment wrapText="1"/>
      <protection locked="1" hidden="1"/>
    </xf>
    <xf numFmtId="0" fontId="1039" fillId="0" borderId="0" pivotButton="0" quotePrefix="0" xfId="0"/>
    <xf numFmtId="0" fontId="1041" fillId="0" borderId="11" applyAlignment="1" applyProtection="1" pivotButton="0" quotePrefix="0" xfId="0">
      <alignment wrapText="1"/>
      <protection locked="1" hidden="1"/>
    </xf>
    <xf numFmtId="0" fontId="1042" fillId="0" borderId="0" pivotButton="0" quotePrefix="0" xfId="0"/>
    <xf numFmtId="0" fontId="1044" fillId="0" borderId="11" applyAlignment="1" applyProtection="1" pivotButton="0" quotePrefix="0" xfId="0">
      <alignment wrapText="1"/>
      <protection locked="1" hidden="1"/>
    </xf>
    <xf numFmtId="0" fontId="1045" fillId="0" borderId="0" pivotButton="0" quotePrefix="0" xfId="0"/>
    <xf numFmtId="0" fontId="1047" fillId="0" borderId="11" applyAlignment="1" applyProtection="1" pivotButton="0" quotePrefix="0" xfId="0">
      <alignment wrapText="1"/>
      <protection locked="1" hidden="1"/>
    </xf>
    <xf numFmtId="0" fontId="1048" fillId="0" borderId="0" pivotButton="0" quotePrefix="0" xfId="0"/>
    <xf numFmtId="0" fontId="1050" fillId="0" borderId="11" applyAlignment="1" applyProtection="1" pivotButton="0" quotePrefix="0" xfId="0">
      <alignment wrapText="1"/>
      <protection locked="1" hidden="1"/>
    </xf>
    <xf numFmtId="0" fontId="1051" fillId="0" borderId="0" pivotButton="0" quotePrefix="0" xfId="0"/>
    <xf numFmtId="0" fontId="1053" fillId="0" borderId="11" applyAlignment="1" applyProtection="1" pivotButton="0" quotePrefix="0" xfId="0">
      <alignment wrapText="1"/>
      <protection locked="1" hidden="1"/>
    </xf>
    <xf numFmtId="0" fontId="1054" fillId="0" borderId="0" pivotButton="0" quotePrefix="0" xfId="0"/>
    <xf numFmtId="0" fontId="1056" fillId="0" borderId="11" applyAlignment="1" applyProtection="1" pivotButton="0" quotePrefix="0" xfId="0">
      <alignment wrapText="1"/>
      <protection locked="1" hidden="1"/>
    </xf>
    <xf numFmtId="0" fontId="1057" fillId="0" borderId="0" pivotButton="0" quotePrefix="0" xfId="0"/>
    <xf numFmtId="0" fontId="1059" fillId="0" borderId="11" applyAlignment="1" applyProtection="1" pivotButton="0" quotePrefix="0" xfId="0">
      <alignment wrapText="1"/>
      <protection locked="1" hidden="1"/>
    </xf>
    <xf numFmtId="0" fontId="1060" fillId="0" borderId="0" pivotButton="0" quotePrefix="0" xfId="0"/>
    <xf numFmtId="0" fontId="1062" fillId="0" borderId="11" applyAlignment="1" applyProtection="1" pivotButton="0" quotePrefix="0" xfId="0">
      <alignment wrapText="1"/>
      <protection locked="1" hidden="1"/>
    </xf>
    <xf numFmtId="0" fontId="1063" fillId="0" borderId="0" pivotButton="0" quotePrefix="0" xfId="0"/>
    <xf numFmtId="0" fontId="1065" fillId="0" borderId="11" applyAlignment="1" applyProtection="1" pivotButton="0" quotePrefix="0" xfId="0">
      <alignment wrapText="1"/>
      <protection locked="1" hidden="1"/>
    </xf>
    <xf numFmtId="0" fontId="1066" fillId="0" borderId="0" pivotButton="0" quotePrefix="0" xfId="0"/>
    <xf numFmtId="0" fontId="1068" fillId="0" borderId="11" applyAlignment="1" applyProtection="1" pivotButton="0" quotePrefix="0" xfId="0">
      <alignment wrapText="1"/>
      <protection locked="1" hidden="1"/>
    </xf>
    <xf numFmtId="0" fontId="1069" fillId="0" borderId="0" pivotButton="0" quotePrefix="0" xfId="0"/>
    <xf numFmtId="0" fontId="1071" fillId="0" borderId="11" applyAlignment="1" applyProtection="1" pivotButton="0" quotePrefix="0" xfId="0">
      <alignment wrapText="1"/>
      <protection locked="1" hidden="1"/>
    </xf>
    <xf numFmtId="0" fontId="1072" fillId="0" borderId="0" pivotButton="0" quotePrefix="0" xfId="0"/>
    <xf numFmtId="0" fontId="1074" fillId="0" borderId="11" applyAlignment="1" applyProtection="1" pivotButton="0" quotePrefix="0" xfId="0">
      <alignment wrapText="1"/>
      <protection locked="1" hidden="1"/>
    </xf>
    <xf numFmtId="0" fontId="1075" fillId="0" borderId="0" pivotButton="0" quotePrefix="0" xfId="0"/>
    <xf numFmtId="0" fontId="1077" fillId="0" borderId="11" applyAlignment="1" applyProtection="1" pivotButton="0" quotePrefix="0" xfId="0">
      <alignment wrapText="1"/>
      <protection locked="1" hidden="1"/>
    </xf>
    <xf numFmtId="0" fontId="1078" fillId="0" borderId="0" pivotButton="0" quotePrefix="0" xfId="0"/>
    <xf numFmtId="0" fontId="1080" fillId="0" borderId="11" applyAlignment="1" applyProtection="1" pivotButton="0" quotePrefix="0" xfId="0">
      <alignment wrapText="1"/>
      <protection locked="1" hidden="1"/>
    </xf>
    <xf numFmtId="0" fontId="1081" fillId="0" borderId="0" pivotButton="0" quotePrefix="0" xfId="0"/>
    <xf numFmtId="0" fontId="1083" fillId="0" borderId="11" applyAlignment="1" applyProtection="1" pivotButton="0" quotePrefix="0" xfId="0">
      <alignment wrapText="1"/>
      <protection locked="1" hidden="1"/>
    </xf>
    <xf numFmtId="0" fontId="1084" fillId="0" borderId="0" pivotButton="0" quotePrefix="0" xfId="0"/>
    <xf numFmtId="0" fontId="1086" fillId="0" borderId="11" applyAlignment="1" applyProtection="1" pivotButton="0" quotePrefix="0" xfId="0">
      <alignment wrapText="1"/>
      <protection locked="1" hidden="1"/>
    </xf>
    <xf numFmtId="0" fontId="1087" fillId="0" borderId="0" pivotButton="0" quotePrefix="0" xfId="0"/>
    <xf numFmtId="0" fontId="1089" fillId="0" borderId="11" applyAlignment="1" applyProtection="1" pivotButton="0" quotePrefix="0" xfId="0">
      <alignment wrapText="1"/>
      <protection locked="1" hidden="1"/>
    </xf>
    <xf numFmtId="0" fontId="1090" fillId="0" borderId="0" pivotButton="0" quotePrefix="0" xfId="0"/>
    <xf numFmtId="0" fontId="1092" fillId="0" borderId="11" applyAlignment="1" applyProtection="1" pivotButton="0" quotePrefix="0" xfId="0">
      <alignment wrapText="1"/>
      <protection locked="1" hidden="1"/>
    </xf>
    <xf numFmtId="0" fontId="1093" fillId="0" borderId="0" pivotButton="0" quotePrefix="0" xfId="0"/>
    <xf numFmtId="0" fontId="1095" fillId="0" borderId="11" applyAlignment="1" applyProtection="1" pivotButton="0" quotePrefix="0" xfId="0">
      <alignment wrapText="1"/>
      <protection locked="1" hidden="1"/>
    </xf>
    <xf numFmtId="0" fontId="1096" fillId="0" borderId="0" pivotButton="0" quotePrefix="0" xfId="0"/>
    <xf numFmtId="0" fontId="1098" fillId="0" borderId="11" applyAlignment="1" applyProtection="1" pivotButton="0" quotePrefix="0" xfId="0">
      <alignment wrapText="1"/>
      <protection locked="1" hidden="1"/>
    </xf>
    <xf numFmtId="0" fontId="1099" fillId="0" borderId="0" pivotButton="0" quotePrefix="0" xfId="0"/>
    <xf numFmtId="0" fontId="1101" fillId="0" borderId="11" applyAlignment="1" applyProtection="1" pivotButton="0" quotePrefix="0" xfId="0">
      <alignment wrapText="1"/>
      <protection locked="1" hidden="1"/>
    </xf>
    <xf numFmtId="0" fontId="1102" fillId="0" borderId="0" pivotButton="0" quotePrefix="0" xfId="0"/>
    <xf numFmtId="0" fontId="1104" fillId="0" borderId="11" applyAlignment="1" applyProtection="1" pivotButton="0" quotePrefix="0" xfId="0">
      <alignment wrapText="1"/>
      <protection locked="1" hidden="1"/>
    </xf>
    <xf numFmtId="0" fontId="1105" fillId="0" borderId="0" pivotButton="0" quotePrefix="0" xfId="0"/>
    <xf numFmtId="0" fontId="56" fillId="27" borderId="0" applyAlignment="1" applyProtection="1" pivotButton="0" quotePrefix="0" xfId="0">
      <alignment horizontal="left" vertical="center" wrapText="1"/>
      <protection locked="0" hidden="1"/>
    </xf>
    <xf numFmtId="2" fontId="42" fillId="27" borderId="0" applyAlignment="1" applyProtection="1" pivotButton="0" quotePrefix="0" xfId="0">
      <alignment horizontal="left" vertical="center" wrapText="1"/>
      <protection locked="1" hidden="1"/>
    </xf>
    <xf numFmtId="0" fontId="35" fillId="0" borderId="0" applyProtection="1" pivotButton="0" quotePrefix="0" xfId="0">
      <protection locked="1" hidden="1"/>
    </xf>
    <xf numFmtId="0" fontId="54" fillId="26" borderId="0" applyAlignment="1" applyProtection="1" pivotButton="0" quotePrefix="0" xfId="0">
      <alignment horizontal="center"/>
      <protection locked="1" hidden="1"/>
    </xf>
    <xf numFmtId="2" fontId="26" fillId="26" borderId="0" applyAlignment="1" applyProtection="1" pivotButton="0" quotePrefix="0" xfId="0">
      <alignment horizontal="center"/>
      <protection locked="1" hidden="1"/>
    </xf>
    <xf numFmtId="0" fontId="27" fillId="0" borderId="23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166" fontId="2" fillId="0" borderId="15" applyAlignment="1" applyProtection="1" pivotButton="0" quotePrefix="0" xfId="0">
      <alignment horizontal="center" vertical="center"/>
      <protection locked="1" hidden="1"/>
    </xf>
    <xf numFmtId="167" fontId="25" fillId="25" borderId="15" applyAlignment="1" applyProtection="1" pivotButton="0" quotePrefix="0" xfId="0">
      <alignment horizontal="right"/>
      <protection locked="0" hidden="0"/>
    </xf>
    <xf numFmtId="167" fontId="25" fillId="0" borderId="15" applyAlignment="1" pivotButton="0" quotePrefix="0" xfId="0">
      <alignment horizontal="right"/>
    </xf>
    <xf numFmtId="167" fontId="41" fillId="24" borderId="15" applyAlignment="1" pivotButton="0" quotePrefix="0" xfId="0">
      <alignment horizontal="right"/>
    </xf>
    <xf numFmtId="167" fontId="41" fillId="24" borderId="0" applyAlignment="1" pivotButton="0" quotePrefix="0" xfId="0">
      <alignment horizontal="right"/>
    </xf>
    <xf numFmtId="0" fontId="27" fillId="0" borderId="23" applyAlignment="1" applyProtection="1" pivotButton="0" quotePrefix="0" xfId="0">
      <alignment horizontal="center" vertical="center" wrapText="1"/>
      <protection locked="1" hidden="1"/>
    </xf>
    <xf numFmtId="0" fontId="0" fillId="0" borderId="42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1" fontId="46" fillId="0" borderId="15" applyAlignment="1" pivotButton="0" quotePrefix="0" xfId="0">
      <alignment horizontal="center" vertical="center"/>
    </xf>
    <xf numFmtId="0" fontId="0" fillId="0" borderId="20" pivotButton="0" quotePrefix="0" xfId="0"/>
    <xf numFmtId="0" fontId="143" fillId="0" borderId="45" applyAlignment="1" pivotButton="0" quotePrefix="0" xfId="0">
      <alignment horizontal="left" vertical="center" wrapText="1"/>
    </xf>
    <xf numFmtId="0" fontId="0" fillId="0" borderId="40" pivotButton="0" quotePrefix="0" xfId="0"/>
    <xf numFmtId="0" fontId="0" fillId="0" borderId="18" pivotButton="0" quotePrefix="0" xfId="0"/>
    <xf numFmtId="0" fontId="0" fillId="0" borderId="44" applyProtection="1" pivotButton="0" quotePrefix="0" xfId="0">
      <protection locked="1" hidden="1"/>
    </xf>
    <xf numFmtId="0" fontId="542" fillId="0" borderId="45" applyAlignment="1" pivotButton="0" quotePrefix="0" xfId="0">
      <alignment horizontal="left" vertical="center" wrapText="1"/>
    </xf>
    <xf numFmtId="0" fontId="116" fillId="0" borderId="45" applyAlignment="1" pivotButton="0" quotePrefix="0" xfId="0">
      <alignment horizontal="left" vertical="center" wrapText="1"/>
    </xf>
    <xf numFmtId="0" fontId="52" fillId="24" borderId="15" applyAlignment="1" applyProtection="1" pivotButton="0" quotePrefix="0" xfId="0">
      <alignment horizontal="center" vertical="center" wrapText="1"/>
      <protection locked="1" hidden="1"/>
    </xf>
    <xf numFmtId="0" fontId="0" fillId="0" borderId="25" applyProtection="1" pivotButton="0" quotePrefix="0" xfId="0">
      <protection locked="1" hidden="1"/>
    </xf>
    <xf numFmtId="2" fontId="48" fillId="24" borderId="11" applyAlignment="1" applyProtection="1" pivotButton="0" quotePrefix="0" xfId="0">
      <alignment vertical="center" wrapText="1"/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647" fillId="0" borderId="45" applyAlignment="1" pivotButton="0" quotePrefix="0" xfId="0">
      <alignment horizontal="left" vertical="center" wrapText="1"/>
    </xf>
    <xf numFmtId="0" fontId="41" fillId="24" borderId="11" applyAlignment="1" applyProtection="1" pivotButton="0" quotePrefix="0" xfId="0">
      <alignment horizontal="right"/>
      <protection locked="1" hidden="1"/>
    </xf>
    <xf numFmtId="0" fontId="233" fillId="0" borderId="45" applyAlignment="1" pivotButton="0" quotePrefix="0" xfId="0">
      <alignment horizontal="left" vertical="center" wrapText="1"/>
    </xf>
    <xf numFmtId="0" fontId="599" fillId="0" borderId="45" applyAlignment="1" pivotButton="0" quotePrefix="0" xfId="0">
      <alignment horizontal="left" vertical="center" wrapText="1"/>
    </xf>
    <xf numFmtId="2" fontId="26" fillId="26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0" fillId="24" borderId="31" applyAlignment="1" applyProtection="1" pivotButton="0" quotePrefix="0" xfId="0">
      <alignment horizontal="center"/>
      <protection locked="1" hidden="1"/>
    </xf>
    <xf numFmtId="0" fontId="0" fillId="0" borderId="31" applyProtection="1" pivotButton="0" quotePrefix="0" xfId="0">
      <protection locked="1" hidden="1"/>
    </xf>
    <xf numFmtId="0" fontId="746" fillId="0" borderId="45" applyAlignment="1" pivotButton="0" quotePrefix="0" xfId="0">
      <alignment horizontal="left" vertical="center" wrapText="1"/>
    </xf>
    <xf numFmtId="0" fontId="48" fillId="27" borderId="0" applyAlignment="1" applyProtection="1" pivotButton="0" quotePrefix="0" xfId="0">
      <alignment vertical="center" wrapText="1"/>
      <protection locked="1" hidden="1"/>
    </xf>
    <xf numFmtId="0" fontId="239" fillId="0" borderId="45" applyAlignment="1" pivotButton="0" quotePrefix="0" xfId="0">
      <alignment horizontal="left" vertical="center" wrapText="1"/>
    </xf>
    <xf numFmtId="0" fontId="374" fillId="0" borderId="45" applyAlignment="1" pivotButton="0" quotePrefix="0" xfId="0">
      <alignment horizontal="left" vertical="center" wrapText="1"/>
    </xf>
    <xf numFmtId="0" fontId="54" fillId="26" borderId="0" applyAlignment="1" applyProtection="1" pivotButton="0" quotePrefix="0" xfId="0">
      <alignment horizontal="center"/>
      <protection locked="1" hidden="1"/>
    </xf>
    <xf numFmtId="0" fontId="608" fillId="0" borderId="45" applyAlignment="1" pivotButton="0" quotePrefix="0" xfId="0">
      <alignment horizontal="left" vertical="center" wrapText="1"/>
    </xf>
    <xf numFmtId="0" fontId="161" fillId="0" borderId="45" applyAlignment="1" pivotButton="0" quotePrefix="0" xfId="0">
      <alignment horizontal="left" vertical="center" wrapText="1"/>
    </xf>
    <xf numFmtId="0" fontId="35" fillId="0" borderId="0" applyProtection="1" pivotButton="0" quotePrefix="0" xfId="0">
      <protection locked="1" hidden="1"/>
    </xf>
    <xf numFmtId="0" fontId="557" fillId="0" borderId="45" applyAlignment="1" pivotButton="0" quotePrefix="0" xfId="0">
      <alignment horizontal="left" vertical="center" wrapText="1"/>
    </xf>
    <xf numFmtId="0" fontId="614" fillId="0" borderId="45" applyAlignment="1" pivotButton="0" quotePrefix="0" xfId="0">
      <alignment horizontal="left" vertical="center" wrapText="1"/>
    </xf>
    <xf numFmtId="0" fontId="167" fillId="0" borderId="45" applyAlignment="1" pivotButton="0" quotePrefix="0" xfId="0">
      <alignment horizontal="left" vertical="center" wrapText="1"/>
    </xf>
    <xf numFmtId="0" fontId="0" fillId="24" borderId="27" applyAlignment="1" applyProtection="1" pivotButton="0" quotePrefix="0" xfId="0">
      <alignment horizontal="center"/>
      <protection locked="1" hidden="1"/>
    </xf>
    <xf numFmtId="0" fontId="0" fillId="0" borderId="27" applyProtection="1" pivotButton="0" quotePrefix="0" xfId="0">
      <protection locked="1" hidden="1"/>
    </xf>
    <xf numFmtId="0" fontId="305" fillId="0" borderId="45" applyAlignment="1" pivotButton="0" quotePrefix="0" xfId="0">
      <alignment horizontal="left" vertical="center" wrapText="1"/>
    </xf>
    <xf numFmtId="0" fontId="281" fillId="0" borderId="45" applyAlignment="1" pivotButton="0" quotePrefix="0" xfId="0">
      <alignment horizontal="left" vertical="center" wrapText="1"/>
    </xf>
    <xf numFmtId="0" fontId="45" fillId="24" borderId="15" applyAlignment="1" applyProtection="1" pivotButton="0" quotePrefix="0" xfId="0">
      <alignment horizontal="center" vertical="center" wrapText="1"/>
      <protection locked="1" hidden="1"/>
    </xf>
    <xf numFmtId="0" fontId="0" fillId="0" borderId="20" applyProtection="1" pivotButton="0" quotePrefix="0" xfId="0">
      <protection locked="1" hidden="1"/>
    </xf>
    <xf numFmtId="0" fontId="52" fillId="24" borderId="15" applyAlignment="1" applyProtection="1" pivotButton="0" quotePrefix="0" xfId="39">
      <alignment horizontal="center" vertical="center" wrapText="1"/>
      <protection locked="0" hidden="1"/>
    </xf>
    <xf numFmtId="0" fontId="0" fillId="0" borderId="25" applyProtection="1" pivotButton="0" quotePrefix="0" xfId="0">
      <protection locked="0" hidden="1"/>
    </xf>
    <xf numFmtId="0" fontId="740" fillId="0" borderId="45" applyAlignment="1" pivotButton="0" quotePrefix="0" xfId="0">
      <alignment horizontal="left" vertical="center" wrapText="1"/>
    </xf>
    <xf numFmtId="0" fontId="683" fillId="0" borderId="45" applyAlignment="1" pivotButton="0" quotePrefix="0" xfId="0">
      <alignment horizontal="left" vertical="center" wrapText="1"/>
    </xf>
    <xf numFmtId="0" fontId="0" fillId="0" borderId="28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168" fontId="36" fillId="25" borderId="15" applyAlignment="1" applyProtection="1" pivotButton="0" quotePrefix="0" xfId="0">
      <alignment horizontal="center" vertical="center"/>
      <protection locked="0" hidden="0"/>
    </xf>
    <xf numFmtId="0" fontId="0" fillId="0" borderId="20" applyProtection="1" pivotButton="0" quotePrefix="0" xfId="0">
      <protection locked="0" hidden="0"/>
    </xf>
    <xf numFmtId="0" fontId="620" fillId="0" borderId="45" applyAlignment="1" pivotButton="0" quotePrefix="0" xfId="0">
      <alignment horizontal="left" vertical="center" wrapText="1"/>
    </xf>
    <xf numFmtId="0" fontId="839" fillId="0" borderId="45" applyAlignment="1" pivotButton="0" quotePrefix="0" xfId="0">
      <alignment horizontal="left" vertical="center" wrapText="1"/>
    </xf>
    <xf numFmtId="0" fontId="347" fillId="0" borderId="45" applyAlignment="1" pivotButton="0" quotePrefix="0" xfId="0">
      <alignment horizontal="left" vertical="center" wrapText="1"/>
    </xf>
    <xf numFmtId="0" fontId="48" fillId="24" borderId="21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1100" fillId="0" borderId="45" applyAlignment="1" pivotButton="0" quotePrefix="0" xfId="0">
      <alignment horizontal="left" vertical="center" wrapText="1"/>
    </xf>
    <xf numFmtId="0" fontId="992" fillId="0" borderId="45" applyAlignment="1" pivotButton="0" quotePrefix="0" xfId="0">
      <alignment horizontal="left" vertical="center" wrapText="1"/>
    </xf>
    <xf numFmtId="0" fontId="800" fillId="0" borderId="45" applyAlignment="1" pivotButton="0" quotePrefix="0" xfId="0">
      <alignment horizontal="left" vertical="center" wrapText="1"/>
    </xf>
    <xf numFmtId="0" fontId="521" fillId="0" borderId="45" applyAlignment="1" pivotButton="0" quotePrefix="0" xfId="0">
      <alignment horizontal="left" vertical="center" wrapText="1"/>
    </xf>
    <xf numFmtId="0" fontId="467" fillId="0" borderId="45" applyAlignment="1" pivotButton="0" quotePrefix="0" xfId="0">
      <alignment horizontal="left" vertical="center" wrapText="1"/>
    </xf>
    <xf numFmtId="0" fontId="140" fillId="0" borderId="45" applyAlignment="1" pivotButton="0" quotePrefix="0" xfId="0">
      <alignment horizontal="left" vertical="center" wrapText="1"/>
    </xf>
    <xf numFmtId="0" fontId="125" fillId="0" borderId="45" applyAlignment="1" pivotButton="0" quotePrefix="0" xfId="0">
      <alignment horizontal="left" vertical="center" wrapText="1"/>
    </xf>
    <xf numFmtId="0" fontId="395" fillId="0" borderId="45" applyAlignment="1" pivotButton="0" quotePrefix="0" xfId="0">
      <alignment horizontal="left" vertical="center" wrapText="1"/>
    </xf>
    <xf numFmtId="0" fontId="845" fillId="0" borderId="45" applyAlignment="1" pivotButton="0" quotePrefix="0" xfId="0">
      <alignment horizontal="left" vertical="center" wrapText="1"/>
    </xf>
    <xf numFmtId="0" fontId="524" fillId="0" borderId="45" applyAlignment="1" pivotButton="0" quotePrefix="0" xfId="0">
      <alignment horizontal="left" vertical="center" wrapText="1"/>
    </xf>
    <xf numFmtId="49" fontId="36" fillId="0" borderId="15" applyAlignment="1" pivotButton="0" quotePrefix="0" xfId="0">
      <alignment horizontal="center" vertical="center"/>
    </xf>
    <xf numFmtId="0" fontId="350" fillId="0" borderId="45" applyAlignment="1" pivotButton="0" quotePrefix="0" xfId="0">
      <alignment horizontal="left" vertical="center" wrapText="1"/>
    </xf>
    <xf numFmtId="0" fontId="254" fillId="0" borderId="45" applyAlignment="1" pivotButton="0" quotePrefix="0" xfId="0">
      <alignment horizontal="left" vertical="center" wrapText="1"/>
    </xf>
    <xf numFmtId="0" fontId="971" fillId="0" borderId="45" applyAlignment="1" pivotButton="0" quotePrefix="0" xfId="0">
      <alignment horizontal="left" vertical="center" wrapText="1"/>
    </xf>
    <xf numFmtId="0" fontId="464" fillId="0" borderId="45" applyAlignment="1" pivotButton="0" quotePrefix="0" xfId="0">
      <alignment horizontal="left" vertical="center" wrapText="1"/>
    </xf>
    <xf numFmtId="0" fontId="182" fillId="0" borderId="45" applyAlignment="1" pivotButton="0" quotePrefix="0" xfId="0">
      <alignment horizontal="left" vertical="center" wrapText="1"/>
    </xf>
    <xf numFmtId="0" fontId="431" fillId="0" borderId="45" applyAlignment="1" pivotButton="0" quotePrefix="0" xfId="0">
      <alignment horizontal="left" vertical="center" wrapText="1"/>
    </xf>
    <xf numFmtId="0" fontId="728" fillId="0" borderId="45" applyAlignment="1" pivotButton="0" quotePrefix="0" xfId="0">
      <alignment horizontal="left" vertical="center" wrapText="1"/>
    </xf>
    <xf numFmtId="165" fontId="36" fillId="25" borderId="11" applyAlignment="1" applyProtection="1" pivotButton="0" quotePrefix="0" xfId="0">
      <alignment horizontal="center" vertical="center"/>
      <protection locked="0" hidden="0"/>
    </xf>
    <xf numFmtId="0" fontId="0" fillId="0" borderId="13" applyProtection="1" pivotButton="0" quotePrefix="0" xfId="0">
      <protection locked="0" hidden="0"/>
    </xf>
    <xf numFmtId="0" fontId="113" fillId="0" borderId="45" applyAlignment="1" pivotButton="0" quotePrefix="0" xfId="0">
      <alignment horizontal="left" vertical="center" wrapText="1"/>
    </xf>
    <xf numFmtId="0" fontId="1010" fillId="0" borderId="45" applyAlignment="1" pivotButton="0" quotePrefix="0" xfId="0">
      <alignment horizontal="left" vertical="center" wrapText="1"/>
    </xf>
    <xf numFmtId="0" fontId="806" fillId="0" borderId="45" applyAlignment="1" pivotButton="0" quotePrefix="0" xfId="0">
      <alignment horizontal="left" vertical="center" wrapText="1"/>
    </xf>
    <xf numFmtId="0" fontId="146" fillId="0" borderId="45" applyAlignment="1" pivotButton="0" quotePrefix="0" xfId="0">
      <alignment horizontal="left" vertical="center" wrapText="1"/>
    </xf>
    <xf numFmtId="0" fontId="575" fillId="0" borderId="45" applyAlignment="1" pivotButton="0" quotePrefix="0" xfId="0">
      <alignment horizontal="left" vertical="center" wrapText="1"/>
    </xf>
    <xf numFmtId="0" fontId="968" fillId="0" borderId="45" applyAlignment="1" pivotButton="0" quotePrefix="0" xfId="0">
      <alignment horizontal="left" vertical="center" wrapText="1"/>
    </xf>
    <xf numFmtId="0" fontId="590" fillId="0" borderId="45" applyAlignment="1" pivotButton="0" quotePrefix="0" xfId="0">
      <alignment horizontal="left" vertical="center" wrapText="1"/>
    </xf>
    <xf numFmtId="0" fontId="230" fillId="0" borderId="45" applyAlignment="1" pivotButton="0" quotePrefix="0" xfId="0">
      <alignment horizontal="left" vertical="center" wrapText="1"/>
    </xf>
    <xf numFmtId="0" fontId="701" fillId="0" borderId="45" applyAlignment="1" pivotButton="0" quotePrefix="0" xfId="0">
      <alignment horizontal="left" vertical="center" wrapText="1"/>
    </xf>
    <xf numFmtId="0" fontId="698" fillId="0" borderId="45" applyAlignment="1" pivotButton="0" quotePrefix="0" xfId="0">
      <alignment horizontal="left" vertical="center" wrapText="1"/>
    </xf>
    <xf numFmtId="0" fontId="611" fillId="0" borderId="45" applyAlignment="1" pivotButton="0" quotePrefix="0" xfId="0">
      <alignment horizontal="left" vertical="center" wrapText="1"/>
    </xf>
    <xf numFmtId="0" fontId="52" fillId="24" borderId="11" applyAlignment="1" applyProtection="1" pivotButton="0" quotePrefix="0" xfId="0">
      <alignment horizontal="center" vertical="center" wrapText="1"/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35" applyProtection="1" pivotButton="0" quotePrefix="0" xfId="0">
      <protection locked="1" hidden="1"/>
    </xf>
    <xf numFmtId="0" fontId="0" fillId="0" borderId="36" applyProtection="1" pivotButton="0" quotePrefix="0" xfId="0">
      <protection locked="1" hidden="1"/>
    </xf>
    <xf numFmtId="0" fontId="41" fillId="24" borderId="15" applyAlignment="1" applyProtection="1" pivotButton="0" quotePrefix="0" xfId="0">
      <alignment horizontal="left"/>
      <protection locked="1" hidden="1"/>
    </xf>
    <xf numFmtId="0" fontId="0" fillId="0" borderId="19" applyProtection="1" pivotButton="0" quotePrefix="0" xfId="0">
      <protection locked="1" hidden="1"/>
    </xf>
    <xf numFmtId="0" fontId="131" fillId="0" borderId="45" applyAlignment="1" pivotButton="0" quotePrefix="0" xfId="0">
      <alignment horizontal="left" vertical="center" wrapText="1"/>
    </xf>
    <xf numFmtId="0" fontId="866" fillId="0" borderId="45" applyAlignment="1" pivotButton="0" quotePrefix="0" xfId="0">
      <alignment horizontal="left" vertical="center" wrapText="1"/>
    </xf>
    <xf numFmtId="0" fontId="1004" fillId="0" borderId="45" applyAlignment="1" pivotButton="0" quotePrefix="0" xfId="0">
      <alignment horizontal="left" vertical="center" wrapText="1"/>
    </xf>
    <xf numFmtId="0" fontId="449" fillId="0" borderId="45" applyAlignment="1" pivotButton="0" quotePrefix="0" xfId="0">
      <alignment horizontal="left" vertical="center" wrapText="1"/>
    </xf>
    <xf numFmtId="0" fontId="251" fillId="0" borderId="45" applyAlignment="1" pivotButton="0" quotePrefix="0" xfId="0">
      <alignment horizontal="left" vertical="center" wrapText="1"/>
    </xf>
    <xf numFmtId="0" fontId="55" fillId="0" borderId="0" applyAlignment="1" applyProtection="1" pivotButton="0" quotePrefix="0" xfId="0">
      <alignment horizontal="center" vertical="center" wrapText="1"/>
      <protection locked="1" hidden="1"/>
    </xf>
    <xf numFmtId="0" fontId="242" fillId="0" borderId="45" applyAlignment="1" pivotButton="0" quotePrefix="0" xfId="0">
      <alignment horizontal="left" vertical="center" wrapText="1"/>
    </xf>
    <xf numFmtId="0" fontId="527" fillId="0" borderId="45" applyAlignment="1" pivotButton="0" quotePrefix="0" xfId="0">
      <alignment horizontal="left" vertical="center" wrapText="1"/>
    </xf>
    <xf numFmtId="0" fontId="617" fillId="0" borderId="45" applyAlignment="1" pivotButton="0" quotePrefix="0" xfId="0">
      <alignment horizontal="left" vertical="center" wrapText="1"/>
    </xf>
    <xf numFmtId="0" fontId="581" fillId="0" borderId="45" applyAlignment="1" pivotButton="0" quotePrefix="0" xfId="0">
      <alignment horizontal="left" vertical="center" wrapText="1"/>
    </xf>
    <xf numFmtId="0" fontId="692" fillId="0" borderId="45" applyAlignment="1" pivotButton="0" quotePrefix="0" xfId="0">
      <alignment horizontal="left" vertical="center" wrapText="1"/>
    </xf>
    <xf numFmtId="0" fontId="344" fillId="0" borderId="45" applyAlignment="1" pivotButton="0" quotePrefix="0" xfId="0">
      <alignment horizontal="left" vertical="center" wrapText="1"/>
    </xf>
    <xf numFmtId="0" fontId="983" fillId="0" borderId="45" applyAlignment="1" pivotButton="0" quotePrefix="0" xfId="0">
      <alignment horizontal="left" vertical="center" wrapText="1"/>
    </xf>
    <xf numFmtId="0" fontId="122" fillId="0" borderId="45" applyAlignment="1" pivotButton="0" quotePrefix="0" xfId="0">
      <alignment horizontal="left" vertical="center" wrapText="1"/>
    </xf>
    <xf numFmtId="0" fontId="48" fillId="27" borderId="0" applyAlignment="1" applyProtection="1" pivotButton="0" quotePrefix="1" xfId="0">
      <alignment horizontal="center" vertical="center" wrapText="1"/>
      <protection locked="0" hidden="1"/>
    </xf>
    <xf numFmtId="0" fontId="0" fillId="0" borderId="0" applyProtection="1" pivotButton="0" quotePrefix="0" xfId="0">
      <protection locked="0" hidden="1"/>
    </xf>
    <xf numFmtId="0" fontId="605" fillId="0" borderId="4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horizontal="center" vertical="center" wrapText="1"/>
      <protection locked="1" hidden="1"/>
    </xf>
    <xf numFmtId="0" fontId="158" fillId="0" borderId="45" applyAlignment="1" pivotButton="0" quotePrefix="0" xfId="0">
      <alignment horizontal="left" vertical="center" wrapText="1"/>
    </xf>
    <xf numFmtId="0" fontId="1088" fillId="0" borderId="45" applyAlignment="1" pivotButton="0" quotePrefix="0" xfId="0">
      <alignment horizontal="left" vertical="center" wrapText="1"/>
    </xf>
    <xf numFmtId="0" fontId="197" fillId="0" borderId="45" applyAlignment="1" pivotButton="0" quotePrefix="0" xfId="0">
      <alignment horizontal="left" vertical="center" wrapText="1"/>
    </xf>
    <xf numFmtId="0" fontId="569" fillId="0" borderId="45" applyAlignment="1" pivotButton="0" quotePrefix="0" xfId="0">
      <alignment horizontal="left" vertical="center" wrapText="1"/>
    </xf>
    <xf numFmtId="0" fontId="989" fillId="0" borderId="45" applyAlignment="1" pivotButton="0" quotePrefix="0" xfId="0">
      <alignment horizontal="left" vertical="center" wrapText="1"/>
    </xf>
    <xf numFmtId="0" fontId="689" fillId="0" borderId="45" applyAlignment="1" pivotButton="0" quotePrefix="0" xfId="0">
      <alignment horizontal="left" vertical="center" wrapText="1"/>
    </xf>
    <xf numFmtId="0" fontId="200" fillId="0" borderId="45" applyAlignment="1" pivotButton="0" quotePrefix="0" xfId="0">
      <alignment horizontal="left" vertical="center" wrapText="1"/>
    </xf>
    <xf numFmtId="0" fontId="338" fillId="0" borderId="45" applyAlignment="1" pivotButton="0" quotePrefix="0" xfId="0">
      <alignment horizontal="left" vertical="center" wrapText="1"/>
    </xf>
    <xf numFmtId="0" fontId="323" fillId="0" borderId="45" applyAlignment="1" pivotButton="0" quotePrefix="0" xfId="0">
      <alignment horizontal="left" vertical="center" wrapText="1"/>
    </xf>
    <xf numFmtId="2" fontId="50" fillId="0" borderId="26" applyAlignment="1" pivotButton="0" quotePrefix="0" xfId="0">
      <alignment horizontal="center" vertical="center"/>
    </xf>
    <xf numFmtId="0" fontId="0" fillId="0" borderId="26" pivotButton="0" quotePrefix="0" xfId="0"/>
    <xf numFmtId="0" fontId="236" fillId="0" borderId="45" applyAlignment="1" pivotButton="0" quotePrefix="0" xfId="0">
      <alignment horizontal="left" vertical="center" wrapText="1"/>
    </xf>
    <xf numFmtId="0" fontId="923" fillId="0" borderId="45" applyAlignment="1" pivotButton="0" quotePrefix="0" xfId="0">
      <alignment horizontal="left" vertical="center" wrapText="1"/>
    </xf>
    <xf numFmtId="0" fontId="1091" fillId="0" borderId="45" applyAlignment="1" pivotButton="0" quotePrefix="0" xfId="0">
      <alignment horizontal="left" vertical="center" wrapText="1"/>
    </xf>
    <xf numFmtId="0" fontId="560" fillId="0" borderId="45" applyAlignment="1" pivotButton="0" quotePrefix="0" xfId="0">
      <alignment horizontal="left" vertical="center" wrapText="1"/>
    </xf>
    <xf numFmtId="0" fontId="260" fillId="0" borderId="45" applyAlignment="1" pivotButton="0" quotePrefix="0" xfId="0">
      <alignment horizontal="left" vertical="center" wrapText="1"/>
    </xf>
    <xf numFmtId="0" fontId="932" fillId="0" borderId="45" applyAlignment="1" pivotButton="0" quotePrefix="0" xfId="0">
      <alignment horizontal="left" vertical="center" wrapText="1"/>
    </xf>
    <xf numFmtId="0" fontId="311" fillId="0" borderId="45" applyAlignment="1" pivotButton="0" quotePrefix="0" xfId="0">
      <alignment horizontal="left" vertical="center" wrapText="1"/>
    </xf>
    <xf numFmtId="0" fontId="215" fillId="0" borderId="45" applyAlignment="1" pivotButton="0" quotePrefix="0" xfId="0">
      <alignment horizontal="left" vertical="center" wrapText="1"/>
    </xf>
    <xf numFmtId="0" fontId="425" fillId="0" borderId="45" applyAlignment="1" pivotButton="0" quotePrefix="0" xfId="0">
      <alignment horizontal="left" vertical="center" wrapText="1"/>
    </xf>
    <xf numFmtId="0" fontId="797" fillId="0" borderId="45" applyAlignment="1" pivotButton="0" quotePrefix="0" xfId="0">
      <alignment horizontal="left" vertical="center" wrapText="1"/>
    </xf>
    <xf numFmtId="0" fontId="503" fillId="0" borderId="45" applyAlignment="1" pivotButton="0" quotePrefix="0" xfId="0">
      <alignment horizontal="left" vertical="center" wrapText="1"/>
    </xf>
    <xf numFmtId="0" fontId="974" fillId="0" borderId="45" applyAlignment="1" pivotButton="0" quotePrefix="0" xfId="0">
      <alignment horizontal="left" vertical="center" wrapText="1"/>
    </xf>
    <xf numFmtId="0" fontId="1097" fillId="0" borderId="45" applyAlignment="1" pivotButton="0" quotePrefix="0" xfId="0">
      <alignment horizontal="left" vertical="center" wrapText="1"/>
    </xf>
    <xf numFmtId="0" fontId="680" fillId="0" borderId="45" applyAlignment="1" pivotButton="0" quotePrefix="0" xfId="0">
      <alignment horizontal="left" vertical="center" wrapText="1"/>
    </xf>
    <xf numFmtId="0" fontId="917" fillId="0" borderId="45" applyAlignment="1" pivotButton="0" quotePrefix="0" xfId="0">
      <alignment horizontal="left" vertical="center" wrapText="1"/>
    </xf>
    <xf numFmtId="0" fontId="596" fillId="0" borderId="45" applyAlignment="1" pivotButton="0" quotePrefix="0" xfId="0">
      <alignment horizontal="left" vertical="center" wrapText="1"/>
    </xf>
    <xf numFmtId="0" fontId="818" fillId="0" borderId="45" applyAlignment="1" pivotButton="0" quotePrefix="0" xfId="0">
      <alignment horizontal="left" vertical="center" wrapText="1"/>
    </xf>
    <xf numFmtId="0" fontId="95" fillId="0" borderId="45" applyAlignment="1" pivotButton="0" quotePrefix="0" xfId="0">
      <alignment horizontal="left" vertical="center" wrapText="1"/>
    </xf>
    <xf numFmtId="0" fontId="578" fillId="0" borderId="45" applyAlignment="1" pivotButton="0" quotePrefix="0" xfId="0">
      <alignment horizontal="left" vertical="center" wrapText="1"/>
    </xf>
    <xf numFmtId="0" fontId="980" fillId="0" borderId="45" applyAlignment="1" pivotButton="0" quotePrefix="0" xfId="0">
      <alignment horizontal="left" vertical="center" wrapText="1"/>
    </xf>
    <xf numFmtId="0" fontId="782" fillId="0" borderId="45" applyAlignment="1" pivotButton="0" quotePrefix="0" xfId="0">
      <alignment horizontal="left" vertical="center" wrapText="1"/>
    </xf>
    <xf numFmtId="0" fontId="959" fillId="0" borderId="45" applyAlignment="1" pivotButton="0" quotePrefix="0" xfId="0">
      <alignment horizontal="left" vertical="center" wrapText="1"/>
    </xf>
    <xf numFmtId="0" fontId="392" fillId="0" borderId="45" applyAlignment="1" pivotButton="0" quotePrefix="0" xfId="0">
      <alignment horizontal="left" vertical="center" wrapText="1"/>
    </xf>
    <xf numFmtId="0" fontId="314" fillId="0" borderId="45" applyAlignment="1" pivotButton="0" quotePrefix="0" xfId="0">
      <alignment horizontal="left" vertical="center" wrapText="1"/>
    </xf>
    <xf numFmtId="0" fontId="83" fillId="0" borderId="45" applyAlignment="1" pivotButton="0" quotePrefix="0" xfId="0">
      <alignment horizontal="left" vertical="center" wrapText="1"/>
    </xf>
    <xf numFmtId="0" fontId="485" fillId="0" borderId="45" applyAlignment="1" pivotButton="0" quotePrefix="0" xfId="0">
      <alignment horizontal="left" vertical="center" wrapText="1"/>
    </xf>
    <xf numFmtId="0" fontId="389" fillId="0" borderId="45" applyAlignment="1" pivotButton="0" quotePrefix="0" xfId="0">
      <alignment horizontal="left" vertical="center" wrapText="1"/>
    </xf>
    <xf numFmtId="0" fontId="1073" fillId="0" borderId="45" applyAlignment="1" pivotButton="0" quotePrefix="0" xfId="0">
      <alignment horizontal="left" vertical="center" wrapText="1"/>
    </xf>
    <xf numFmtId="0" fontId="767" fillId="0" borderId="45" applyAlignment="1" pivotButton="0" quotePrefix="0" xfId="0">
      <alignment horizontal="left" vertical="center" wrapText="1"/>
    </xf>
    <xf numFmtId="0" fontId="296" fillId="0" borderId="45" applyAlignment="1" pivotButton="0" quotePrefix="0" xfId="0">
      <alignment horizontal="left" vertical="center" wrapText="1"/>
    </xf>
    <xf numFmtId="0" fontId="671" fillId="0" borderId="45" applyAlignment="1" pivotButton="0" quotePrefix="0" xfId="0">
      <alignment horizontal="left" vertical="center" wrapText="1"/>
    </xf>
    <xf numFmtId="0" fontId="887" fillId="0" borderId="45" applyAlignment="1" pivotButton="0" quotePrefix="0" xfId="0">
      <alignment horizontal="left" vertical="center" wrapText="1"/>
    </xf>
    <xf numFmtId="2" fontId="48" fillId="25" borderId="15" applyAlignment="1" applyProtection="1" pivotButton="0" quotePrefix="0" xfId="0">
      <alignment horizontal="left" vertical="center" wrapText="1"/>
      <protection locked="0" hidden="1"/>
    </xf>
    <xf numFmtId="0" fontId="0" fillId="0" borderId="19" applyProtection="1" pivotButton="0" quotePrefix="0" xfId="0">
      <protection locked="0" hidden="1"/>
    </xf>
    <xf numFmtId="0" fontId="0" fillId="0" borderId="20" applyProtection="1" pivotButton="0" quotePrefix="0" xfId="0">
      <protection locked="0" hidden="1"/>
    </xf>
    <xf numFmtId="0" fontId="42" fillId="25" borderId="15" applyAlignment="1" applyProtection="1" pivotButton="0" quotePrefix="0" xfId="0">
      <alignment horizontal="left" vertical="top" wrapText="1"/>
      <protection locked="0" hidden="0"/>
    </xf>
    <xf numFmtId="0" fontId="0" fillId="0" borderId="19" applyProtection="1" pivotButton="0" quotePrefix="0" xfId="0">
      <protection locked="0" hidden="0"/>
    </xf>
    <xf numFmtId="0" fontId="308" fillId="0" borderId="45" applyAlignment="1" pivotButton="0" quotePrefix="0" xfId="0">
      <alignment horizontal="left" vertical="center" wrapText="1"/>
    </xf>
    <xf numFmtId="0" fontId="1067" fillId="0" borderId="45" applyAlignment="1" pivotButton="0" quotePrefix="0" xfId="0">
      <alignment horizontal="left" vertical="center" wrapText="1"/>
    </xf>
    <xf numFmtId="0" fontId="950" fillId="0" borderId="45" applyAlignment="1" pivotButton="0" quotePrefix="0" xfId="0">
      <alignment horizontal="left" vertical="center" wrapText="1"/>
    </xf>
    <xf numFmtId="0" fontId="668" fillId="0" borderId="45" applyAlignment="1" pivotButton="0" quotePrefix="0" xfId="0">
      <alignment horizontal="left" vertical="center" wrapText="1"/>
    </xf>
    <xf numFmtId="0" fontId="884" fillId="0" borderId="45" applyAlignment="1" pivotButton="0" quotePrefix="0" xfId="0">
      <alignment horizontal="left" vertical="center" wrapText="1"/>
    </xf>
    <xf numFmtId="4" fontId="49" fillId="0" borderId="1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14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0" pivotButton="0" quotePrefix="0" xfId="0"/>
    <xf numFmtId="0" fontId="914" fillId="0" borderId="45" applyAlignment="1" pivotButton="0" quotePrefix="0" xfId="0">
      <alignment horizontal="left" vertical="center" wrapText="1"/>
    </xf>
    <xf numFmtId="0" fontId="89" fillId="0" borderId="45" applyAlignment="1" pivotButton="0" quotePrefix="0" xfId="0">
      <alignment horizontal="left" vertical="center" wrapText="1"/>
    </xf>
    <xf numFmtId="0" fontId="491" fillId="0" borderId="45" applyAlignment="1" pivotButton="0" quotePrefix="0" xfId="0">
      <alignment horizontal="left" vertical="center" wrapText="1"/>
    </xf>
    <xf numFmtId="0" fontId="902" fillId="0" borderId="45" applyAlignment="1" pivotButton="0" quotePrefix="0" xfId="0">
      <alignment horizontal="left" vertical="center" wrapText="1"/>
    </xf>
    <xf numFmtId="0" fontId="209" fillId="0" borderId="45" applyAlignment="1" pivotButton="0" quotePrefix="0" xfId="0">
      <alignment horizontal="left" vertical="center" wrapText="1"/>
    </xf>
    <xf numFmtId="0" fontId="386" fillId="0" borderId="45" applyAlignment="1" pivotButton="0" quotePrefix="0" xfId="0">
      <alignment horizontal="left" vertical="center" wrapText="1"/>
    </xf>
    <xf numFmtId="0" fontId="329" fillId="0" borderId="45" applyAlignment="1" pivotButton="0" quotePrefix="0" xfId="0">
      <alignment horizontal="left" vertical="center" wrapText="1"/>
    </xf>
    <xf numFmtId="0" fontId="164" fillId="0" borderId="45" applyAlignment="1" pivotButton="0" quotePrefix="0" xfId="0">
      <alignment horizontal="left" vertical="center" wrapText="1"/>
    </xf>
    <xf numFmtId="0" fontId="59" fillId="0" borderId="45" applyAlignment="1" pivotButton="0" quotePrefix="0" xfId="0">
      <alignment horizontal="left" vertical="center" wrapText="1"/>
    </xf>
    <xf numFmtId="0" fontId="1037" fillId="0" borderId="45" applyAlignment="1" pivotButton="0" quotePrefix="0" xfId="0">
      <alignment horizontal="left" vertical="center" wrapText="1"/>
    </xf>
    <xf numFmtId="0" fontId="1016" fillId="0" borderId="45" applyAlignment="1" pivotButton="0" quotePrefix="0" xfId="0">
      <alignment horizontal="left" vertical="center" wrapText="1"/>
    </xf>
    <xf numFmtId="0" fontId="461" fillId="0" borderId="45" applyAlignment="1" pivotButton="0" quotePrefix="0" xfId="0">
      <alignment horizontal="left" vertical="center" wrapText="1"/>
    </xf>
    <xf numFmtId="0" fontId="52" fillId="24" borderId="46" applyAlignment="1" applyProtection="1" pivotButton="0" quotePrefix="0" xfId="0">
      <alignment horizontal="center" vertical="center" wrapText="1"/>
      <protection locked="1" hidden="1"/>
    </xf>
    <xf numFmtId="0" fontId="0" fillId="0" borderId="41" applyProtection="1" pivotButton="0" quotePrefix="0" xfId="0">
      <protection locked="1" hidden="1"/>
    </xf>
    <xf numFmtId="0" fontId="1043" fillId="0" borderId="45" applyAlignment="1" pivotButton="0" quotePrefix="0" xfId="0">
      <alignment horizontal="left" vertical="center" wrapText="1"/>
    </xf>
    <xf numFmtId="0" fontId="0" fillId="0" borderId="39" applyProtection="1" pivotButton="0" quotePrefix="0" xfId="0">
      <protection locked="1" hidden="1"/>
    </xf>
    <xf numFmtId="0" fontId="803" fillId="0" borderId="45" applyAlignment="1" pivotButton="0" quotePrefix="0" xfId="0">
      <alignment horizontal="left" vertical="center" wrapText="1"/>
    </xf>
    <xf numFmtId="0" fontId="494" fillId="0" borderId="45" applyAlignment="1" pivotButton="0" quotePrefix="0" xfId="0">
      <alignment horizontal="left" vertical="center" wrapText="1"/>
    </xf>
    <xf numFmtId="0" fontId="206" fillId="0" borderId="45" applyAlignment="1" pivotButton="0" quotePrefix="0" xfId="0">
      <alignment horizontal="left" vertical="center" wrapText="1"/>
    </xf>
    <xf numFmtId="0" fontId="452" fillId="0" borderId="45" applyAlignment="1" pivotButton="0" quotePrefix="0" xfId="0">
      <alignment horizontal="left" vertical="center" wrapText="1"/>
    </xf>
    <xf numFmtId="0" fontId="443" fillId="0" borderId="45" applyAlignment="1" pivotButton="0" quotePrefix="0" xfId="0">
      <alignment horizontal="left" vertical="center" wrapText="1"/>
    </xf>
    <xf numFmtId="0" fontId="809" fillId="0" borderId="45" applyAlignment="1" pivotButton="0" quotePrefix="0" xfId="0">
      <alignment horizontal="left" vertical="center" wrapText="1"/>
    </xf>
    <xf numFmtId="0" fontId="458" fillId="0" borderId="45" applyAlignment="1" pivotButton="0" quotePrefix="0" xfId="0">
      <alignment horizontal="left" vertical="center" wrapText="1"/>
    </xf>
    <xf numFmtId="0" fontId="812" fillId="0" borderId="45" applyAlignment="1" pivotButton="0" quotePrefix="0" xfId="0">
      <alignment horizontal="left" vertical="center" wrapText="1"/>
    </xf>
    <xf numFmtId="0" fontId="317" fillId="0" borderId="45" applyAlignment="1" pivotButton="0" quotePrefix="0" xfId="0">
      <alignment horizontal="left" vertical="center" wrapText="1"/>
    </xf>
    <xf numFmtId="0" fontId="1070" fillId="0" borderId="45" applyAlignment="1" pivotButton="0" quotePrefix="0" xfId="0">
      <alignment horizontal="left" vertical="center" wrapText="1"/>
    </xf>
    <xf numFmtId="0" fontId="176" fillId="0" borderId="45" applyAlignment="1" pivotButton="0" quotePrefix="0" xfId="0">
      <alignment horizontal="left" vertical="center" wrapText="1"/>
    </xf>
    <xf numFmtId="0" fontId="848" fillId="0" borderId="45" applyAlignment="1" pivotButton="0" quotePrefix="0" xfId="0">
      <alignment horizontal="left" vertical="center" wrapText="1"/>
    </xf>
    <xf numFmtId="0" fontId="896" fillId="0" borderId="45" applyAlignment="1" pivotButton="0" quotePrefix="0" xfId="0">
      <alignment horizontal="left" vertical="center" wrapText="1"/>
    </xf>
    <xf numFmtId="2" fontId="42" fillId="27" borderId="0" applyAlignment="1" applyProtection="1" pivotButton="0" quotePrefix="0" xfId="0">
      <alignment horizontal="left" vertical="center" wrapText="1"/>
      <protection locked="1" hidden="1"/>
    </xf>
    <xf numFmtId="0" fontId="86" fillId="0" borderId="45" applyAlignment="1" pivotButton="0" quotePrefix="0" xfId="0">
      <alignment horizontal="left" vertical="center" wrapText="1"/>
    </xf>
    <xf numFmtId="0" fontId="488" fillId="0" borderId="45" applyAlignment="1" pivotButton="0" quotePrefix="0" xfId="0">
      <alignment horizontal="left" vertical="center" wrapText="1"/>
    </xf>
    <xf numFmtId="0" fontId="770" fillId="0" borderId="45" applyAlignment="1" pivotButton="0" quotePrefix="0" xfId="0">
      <alignment horizontal="left" vertical="center" wrapText="1"/>
    </xf>
    <xf numFmtId="0" fontId="1082" fillId="0" borderId="45" applyAlignment="1" pivotButton="0" quotePrefix="0" xfId="0">
      <alignment horizontal="left" vertical="center" wrapText="1"/>
    </xf>
    <xf numFmtId="0" fontId="965" fillId="0" borderId="45" applyAlignment="1" pivotButton="0" quotePrefix="0" xfId="0">
      <alignment horizontal="left" vertical="center" wrapText="1"/>
    </xf>
    <xf numFmtId="0" fontId="98" fillId="0" borderId="45" applyAlignment="1" pivotButton="0" quotePrefix="0" xfId="0">
      <alignment horizontal="left" vertical="center" wrapText="1"/>
    </xf>
    <xf numFmtId="0" fontId="191" fillId="0" borderId="45" applyAlignment="1" pivotButton="0" quotePrefix="0" xfId="0">
      <alignment horizontal="left" vertical="center" wrapText="1"/>
    </xf>
    <xf numFmtId="0" fontId="857" fillId="0" borderId="45" applyAlignment="1" pivotButton="0" quotePrefix="0" xfId="0">
      <alignment horizontal="left" vertical="center" wrapText="1"/>
    </xf>
    <xf numFmtId="0" fontId="929" fillId="0" borderId="45" applyAlignment="1" pivotButton="0" quotePrefix="0" xfId="0">
      <alignment horizontal="left" vertical="center" wrapText="1"/>
    </xf>
    <xf numFmtId="0" fontId="566" fillId="0" borderId="45" applyAlignment="1" pivotButton="0" quotePrefix="0" xfId="0">
      <alignment horizontal="left" vertical="center" wrapText="1"/>
    </xf>
    <xf numFmtId="0" fontId="1064" fillId="0" borderId="45" applyAlignment="1" pivotButton="0" quotePrefix="0" xfId="0">
      <alignment horizontal="left" vertical="center" wrapText="1"/>
    </xf>
    <xf numFmtId="0" fontId="371" fillId="0" borderId="45" applyAlignment="1" pivotButton="0" quotePrefix="0" xfId="0">
      <alignment horizontal="left" vertical="center" wrapText="1"/>
    </xf>
    <xf numFmtId="0" fontId="1034" fillId="0" borderId="45" applyAlignment="1" pivotButton="0" quotePrefix="0" xfId="0">
      <alignment horizontal="left" vertical="center" wrapText="1"/>
    </xf>
    <xf numFmtId="0" fontId="65" fillId="0" borderId="45" applyAlignment="1" pivotButton="0" quotePrefix="0" xfId="0">
      <alignment horizontal="left" vertical="center" wrapText="1"/>
    </xf>
    <xf numFmtId="0" fontId="284" fillId="0" borderId="45" applyAlignment="1" pivotButton="0" quotePrefix="0" xfId="0">
      <alignment horizontal="left" vertical="center" wrapText="1"/>
    </xf>
    <xf numFmtId="0" fontId="935" fillId="0" borderId="45" applyAlignment="1" pivotButton="0" quotePrefix="0" xfId="0">
      <alignment horizontal="left" vertical="center" wrapText="1"/>
    </xf>
    <xf numFmtId="0" fontId="203" fillId="0" borderId="45" applyAlignment="1" pivotButton="0" quotePrefix="0" xfId="0">
      <alignment horizontal="left" vertical="center" wrapText="1"/>
    </xf>
    <xf numFmtId="0" fontId="962" fillId="0" borderId="45" applyAlignment="1" pivotButton="0" quotePrefix="0" xfId="0">
      <alignment horizontal="left" vertical="center" wrapText="1"/>
    </xf>
    <xf numFmtId="0" fontId="272" fillId="0" borderId="45" applyAlignment="1" pivotButton="0" quotePrefix="0" xfId="0">
      <alignment horizontal="left" vertical="center" wrapText="1"/>
    </xf>
    <xf numFmtId="0" fontId="1028" fillId="0" borderId="45" applyAlignment="1" pivotButton="0" quotePrefix="0" xfId="0">
      <alignment horizontal="left" vertical="center" wrapText="1"/>
    </xf>
    <xf numFmtId="0" fontId="734" fillId="0" borderId="45" applyAlignment="1" pivotButton="0" quotePrefix="0" xfId="0">
      <alignment horizontal="left" vertical="center" wrapText="1"/>
    </xf>
    <xf numFmtId="0" fontId="416" fillId="0" borderId="45" applyAlignment="1" pivotButton="0" quotePrefix="0" xfId="0">
      <alignment horizontal="left" vertical="center" wrapText="1"/>
    </xf>
    <xf numFmtId="0" fontId="539" fillId="0" borderId="45" applyAlignment="1" pivotButton="0" quotePrefix="0" xfId="0">
      <alignment horizontal="left" vertical="center" wrapText="1"/>
    </xf>
    <xf numFmtId="0" fontId="1013" fillId="0" borderId="45" applyAlignment="1" pivotButton="0" quotePrefix="0" xfId="0">
      <alignment horizontal="left" vertical="center" wrapText="1"/>
    </xf>
    <xf numFmtId="0" fontId="530" fillId="0" borderId="45" applyAlignment="1" pivotButton="0" quotePrefix="0" xfId="0">
      <alignment horizontal="left" vertical="center" wrapText="1"/>
    </xf>
    <xf numFmtId="0" fontId="944" fillId="0" borderId="45" applyAlignment="1" pivotButton="0" quotePrefix="0" xfId="0">
      <alignment horizontal="left" vertical="center" wrapText="1"/>
    </xf>
    <xf numFmtId="0" fontId="662" fillId="0" borderId="45" applyAlignment="1" pivotButton="0" quotePrefix="0" xfId="0">
      <alignment horizontal="left" vertical="center" wrapText="1"/>
    </xf>
    <xf numFmtId="0" fontId="1061" fillId="0" borderId="45" applyAlignment="1" pivotButton="0" quotePrefix="0" xfId="0">
      <alignment horizontal="left" vertical="center" wrapText="1"/>
    </xf>
    <xf numFmtId="0" fontId="152" fillId="0" borderId="45" applyAlignment="1" pivotButton="0" quotePrefix="0" xfId="0">
      <alignment horizontal="left" vertical="center" wrapText="1"/>
    </xf>
    <xf numFmtId="0" fontId="626" fillId="0" borderId="45" applyAlignment="1" pivotButton="0" quotePrefix="0" xfId="0">
      <alignment horizontal="left" vertical="center" wrapText="1"/>
    </xf>
    <xf numFmtId="0" fontId="737" fillId="0" borderId="45" applyAlignment="1" pivotButton="0" quotePrefix="0" xfId="0">
      <alignment horizontal="left" vertical="center" wrapText="1"/>
    </xf>
    <xf numFmtId="0" fontId="1025" fillId="0" borderId="45" applyAlignment="1" pivotButton="0" quotePrefix="0" xfId="0">
      <alignment horizontal="left" vertical="center" wrapText="1"/>
    </xf>
    <xf numFmtId="0" fontId="56" fillId="27" borderId="0" applyAlignment="1" applyProtection="1" pivotButton="0" quotePrefix="0" xfId="0">
      <alignment horizontal="left" vertical="center" wrapText="1"/>
      <protection locked="0" hidden="1"/>
    </xf>
    <xf numFmtId="0" fontId="266" fillId="0" borderId="45" applyAlignment="1" pivotButton="0" quotePrefix="0" xfId="0">
      <alignment horizontal="left" vertical="center" wrapText="1"/>
    </xf>
    <xf numFmtId="0" fontId="632" fillId="0" borderId="45" applyAlignment="1" pivotButton="0" quotePrefix="0" xfId="0">
      <alignment horizontal="left" vertical="center" wrapText="1"/>
    </xf>
    <xf numFmtId="0" fontId="356" fillId="0" borderId="45" applyAlignment="1" pivotButton="0" quotePrefix="0" xfId="0">
      <alignment horizontal="left" vertical="center" wrapText="1"/>
    </xf>
    <xf numFmtId="0" fontId="1040" fillId="0" borderId="45" applyAlignment="1" pivotButton="0" quotePrefix="0" xfId="0">
      <alignment horizontal="left" vertical="center" wrapText="1"/>
    </xf>
    <xf numFmtId="0" fontId="860" fillId="0" borderId="45" applyAlignment="1" pivotButton="0" quotePrefix="0" xfId="0">
      <alignment horizontal="left" vertical="center" wrapText="1"/>
    </xf>
    <xf numFmtId="0" fontId="743" fillId="0" borderId="45" applyAlignment="1" pivotButton="0" quotePrefix="0" xfId="0">
      <alignment horizontal="left" vertical="center" wrapText="1"/>
    </xf>
    <xf numFmtId="0" fontId="1007" fillId="0" borderId="45" applyAlignment="1" pivotButton="0" quotePrefix="0" xfId="0">
      <alignment horizontal="left" vertical="center" wrapText="1"/>
    </xf>
    <xf numFmtId="0" fontId="899" fillId="0" borderId="45" applyAlignment="1" pivotButton="0" quotePrefix="0" xfId="0">
      <alignment horizontal="left" vertical="center" wrapText="1"/>
    </xf>
    <xf numFmtId="0" fontId="410" fillId="0" borderId="45" applyAlignment="1" pivotButton="0" quotePrefix="0" xfId="0">
      <alignment horizontal="left" vertical="center" wrapText="1"/>
    </xf>
    <xf numFmtId="0" fontId="104" fillId="0" borderId="45" applyAlignment="1" pivotButton="0" quotePrefix="0" xfId="0">
      <alignment horizontal="left" vertical="center" wrapText="1"/>
    </xf>
    <xf numFmtId="0" fontId="62" fillId="0" borderId="45" applyAlignment="1" pivotButton="0" quotePrefix="0" xfId="0">
      <alignment horizontal="left" vertical="center" wrapText="1"/>
    </xf>
    <xf numFmtId="0" fontId="1049" fillId="0" borderId="45" applyAlignment="1" pivotButton="0" quotePrefix="0" xfId="0">
      <alignment horizontal="left" vertical="center" wrapText="1"/>
    </xf>
    <xf numFmtId="0" fontId="641" fillId="0" borderId="4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horizontal="left" vertical="center" wrapText="1"/>
      <protection locked="1" hidden="1"/>
    </xf>
    <xf numFmtId="0" fontId="218" fillId="0" borderId="45" applyAlignment="1" pivotButton="0" quotePrefix="0" xfId="0">
      <alignment horizontal="left" vertical="center" wrapText="1"/>
    </xf>
    <xf numFmtId="2" fontId="53" fillId="24" borderId="15" applyAlignment="1" applyProtection="1" pivotButton="0" quotePrefix="0" xfId="0">
      <alignment horizontal="left" vertical="center" wrapText="1"/>
      <protection locked="1" hidden="1"/>
    </xf>
    <xf numFmtId="0" fontId="398" fillId="0" borderId="45" applyAlignment="1" pivotButton="0" quotePrefix="0" xfId="0">
      <alignment horizontal="left" vertical="center" wrapText="1"/>
    </xf>
    <xf numFmtId="165" fontId="36" fillId="25" borderId="24" applyAlignment="1" applyProtection="1" pivotButton="0" quotePrefix="0" xfId="0">
      <alignment horizontal="center" vertical="center"/>
      <protection locked="0" hidden="0"/>
    </xf>
    <xf numFmtId="0" fontId="0" fillId="0" borderId="28" applyProtection="1" pivotButton="0" quotePrefix="0" xfId="0">
      <protection locked="0" hidden="0"/>
    </xf>
    <xf numFmtId="0" fontId="479" fillId="0" borderId="45" applyAlignment="1" pivotButton="0" quotePrefix="0" xfId="0">
      <alignment horizontal="left" vertical="center" wrapText="1"/>
    </xf>
    <xf numFmtId="0" fontId="713" fillId="0" borderId="45" applyAlignment="1" pivotButton="0" quotePrefix="0" xfId="0">
      <alignment horizontal="left" vertical="center" wrapText="1"/>
    </xf>
    <xf numFmtId="0" fontId="41" fillId="0" borderId="27" applyAlignment="1" applyProtection="1" pivotButton="0" quotePrefix="0" xfId="0">
      <alignment horizontal="center" vertical="center"/>
      <protection locked="1" hidden="1"/>
    </xf>
    <xf numFmtId="165" fontId="36" fillId="25" borderId="25" applyAlignment="1" applyProtection="1" pivotButton="0" quotePrefix="0" xfId="0">
      <alignment horizontal="center" vertical="center"/>
      <protection locked="0" hidden="0"/>
    </xf>
    <xf numFmtId="0" fontId="0" fillId="0" borderId="30" applyProtection="1" pivotButton="0" quotePrefix="0" xfId="0">
      <protection locked="0" hidden="0"/>
    </xf>
    <xf numFmtId="0" fontId="587" fillId="0" borderId="45" applyAlignment="1" pivotButton="0" quotePrefix="0" xfId="0">
      <alignment horizontal="left" vertical="center" wrapText="1"/>
    </xf>
    <xf numFmtId="0" fontId="653" fillId="0" borderId="45" applyAlignment="1" pivotButton="0" quotePrefix="0" xfId="0">
      <alignment horizontal="left" vertical="center" wrapText="1"/>
    </xf>
    <xf numFmtId="0" fontId="368" fillId="0" borderId="45" applyAlignment="1" pivotButton="0" quotePrefix="0" xfId="0">
      <alignment horizontal="left" vertical="center" wrapText="1"/>
    </xf>
    <xf numFmtId="0" fontId="872" fillId="0" borderId="45" applyAlignment="1" pivotButton="0" quotePrefix="0" xfId="0">
      <alignment horizontal="left" vertical="center" wrapText="1"/>
    </xf>
    <xf numFmtId="0" fontId="1052" fillId="0" borderId="45" applyAlignment="1" pivotButton="0" quotePrefix="0" xfId="0">
      <alignment horizontal="left" vertical="center" wrapText="1"/>
    </xf>
    <xf numFmtId="0" fontId="815" fillId="0" borderId="45" applyAlignment="1" pivotButton="0" quotePrefix="0" xfId="0">
      <alignment horizontal="left" vertical="center" wrapText="1"/>
    </xf>
    <xf numFmtId="0" fontId="173" fillId="0" borderId="45" applyAlignment="1" pivotButton="0" quotePrefix="0" xfId="0">
      <alignment horizontal="left" vertical="center" wrapText="1"/>
    </xf>
    <xf numFmtId="0" fontId="752" fillId="0" borderId="45" applyAlignment="1" pivotButton="0" quotePrefix="0" xfId="0">
      <alignment horizontal="left" vertical="center" wrapText="1"/>
    </xf>
    <xf numFmtId="0" fontId="437" fillId="0" borderId="45" applyAlignment="1" pivotButton="0" quotePrefix="0" xfId="0">
      <alignment horizontal="left" vertical="center" wrapText="1"/>
    </xf>
    <xf numFmtId="0" fontId="908" fillId="0" borderId="45" applyAlignment="1" pivotButton="0" quotePrefix="0" xfId="0">
      <alignment horizontal="left" vertical="center" wrapText="1"/>
    </xf>
    <xf numFmtId="0" fontId="551" fillId="0" borderId="45" applyAlignment="1" pivotButton="0" quotePrefix="0" xfId="0">
      <alignment horizontal="left" vertical="center" wrapText="1"/>
    </xf>
    <xf numFmtId="0" fontId="710" fillId="0" borderId="45" applyAlignment="1" pivotButton="0" quotePrefix="0" xfId="0">
      <alignment horizontal="left" vertical="center" wrapText="1"/>
    </xf>
    <xf numFmtId="0" fontId="257" fillId="0" borderId="45" applyAlignment="1" pivotButton="0" quotePrefix="0" xfId="0">
      <alignment horizontal="left" vertical="center" wrapText="1"/>
    </xf>
    <xf numFmtId="0" fontId="41" fillId="0" borderId="27" applyAlignment="1" applyProtection="1" pivotButton="0" quotePrefix="0" xfId="0">
      <alignment horizontal="right" vertical="center" wrapText="1"/>
      <protection locked="1" hidden="1"/>
    </xf>
    <xf numFmtId="0" fontId="149" fillId="0" borderId="45" applyAlignment="1" pivotButton="0" quotePrefix="0" xfId="0">
      <alignment horizontal="left" vertical="center" wrapText="1"/>
    </xf>
    <xf numFmtId="49" fontId="36" fillId="25" borderId="15" applyAlignment="1" applyProtection="1" pivotButton="0" quotePrefix="0" xfId="0">
      <alignment horizontal="center" vertical="center"/>
      <protection locked="0" hidden="0"/>
    </xf>
    <xf numFmtId="0" fontId="836" fillId="0" borderId="45" applyAlignment="1" pivotButton="0" quotePrefix="0" xfId="0">
      <alignment horizontal="left" vertical="center" wrapText="1"/>
    </xf>
    <xf numFmtId="0" fontId="602" fillId="0" borderId="45" applyAlignment="1" pivotButton="0" quotePrefix="0" xfId="0">
      <alignment horizontal="left" vertical="center" wrapText="1"/>
    </xf>
    <xf numFmtId="0" fontId="137" fillId="0" borderId="45" applyAlignment="1" pivotButton="0" quotePrefix="0" xfId="0">
      <alignment horizontal="left" vertical="center" wrapText="1"/>
    </xf>
    <xf numFmtId="0" fontId="263" fillId="0" borderId="45" applyAlignment="1" pivotButton="0" quotePrefix="0" xfId="0">
      <alignment horizontal="left" vertical="center" wrapText="1"/>
    </xf>
    <xf numFmtId="0" fontId="1019" fillId="0" borderId="45" applyAlignment="1" pivotButton="0" quotePrefix="0" xfId="0">
      <alignment horizontal="left" vertical="center" wrapText="1"/>
    </xf>
    <xf numFmtId="0" fontId="545" fillId="0" borderId="45" applyAlignment="1" pivotButton="0" quotePrefix="0" xfId="0">
      <alignment horizontal="left" vertical="center" wrapText="1"/>
    </xf>
    <xf numFmtId="0" fontId="719" fillId="0" borderId="45" applyAlignment="1" pivotButton="0" quotePrefix="0" xfId="0">
      <alignment horizontal="left" vertical="center" wrapText="1"/>
    </xf>
    <xf numFmtId="0" fontId="506" fillId="0" borderId="45" applyAlignment="1" pivotButton="0" quotePrefix="0" xfId="0">
      <alignment horizontal="left" vertical="center" wrapText="1"/>
    </xf>
    <xf numFmtId="0" fontId="977" fillId="0" borderId="45" applyAlignment="1" pivotButton="0" quotePrefix="0" xfId="0">
      <alignment horizontal="left" vertical="center" wrapText="1"/>
    </xf>
    <xf numFmtId="0" fontId="875" fillId="0" borderId="45" applyAlignment="1" pivotButton="0" quotePrefix="0" xfId="0">
      <alignment horizontal="left" vertical="center" wrapText="1"/>
    </xf>
    <xf numFmtId="0" fontId="512" fillId="0" borderId="45" applyAlignment="1" pivotButton="0" quotePrefix="0" xfId="0">
      <alignment horizontal="left" vertical="center" wrapText="1"/>
    </xf>
    <xf numFmtId="0" fontId="851" fillId="0" borderId="45" applyAlignment="1" pivotButton="0" quotePrefix="0" xfId="0">
      <alignment horizontal="left" vertical="center" wrapText="1"/>
    </xf>
    <xf numFmtId="0" fontId="1103" fillId="0" borderId="45" applyAlignment="1" pivotButton="0" quotePrefix="0" xfId="0">
      <alignment horizontal="left" vertical="center" wrapText="1"/>
    </xf>
    <xf numFmtId="0" fontId="1055" fillId="0" borderId="45" applyAlignment="1" pivotButton="0" quotePrefix="0" xfId="0">
      <alignment horizontal="left" vertical="center" wrapText="1"/>
    </xf>
    <xf numFmtId="0" fontId="869" fillId="0" borderId="45" applyAlignment="1" pivotButton="0" quotePrefix="0" xfId="0">
      <alignment horizontal="left" vertical="center" wrapText="1"/>
    </xf>
    <xf numFmtId="0" fontId="57" fillId="0" borderId="37" applyAlignment="1" pivotButton="0" quotePrefix="0" xfId="0">
      <alignment horizontal="center" wrapText="1"/>
    </xf>
    <xf numFmtId="0" fontId="0" fillId="0" borderId="37" pivotButton="0" quotePrefix="0" xfId="0"/>
    <xf numFmtId="0" fontId="749" fillId="0" borderId="45" applyAlignment="1" pivotButton="0" quotePrefix="0" xfId="0">
      <alignment horizontal="left" vertical="center" wrapText="1"/>
    </xf>
    <xf numFmtId="0" fontId="695" fillId="0" borderId="45" applyAlignment="1" pivotButton="0" quotePrefix="0" xfId="0">
      <alignment horizontal="left" vertical="center" wrapText="1"/>
    </xf>
    <xf numFmtId="0" fontId="377" fillId="0" borderId="45" applyAlignment="1" pivotButton="0" quotePrefix="0" xfId="0">
      <alignment horizontal="left" vertical="center" wrapText="1"/>
    </xf>
    <xf numFmtId="0" fontId="359" fillId="0" borderId="45" applyAlignment="1" pivotButton="0" quotePrefix="0" xfId="0">
      <alignment horizontal="left" vertical="center" wrapText="1"/>
    </xf>
    <xf numFmtId="0" fontId="821" fillId="0" borderId="45" applyAlignment="1" pivotButton="0" quotePrefix="0" xfId="0">
      <alignment horizontal="left" vertical="center" wrapText="1"/>
    </xf>
    <xf numFmtId="0" fontId="362" fillId="0" borderId="4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vertical="center" wrapText="1"/>
      <protection locked="1" hidden="1"/>
    </xf>
    <xf numFmtId="0" fontId="335" fillId="0" borderId="45" applyAlignment="1" pivotButton="0" quotePrefix="0" xfId="0">
      <alignment horizontal="left" vertical="center" wrapText="1"/>
    </xf>
    <xf numFmtId="0" fontId="533" fillId="0" borderId="45" applyAlignment="1" pivotButton="0" quotePrefix="0" xfId="0">
      <alignment horizontal="left" vertical="center" wrapText="1"/>
    </xf>
    <xf numFmtId="0" fontId="827" fillId="0" borderId="45" applyAlignment="1" pivotButton="0" quotePrefix="0" xfId="0">
      <alignment horizontal="left" vertical="center" wrapText="1"/>
    </xf>
    <xf numFmtId="0" fontId="623" fillId="0" borderId="45" applyAlignment="1" pivotButton="0" quotePrefix="0" xfId="0">
      <alignment horizontal="left" vertical="center" wrapText="1"/>
    </xf>
    <xf numFmtId="0" fontId="722" fillId="0" borderId="45" applyAlignment="1" pivotButton="0" quotePrefix="0" xfId="0">
      <alignment horizontal="left" vertical="center" wrapText="1"/>
    </xf>
    <xf numFmtId="0" fontId="40" fillId="24" borderId="15" applyAlignment="1" applyProtection="1" pivotButton="0" quotePrefix="0" xfId="0">
      <alignment horizontal="center" vertical="center" wrapText="1"/>
      <protection locked="1" hidden="1"/>
    </xf>
    <xf numFmtId="0" fontId="593" fillId="0" borderId="45" applyAlignment="1" pivotButton="0" quotePrefix="0" xfId="0">
      <alignment horizontal="left" vertical="center" wrapText="1"/>
    </xf>
    <xf numFmtId="0" fontId="128" fillId="0" borderId="45" applyAlignment="1" pivotButton="0" quotePrefix="0" xfId="0">
      <alignment horizontal="left" vertical="center" wrapText="1"/>
    </xf>
    <xf numFmtId="0" fontId="341" fillId="0" borderId="45" applyAlignment="1" pivotButton="0" quotePrefix="0" xfId="0">
      <alignment horizontal="left" vertical="center" wrapText="1"/>
    </xf>
    <xf numFmtId="0" fontId="227" fillId="0" borderId="45" applyAlignment="1" pivotButton="0" quotePrefix="0" xfId="0">
      <alignment horizontal="left" vertical="center" wrapText="1"/>
    </xf>
    <xf numFmtId="0" fontId="269" fillId="0" borderId="45" applyAlignment="1" pivotButton="0" quotePrefix="0" xfId="0">
      <alignment horizontal="left" vertical="center" wrapText="1"/>
    </xf>
    <xf numFmtId="0" fontId="635" fillId="0" borderId="45" applyAlignment="1" pivotButton="0" quotePrefix="0" xfId="0">
      <alignment horizontal="left" vertical="center" wrapText="1"/>
    </xf>
    <xf numFmtId="0" fontId="224" fillId="0" borderId="45" applyAlignment="1" pivotButton="0" quotePrefix="0" xfId="0">
      <alignment horizontal="left" vertical="center" wrapText="1"/>
    </xf>
    <xf numFmtId="0" fontId="320" fillId="0" borderId="45" applyAlignment="1" pivotButton="0" quotePrefix="0" xfId="0">
      <alignment horizontal="left" vertical="center" wrapText="1"/>
    </xf>
    <xf numFmtId="0" fontId="788" fillId="0" borderId="45" applyAlignment="1" pivotButton="0" quotePrefix="0" xfId="0">
      <alignment horizontal="left" vertical="center" wrapText="1"/>
    </xf>
    <xf numFmtId="0" fontId="497" fillId="0" borderId="45" applyAlignment="1" pivotButton="0" quotePrefix="0" xfId="0">
      <alignment horizontal="left" vertical="center" wrapText="1"/>
    </xf>
    <xf numFmtId="0" fontId="686" fillId="0" borderId="45" applyAlignment="1" pivotButton="0" quotePrefix="0" xfId="0">
      <alignment horizontal="left" vertical="center" wrapText="1"/>
    </xf>
    <xf numFmtId="0" fontId="1079" fillId="0" borderId="45" applyAlignment="1" pivotButton="0" quotePrefix="0" xfId="0">
      <alignment horizontal="left" vertical="center" wrapText="1"/>
    </xf>
    <xf numFmtId="0" fontId="1085" fillId="0" borderId="45" applyAlignment="1" pivotButton="0" quotePrefix="0" xfId="0">
      <alignment horizontal="left" vertical="center" wrapText="1"/>
    </xf>
    <xf numFmtId="0" fontId="110" fillId="0" borderId="45" applyAlignment="1" pivotButton="0" quotePrefix="0" xfId="0">
      <alignment horizontal="left" vertical="center" wrapText="1"/>
    </xf>
    <xf numFmtId="0" fontId="833" fillId="0" borderId="45" applyAlignment="1" pivotButton="0" quotePrefix="0" xfId="0">
      <alignment horizontal="left" vertical="center" wrapText="1"/>
    </xf>
    <xf numFmtId="0" fontId="584" fillId="0" borderId="45" applyAlignment="1" pivotButton="0" quotePrefix="0" xfId="0">
      <alignment horizontal="left" vertical="center" wrapText="1"/>
    </xf>
    <xf numFmtId="0" fontId="995" fillId="0" borderId="45" applyAlignment="1" pivotButton="0" quotePrefix="0" xfId="0">
      <alignment horizontal="left" vertical="center" wrapText="1"/>
    </xf>
    <xf numFmtId="0" fontId="704" fillId="0" borderId="45" applyAlignment="1" pivotButton="0" quotePrefix="0" xfId="0">
      <alignment horizontal="left" vertical="center" wrapText="1"/>
    </xf>
    <xf numFmtId="168" fontId="36" fillId="25" borderId="11" applyAlignment="1" applyProtection="1" pivotButton="0" quotePrefix="0" xfId="0">
      <alignment horizontal="center" vertical="center"/>
      <protection locked="0" hidden="0"/>
    </xf>
    <xf numFmtId="0" fontId="1022" fillId="0" borderId="45" applyAlignment="1" pivotButton="0" quotePrefix="0" xfId="0">
      <alignment horizontal="left" vertical="center" wrapText="1"/>
    </xf>
    <xf numFmtId="0" fontId="155" fillId="0" borderId="45" applyAlignment="1" pivotButton="0" quotePrefix="0" xfId="0">
      <alignment horizontal="left" vertical="center" wrapText="1"/>
    </xf>
    <xf numFmtId="0" fontId="629" fillId="0" borderId="45" applyAlignment="1" pivotButton="0" quotePrefix="0" xfId="0">
      <alignment horizontal="left" vertical="center" wrapText="1"/>
    </xf>
    <xf numFmtId="0" fontId="353" fillId="0" borderId="45" applyAlignment="1" pivotButton="0" quotePrefix="0" xfId="0">
      <alignment horizontal="left" vertical="center" wrapText="1"/>
    </xf>
    <xf numFmtId="165" fontId="36" fillId="25" borderId="15" applyAlignment="1" applyProtection="1" pivotButton="0" quotePrefix="0" xfId="0">
      <alignment horizontal="center" vertical="center"/>
      <protection locked="0" hidden="0"/>
    </xf>
    <xf numFmtId="0" fontId="986" fillId="0" borderId="45" applyAlignment="1" pivotButton="0" quotePrefix="0" xfId="0">
      <alignment horizontal="left" vertical="center" wrapText="1"/>
    </xf>
    <xf numFmtId="0" fontId="470" fillId="0" borderId="45" applyAlignment="1" pivotButton="0" quotePrefix="0" xfId="0">
      <alignment horizontal="left" vertical="center" wrapText="1"/>
    </xf>
    <xf numFmtId="0" fontId="134" fillId="0" borderId="45" applyAlignment="1" pivotButton="0" quotePrefix="0" xfId="0">
      <alignment horizontal="left" vertical="center" wrapText="1"/>
    </xf>
    <xf numFmtId="0" fontId="881" fillId="0" borderId="45" applyAlignment="1" pivotButton="0" quotePrefix="0" xfId="0">
      <alignment horizontal="left" vertical="center" wrapText="1"/>
    </xf>
    <xf numFmtId="0" fontId="248" fillId="0" borderId="45" applyAlignment="1" pivotButton="0" quotePrefix="0" xfId="0">
      <alignment horizontal="left" vertical="center" wrapText="1"/>
    </xf>
    <xf numFmtId="0" fontId="326" fillId="0" borderId="45" applyAlignment="1" pivotButton="0" quotePrefix="0" xfId="0">
      <alignment horizontal="left" vertical="center" wrapText="1"/>
    </xf>
    <xf numFmtId="0" fontId="518" fillId="0" borderId="45" applyAlignment="1" pivotButton="0" quotePrefix="0" xfId="0">
      <alignment horizontal="left" vertical="center" wrapText="1"/>
    </xf>
    <xf numFmtId="0" fontId="500" fillId="0" borderId="45" applyAlignment="1" pivotButton="0" quotePrefix="0" xfId="0">
      <alignment horizontal="left" vertical="center" wrapText="1"/>
    </xf>
    <xf numFmtId="0" fontId="911" fillId="0" borderId="45" applyAlignment="1" pivotButton="0" quotePrefix="0" xfId="0">
      <alignment horizontal="left" vertical="center" wrapText="1"/>
    </xf>
    <xf numFmtId="0" fontId="878" fillId="0" borderId="45" applyAlignment="1" pivotButton="0" quotePrefix="0" xfId="0">
      <alignment horizontal="left" vertical="center" wrapText="1"/>
    </xf>
    <xf numFmtId="0" fontId="842" fillId="0" borderId="45" applyAlignment="1" pivotButton="0" quotePrefix="0" xfId="0">
      <alignment horizontal="left" vertical="center" wrapText="1"/>
    </xf>
    <xf numFmtId="0" fontId="536" fillId="0" borderId="45" applyAlignment="1" pivotButton="0" quotePrefix="0" xfId="0">
      <alignment horizontal="left" vertical="center" wrapText="1"/>
    </xf>
    <xf numFmtId="0" fontId="926" fillId="0" borderId="45" applyAlignment="1" pivotButton="0" quotePrefix="0" xfId="0">
      <alignment horizontal="left" vertical="center" wrapText="1"/>
    </xf>
    <xf numFmtId="0" fontId="548" fillId="0" borderId="45" applyAlignment="1" pivotButton="0" quotePrefix="0" xfId="0">
      <alignment horizontal="left" vertical="center" wrapText="1"/>
    </xf>
    <xf numFmtId="0" fontId="34" fillId="24" borderId="0" applyAlignment="1" pivotButton="0" quotePrefix="0" xfId="39">
      <alignment horizontal="center" vertical="center" wrapText="1"/>
    </xf>
    <xf numFmtId="0" fontId="716" fillId="0" borderId="45" applyAlignment="1" pivotButton="0" quotePrefix="0" xfId="0">
      <alignment horizontal="left" vertical="center" wrapText="1"/>
    </xf>
    <xf numFmtId="0" fontId="455" fillId="0" borderId="45" applyAlignment="1" pivotButton="0" quotePrefix="0" xfId="0">
      <alignment horizontal="left" vertical="center" wrapText="1"/>
    </xf>
    <xf numFmtId="0" fontId="509" fillId="0" borderId="45" applyAlignment="1" pivotButton="0" quotePrefix="0" xfId="0">
      <alignment horizontal="left" vertical="center" wrapText="1"/>
    </xf>
    <xf numFmtId="0" fontId="0" fillId="0" borderId="26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212" fillId="0" borderId="45" applyAlignment="1" pivotButton="0" quotePrefix="0" xfId="0">
      <alignment horizontal="left" vertical="center" wrapText="1"/>
    </xf>
    <xf numFmtId="0" fontId="119" fillId="0" borderId="45" applyAlignment="1" pivotButton="0" quotePrefix="0" xfId="0">
      <alignment horizontal="left" vertical="center" wrapText="1"/>
    </xf>
    <xf numFmtId="0" fontId="440" fillId="0" borderId="45" applyAlignment="1" pivotButton="0" quotePrefix="0" xfId="0">
      <alignment horizontal="left" vertical="center" wrapText="1"/>
    </xf>
    <xf numFmtId="0" fontId="101" fillId="0" borderId="45" applyAlignment="1" pivotButton="0" quotePrefix="0" xfId="0">
      <alignment horizontal="left" vertical="center" wrapText="1"/>
    </xf>
    <xf numFmtId="0" fontId="824" fillId="0" borderId="45" applyAlignment="1" pivotButton="0" quotePrefix="0" xfId="0">
      <alignment horizontal="left" vertical="center" wrapText="1"/>
    </xf>
    <xf numFmtId="0" fontId="332" fillId="0" borderId="45" applyAlignment="1" pivotButton="0" quotePrefix="0" xfId="0">
      <alignment horizontal="left" vertical="center" wrapText="1"/>
    </xf>
    <xf numFmtId="0" fontId="515" fillId="0" borderId="45" applyAlignment="1" pivotButton="0" quotePrefix="0" xfId="0">
      <alignment horizontal="left" vertical="center" wrapText="1"/>
    </xf>
    <xf numFmtId="0" fontId="758" fillId="0" borderId="45" applyAlignment="1" pivotButton="0" quotePrefix="0" xfId="0">
      <alignment horizontal="left" vertical="center" wrapText="1"/>
    </xf>
    <xf numFmtId="0" fontId="92" fillId="0" borderId="45" applyAlignment="1" pivotButton="0" quotePrefix="0" xfId="0">
      <alignment horizontal="left" vertical="center" wrapText="1"/>
    </xf>
    <xf numFmtId="0" fontId="278" fillId="0" borderId="45" applyAlignment="1" pivotButton="0" quotePrefix="0" xfId="0">
      <alignment horizontal="left" vertical="center" wrapText="1"/>
    </xf>
    <xf numFmtId="0" fontId="794" fillId="0" borderId="45" applyAlignment="1" pivotButton="0" quotePrefix="0" xfId="0">
      <alignment horizontal="left" vertical="center" wrapText="1"/>
    </xf>
    <xf numFmtId="0" fontId="422" fillId="0" borderId="45" applyAlignment="1" pivotButton="0" quotePrefix="0" xfId="0">
      <alignment horizontal="left" vertical="center" wrapText="1"/>
    </xf>
    <xf numFmtId="0" fontId="905" fillId="0" borderId="45" applyAlignment="1" pivotButton="0" quotePrefix="0" xfId="0">
      <alignment horizontal="left" vertical="center" wrapText="1"/>
    </xf>
    <xf numFmtId="0" fontId="956" fillId="0" borderId="45" applyAlignment="1" pivotButton="0" quotePrefix="0" xfId="0">
      <alignment horizontal="left" vertical="center" wrapText="1"/>
    </xf>
    <xf numFmtId="0" fontId="674" fillId="0" borderId="45" applyAlignment="1" pivotButton="0" quotePrefix="0" xfId="0">
      <alignment horizontal="left" vertical="center" wrapText="1"/>
    </xf>
    <xf numFmtId="0" fontId="677" fillId="0" borderId="45" applyAlignment="1" pivotButton="0" quotePrefix="0" xfId="0">
      <alignment horizontal="left" vertical="center" wrapText="1"/>
    </xf>
    <xf numFmtId="0" fontId="1094" fillId="0" borderId="45" applyAlignment="1" pivotButton="0" quotePrefix="0" xfId="0">
      <alignment horizontal="left" vertical="center" wrapText="1"/>
    </xf>
    <xf numFmtId="0" fontId="785" fillId="0" borderId="45" applyAlignment="1" pivotButton="0" quotePrefix="0" xfId="0">
      <alignment horizontal="left" vertical="center" wrapText="1"/>
    </xf>
    <xf numFmtId="49" fontId="36" fillId="0" borderId="24" applyAlignment="1" pivotButton="0" quotePrefix="0" xfId="0">
      <alignment horizontal="center" vertical="center"/>
    </xf>
    <xf numFmtId="0" fontId="428" fillId="0" borderId="45" applyAlignment="1" pivotButton="0" quotePrefix="0" xfId="0">
      <alignment horizontal="left" vertical="center" wrapText="1"/>
    </xf>
    <xf numFmtId="0" fontId="941" fillId="0" borderId="45" applyAlignment="1" pivotButton="0" quotePrefix="0" xfId="0">
      <alignment horizontal="left" vertical="center" wrapText="1"/>
    </xf>
    <xf numFmtId="0" fontId="764" fillId="0" borderId="45" applyAlignment="1" pivotButton="0" quotePrefix="0" xfId="0">
      <alignment horizontal="left" vertical="center" wrapText="1"/>
    </xf>
    <xf numFmtId="0" fontId="1076" fillId="0" borderId="45" applyAlignment="1" pivotButton="0" quotePrefix="0" xfId="0">
      <alignment horizontal="left" vertical="center" wrapText="1"/>
    </xf>
    <xf numFmtId="2" fontId="42" fillId="25" borderId="11" applyAlignment="1" applyProtection="1" pivotButton="0" quotePrefix="0" xfId="0">
      <alignment horizontal="left" vertical="center" wrapText="1"/>
      <protection locked="0" hidden="1"/>
    </xf>
    <xf numFmtId="0" fontId="0" fillId="0" borderId="12" applyProtection="1" pivotButton="0" quotePrefix="0" xfId="0">
      <protection locked="0" hidden="1"/>
    </xf>
    <xf numFmtId="0" fontId="0" fillId="0" borderId="13" applyProtection="1" pivotButton="0" quotePrefix="0" xfId="0">
      <protection locked="0" hidden="1"/>
    </xf>
    <xf numFmtId="0" fontId="77" fillId="0" borderId="45" applyAlignment="1" pivotButton="0" quotePrefix="0" xfId="0">
      <alignment horizontal="left" vertical="center" wrapText="1"/>
    </xf>
    <xf numFmtId="0" fontId="947" fillId="0" borderId="45" applyAlignment="1" pivotButton="0" quotePrefix="0" xfId="0">
      <alignment horizontal="left" vertical="center" wrapText="1"/>
    </xf>
    <xf numFmtId="0" fontId="476" fillId="0" borderId="45" applyAlignment="1" pivotButton="0" quotePrefix="0" xfId="0">
      <alignment horizontal="left" vertical="center" wrapText="1"/>
    </xf>
    <xf numFmtId="0" fontId="188" fillId="0" borderId="45" applyAlignment="1" pivotButton="0" quotePrefix="0" xfId="0">
      <alignment horizontal="left" vertical="center" wrapText="1"/>
    </xf>
    <xf numFmtId="0" fontId="890" fillId="0" borderId="45" applyAlignment="1" pivotButton="0" quotePrefix="0" xfId="0">
      <alignment horizontal="left" vertical="center" wrapText="1"/>
    </xf>
    <xf numFmtId="0" fontId="854" fillId="0" borderId="45" applyAlignment="1" pivotButton="0" quotePrefix="0" xfId="0">
      <alignment horizontal="left" vertical="center" wrapText="1"/>
    </xf>
    <xf numFmtId="0" fontId="42" fillId="25" borderId="24" applyAlignment="1" applyProtection="1" pivotButton="0" quotePrefix="0" xfId="0">
      <alignment horizontal="center" vertical="top" wrapText="1"/>
      <protection locked="0" hidden="0"/>
    </xf>
    <xf numFmtId="0" fontId="0" fillId="0" borderId="26" applyProtection="1" pivotButton="0" quotePrefix="0" xfId="0">
      <protection locked="0" hidden="0"/>
    </xf>
    <xf numFmtId="0" fontId="419" fillId="0" borderId="45" applyAlignment="1" pivotButton="0" quotePrefix="0" xfId="0">
      <alignment horizontal="left" vertical="center" wrapText="1"/>
    </xf>
    <xf numFmtId="0" fontId="179" fillId="0" borderId="45" applyAlignment="1" pivotButton="0" quotePrefix="0" xfId="0">
      <alignment horizontal="left" vertical="center" wrapText="1"/>
    </xf>
    <xf numFmtId="0" fontId="665" fillId="0" borderId="45" applyAlignment="1" pivotButton="0" quotePrefix="0" xfId="0">
      <alignment horizontal="left" vertical="center" wrapText="1"/>
    </xf>
    <xf numFmtId="0" fontId="953" fillId="0" borderId="45" applyAlignment="1" pivotButton="0" quotePrefix="0" xfId="0">
      <alignment horizontal="left" vertical="center" wrapText="1"/>
    </xf>
    <xf numFmtId="0" fontId="71" fillId="0" borderId="45" applyAlignment="1" pivotButton="0" quotePrefix="0" xfId="0">
      <alignment horizontal="left" vertical="center" wrapText="1"/>
    </xf>
    <xf numFmtId="0" fontId="194" fillId="0" borderId="45" applyAlignment="1" pivotButton="0" quotePrefix="0" xfId="0">
      <alignment horizontal="left" vertical="center" wrapText="1"/>
    </xf>
    <xf numFmtId="0" fontId="473" fillId="0" borderId="45" applyAlignment="1" pivotButton="0" quotePrefix="0" xfId="0">
      <alignment horizontal="left" vertical="center" wrapText="1"/>
    </xf>
    <xf numFmtId="0" fontId="185" fillId="0" borderId="45" applyAlignment="1" pivotButton="0" quotePrefix="0" xfId="0">
      <alignment horizontal="left" vertical="center" wrapText="1"/>
    </xf>
    <xf numFmtId="0" fontId="863" fillId="0" borderId="45" applyAlignment="1" pivotButton="0" quotePrefix="0" xfId="0">
      <alignment horizontal="left" vertical="center" wrapText="1"/>
    </xf>
    <xf numFmtId="0" fontId="572" fillId="0" borderId="45" applyAlignment="1" pivotButton="0" quotePrefix="0" xfId="0">
      <alignment horizontal="left" vertical="center" wrapText="1"/>
    </xf>
    <xf numFmtId="0" fontId="773" fillId="0" borderId="45" applyAlignment="1" pivotButton="0" quotePrefix="0" xfId="0">
      <alignment horizontal="left" vertical="center" wrapText="1"/>
    </xf>
    <xf numFmtId="0" fontId="221" fillId="0" borderId="45" applyAlignment="1" pivotButton="0" quotePrefix="0" xfId="0">
      <alignment horizontal="left" vertical="center" wrapText="1"/>
    </xf>
    <xf numFmtId="0" fontId="80" fillId="0" borderId="45" applyAlignment="1" pivotButton="0" quotePrefix="0" xfId="0">
      <alignment horizontal="left" vertical="center" wrapText="1"/>
    </xf>
    <xf numFmtId="0" fontId="482" fillId="0" borderId="45" applyAlignment="1" pivotButton="0" quotePrefix="0" xfId="0">
      <alignment horizontal="left" vertical="center" wrapText="1"/>
    </xf>
    <xf numFmtId="0" fontId="293" fillId="0" borderId="45" applyAlignment="1" pivotButton="0" quotePrefix="0" xfId="0">
      <alignment horizontal="left" vertical="center" wrapText="1"/>
    </xf>
    <xf numFmtId="0" fontId="413" fillId="0" borderId="45" applyAlignment="1" pivotButton="0" quotePrefix="0" xfId="0">
      <alignment horizontal="left" vertical="center" wrapText="1"/>
    </xf>
    <xf numFmtId="0" fontId="401" fillId="0" borderId="45" applyAlignment="1" pivotButton="0" quotePrefix="0" xfId="0">
      <alignment horizontal="left" vertical="center" wrapText="1"/>
    </xf>
    <xf numFmtId="0" fontId="779" fillId="0" borderId="45" applyAlignment="1" pivotButton="0" quotePrefix="0" xfId="0">
      <alignment horizontal="left" vertical="center" wrapText="1"/>
    </xf>
    <xf numFmtId="0" fontId="245" fillId="0" borderId="45" applyAlignment="1" pivotButton="0" quotePrefix="0" xfId="0">
      <alignment horizontal="left" vertical="center" wrapText="1"/>
    </xf>
    <xf numFmtId="0" fontId="893" fillId="0" borderId="45" applyAlignment="1" pivotButton="0" quotePrefix="0" xfId="0">
      <alignment horizontal="left" vertical="center" wrapText="1"/>
    </xf>
    <xf numFmtId="0" fontId="755" fillId="0" borderId="45" applyAlignment="1" pivotButton="0" quotePrefix="0" xfId="0">
      <alignment horizontal="left" vertical="center" wrapText="1"/>
    </xf>
    <xf numFmtId="0" fontId="446" fillId="0" borderId="45" applyAlignment="1" pivotButton="0" quotePrefix="0" xfId="0">
      <alignment horizontal="left" vertical="center" wrapText="1"/>
    </xf>
    <xf numFmtId="0" fontId="638" fillId="0" borderId="45" applyAlignment="1" pivotButton="0" quotePrefix="0" xfId="0">
      <alignment horizontal="left" vertical="center" wrapText="1"/>
    </xf>
    <xf numFmtId="0" fontId="1046" fillId="0" borderId="45" applyAlignment="1" pivotButton="0" quotePrefix="0" xfId="0">
      <alignment horizontal="left" vertical="center" wrapText="1"/>
    </xf>
    <xf numFmtId="0" fontId="170" fillId="0" borderId="45" applyAlignment="1" pivotButton="0" quotePrefix="0" xfId="0">
      <alignment horizontal="left" vertical="center" wrapText="1"/>
    </xf>
    <xf numFmtId="0" fontId="644" fillId="0" borderId="45" applyAlignment="1" pivotButton="0" quotePrefix="0" xfId="0">
      <alignment horizontal="left" vertical="center" wrapText="1"/>
    </xf>
    <xf numFmtId="0" fontId="563" fillId="0" borderId="45" applyAlignment="1" pivotButton="0" quotePrefix="0" xfId="0">
      <alignment horizontal="left" vertical="center" wrapText="1"/>
    </xf>
    <xf numFmtId="14" fontId="34" fillId="24" borderId="0" applyAlignment="1" pivotButton="0" quotePrefix="0" xfId="0">
      <alignment vertical="center" wrapText="1"/>
    </xf>
    <xf numFmtId="0" fontId="68" fillId="0" borderId="45" applyAlignment="1" pivotButton="0" quotePrefix="0" xfId="0">
      <alignment horizontal="left" vertical="center" wrapText="1"/>
    </xf>
    <xf numFmtId="0" fontId="659" fillId="0" borderId="45" applyAlignment="1" pivotButton="0" quotePrefix="0" xfId="0">
      <alignment horizontal="left" vertical="center" wrapText="1"/>
    </xf>
    <xf numFmtId="0" fontId="383" fillId="0" borderId="45" applyAlignment="1" pivotButton="0" quotePrefix="0" xfId="0">
      <alignment horizontal="left" vertical="center" wrapText="1"/>
    </xf>
    <xf numFmtId="0" fontId="650" fillId="0" borderId="45" applyAlignment="1" pivotButton="0" quotePrefix="0" xfId="0">
      <alignment horizontal="left" vertical="center" wrapText="1"/>
    </xf>
    <xf numFmtId="0" fontId="1058" fillId="0" borderId="45" applyAlignment="1" pivotButton="0" quotePrefix="0" xfId="0">
      <alignment horizontal="left" vertical="center" wrapText="1"/>
    </xf>
    <xf numFmtId="0" fontId="761" fillId="0" borderId="45" applyAlignment="1" pivotButton="0" quotePrefix="0" xfId="0">
      <alignment horizontal="left" vertical="center" wrapText="1"/>
    </xf>
    <xf numFmtId="0" fontId="365" fillId="0" borderId="45" applyAlignment="1" pivotButton="0" quotePrefix="0" xfId="0">
      <alignment horizontal="left" vertical="center" wrapText="1"/>
    </xf>
    <xf numFmtId="0" fontId="299" fillId="0" borderId="45" applyAlignment="1" pivotButton="0" quotePrefix="0" xfId="0">
      <alignment horizontal="left" vertical="center" wrapText="1"/>
    </xf>
    <xf numFmtId="0" fontId="725" fillId="0" borderId="45" applyAlignment="1" pivotButton="0" quotePrefix="0" xfId="0">
      <alignment horizontal="left" vertical="center" wrapText="1"/>
    </xf>
    <xf numFmtId="0" fontId="287" fillId="0" borderId="45" applyAlignment="1" pivotButton="0" quotePrefix="0" xfId="0">
      <alignment horizontal="left" vertical="center" wrapText="1"/>
    </xf>
    <xf numFmtId="0" fontId="938" fillId="0" borderId="45" applyAlignment="1" pivotButton="0" quotePrefix="0" xfId="0">
      <alignment horizontal="left" vertical="center" wrapText="1"/>
    </xf>
    <xf numFmtId="0" fontId="656" fillId="0" borderId="45" applyAlignment="1" pivotButton="0" quotePrefix="0" xfId="0">
      <alignment horizontal="left" vertical="center" wrapText="1"/>
    </xf>
    <xf numFmtId="0" fontId="380" fillId="0" borderId="45" applyAlignment="1" pivotButton="0" quotePrefix="0" xfId="0">
      <alignment horizontal="left" vertical="center" wrapText="1"/>
    </xf>
    <xf numFmtId="0" fontId="74" fillId="0" borderId="45" applyAlignment="1" pivotButton="0" quotePrefix="0" xfId="0">
      <alignment horizontal="left" vertical="center" wrapText="1"/>
    </xf>
    <xf numFmtId="0" fontId="302" fillId="0" borderId="45" applyAlignment="1" pivotButton="0" quotePrefix="0" xfId="0">
      <alignment horizontal="left" vertical="center" wrapText="1"/>
    </xf>
    <xf numFmtId="0" fontId="920" fillId="0" borderId="45" applyAlignment="1" pivotButton="0" quotePrefix="0" xfId="0">
      <alignment horizontal="left" vertical="center" wrapText="1"/>
    </xf>
    <xf numFmtId="0" fontId="707" fillId="0" borderId="45" applyAlignment="1" pivotButton="0" quotePrefix="0" xfId="0">
      <alignment horizontal="left" vertical="center" wrapText="1"/>
    </xf>
    <xf numFmtId="0" fontId="830" fillId="0" borderId="45" applyAlignment="1" pivotButton="0" quotePrefix="0" xfId="0">
      <alignment horizontal="left" vertical="center" wrapText="1"/>
    </xf>
    <xf numFmtId="0" fontId="107" fillId="0" borderId="45" applyAlignment="1" pivotButton="0" quotePrefix="0" xfId="0">
      <alignment horizontal="left" vertical="center" wrapText="1"/>
    </xf>
    <xf numFmtId="0" fontId="434" fillId="0" borderId="45" applyAlignment="1" pivotButton="0" quotePrefix="0" xfId="0">
      <alignment horizontal="left" vertical="center" wrapText="1"/>
    </xf>
    <xf numFmtId="0" fontId="275" fillId="0" borderId="45" applyAlignment="1" pivotButton="0" quotePrefix="0" xfId="0">
      <alignment horizontal="left" vertical="center" wrapText="1"/>
    </xf>
    <xf numFmtId="0" fontId="731" fillId="0" borderId="45" applyAlignment="1" pivotButton="0" quotePrefix="0" xfId="0">
      <alignment horizontal="left" vertical="center" wrapText="1"/>
    </xf>
    <xf numFmtId="0" fontId="554" fillId="0" borderId="45" applyAlignment="1" pivotButton="0" quotePrefix="0" xfId="0">
      <alignment horizontal="left" vertical="center" wrapText="1"/>
    </xf>
    <xf numFmtId="0" fontId="1031" fillId="0" borderId="45" applyAlignment="1" pivotButton="0" quotePrefix="0" xfId="0">
      <alignment horizontal="left" vertical="center" wrapText="1"/>
    </xf>
    <xf numFmtId="0" fontId="404" fillId="0" borderId="45" applyAlignment="1" pivotButton="0" quotePrefix="0" xfId="0">
      <alignment horizontal="left" vertical="center" wrapText="1"/>
    </xf>
    <xf numFmtId="0" fontId="1001" fillId="0" borderId="45" applyAlignment="1" pivotButton="0" quotePrefix="0" xfId="0">
      <alignment horizontal="left" vertical="center" wrapText="1"/>
    </xf>
    <xf numFmtId="0" fontId="998" fillId="0" borderId="45" applyAlignment="1" pivotButton="0" quotePrefix="0" xfId="0">
      <alignment horizontal="left" vertical="center" wrapText="1"/>
    </xf>
    <xf numFmtId="0" fontId="791" fillId="0" borderId="45" applyAlignment="1" pivotButton="0" quotePrefix="0" xfId="0">
      <alignment horizontal="left" vertical="center" wrapText="1"/>
    </xf>
    <xf numFmtId="0" fontId="407" fillId="0" borderId="45" applyAlignment="1" pivotButton="0" quotePrefix="0" xfId="0">
      <alignment horizontal="left" vertical="center" wrapText="1"/>
    </xf>
    <xf numFmtId="0" fontId="290" fillId="0" borderId="45" applyAlignment="1" pivotButton="0" quotePrefix="0" xfId="0">
      <alignment horizontal="left" vertical="center" wrapText="1"/>
    </xf>
    <xf numFmtId="0" fontId="776" fillId="0" borderId="45" applyAlignment="1" pivotButton="0" quotePrefix="0" xfId="0">
      <alignment horizontal="left" vertical="center" wrapText="1"/>
    </xf>
    <xf numFmtId="166" fontId="2" fillId="0" borderId="15" applyAlignment="1" applyProtection="1" pivotButton="0" quotePrefix="0" xfId="0">
      <alignment horizontal="center" vertical="center"/>
      <protection locked="1" hidden="1"/>
    </xf>
    <xf numFmtId="167" fontId="25" fillId="25" borderId="15" applyAlignment="1" applyProtection="1" pivotButton="0" quotePrefix="0" xfId="0">
      <alignment horizontal="right"/>
      <protection locked="0" hidden="0"/>
    </xf>
    <xf numFmtId="167" fontId="25" fillId="0" borderId="15" applyAlignment="1" pivotButton="0" quotePrefix="0" xfId="0">
      <alignment horizontal="right"/>
    </xf>
    <xf numFmtId="167" fontId="41" fillId="24" borderId="15" applyAlignment="1" pivotButton="0" quotePrefix="0" xfId="0">
      <alignment horizontal="right"/>
    </xf>
    <xf numFmtId="167" fontId="41" fillId="24" borderId="0" applyAlignment="1" pivotButton="0" quotePrefix="0" xfId="0">
      <alignment horizontal="right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P672"/>
  <sheetViews>
    <sheetView showGridLines="0" tabSelected="1" topLeftCell="A649" zoomScaleNormal="100" zoomScaleSheetLayoutView="100" workbookViewId="0">
      <selection activeCell="AA668" sqref="AA668"/>
    </sheetView>
  </sheetViews>
  <sheetFormatPr baseColWidth="8" defaultColWidth="9.140625" defaultRowHeight="12.75"/>
  <cols>
    <col width="9.140625" customWidth="1" style="800" min="1" max="1"/>
    <col width="10.85546875" customWidth="1" style="3" min="2" max="2"/>
    <col width="12.5703125" customWidth="1" style="3" min="3" max="3"/>
    <col width="6.42578125" customWidth="1" style="3" min="4" max="4"/>
    <col width="6.85546875" customWidth="1" style="3" min="5" max="5"/>
    <col width="8.42578125" customWidth="1" style="3" min="6" max="6"/>
    <col width="9.42578125" customWidth="1" style="3" min="7" max="7"/>
    <col width="11.85546875" customWidth="1" style="3" min="8" max="8"/>
    <col width="9.42578125" customWidth="1" style="3" min="9" max="9"/>
    <col width="9.140625" customWidth="1" style="4" min="10" max="10"/>
    <col width="13.85546875" customWidth="1" style="4" min="11" max="12"/>
    <col width="9.42578125" customWidth="1" style="4" min="13" max="13"/>
    <col hidden="1" width="15.85546875" customWidth="1" style="4" min="14" max="14"/>
    <col width="10.42578125" customWidth="1" style="3" min="15" max="15"/>
    <col width="7.42578125" customWidth="1" style="1" min="16" max="16"/>
    <col width="15.5703125" customWidth="1" style="1" min="17" max="17"/>
    <col width="8.140625" customWidth="1" style="800" min="18" max="18"/>
    <col width="6.140625" customWidth="1" style="800" min="19" max="19"/>
    <col width="10.85546875" customWidth="1" style="888" min="20" max="20"/>
    <col width="10.42578125" customWidth="1" style="888" min="21" max="21"/>
    <col width="9.42578125" customWidth="1" style="888" min="22" max="22"/>
    <col width="8.42578125" customWidth="1" style="888" min="23" max="23"/>
    <col width="10" customWidth="1" style="800" min="24" max="24"/>
    <col width="11" customWidth="1" style="800" min="25" max="25"/>
    <col width="10" customWidth="1" style="800" min="26" max="26"/>
    <col width="11.5703125" customWidth="1" style="800" min="27" max="27"/>
    <col width="10.42578125" customWidth="1" style="800" min="28" max="28"/>
    <col width="30" customWidth="1" style="800" min="29" max="29"/>
    <col width="11.42578125" bestFit="1" customWidth="1" style="52" min="30" max="30"/>
    <col width="9.140625" customWidth="1" style="52" min="31" max="31"/>
    <col width="8.85546875" customWidth="1" style="52" min="32" max="32"/>
    <col width="13.5703125" customWidth="1" style="800" min="33" max="33"/>
    <col width="9.140625" customWidth="1" style="800" min="34" max="34"/>
    <col width="9.140625" customWidth="1" style="800" min="35" max="16384"/>
  </cols>
  <sheetData>
    <row r="1" ht="45" customFormat="1" customHeight="1" s="810">
      <c r="A1" s="41" t="n"/>
      <c r="B1" s="41" t="n"/>
      <c r="C1" s="41" t="n"/>
      <c r="D1" s="1121" t="inlineStr">
        <is>
          <t xml:space="preserve">  БЛАНК ЗАКАЗА </t>
        </is>
      </c>
      <c r="G1" s="12" t="inlineStr">
        <is>
          <t>КИ</t>
        </is>
      </c>
      <c r="H1" s="1121" t="inlineStr">
        <is>
          <t>на отгрузку продукции с ООО Трейд-Сервис с</t>
        </is>
      </c>
      <c r="R1" s="1188" t="inlineStr">
        <is>
          <t>23.12.2024</t>
        </is>
      </c>
      <c r="U1" s="13" t="n"/>
      <c r="V1" s="13" t="n"/>
      <c r="W1" s="13" t="n"/>
      <c r="X1" s="13" t="n"/>
      <c r="Y1" s="13" t="n"/>
      <c r="Z1" s="13" t="n"/>
      <c r="AA1" s="13" t="n"/>
      <c r="AB1" s="53" t="n"/>
      <c r="AC1" s="53" t="n"/>
      <c r="AD1" s="53" t="n"/>
      <c r="AE1" s="53" t="n"/>
      <c r="AF1" s="53" t="n"/>
    </row>
    <row r="2" ht="16.5" customFormat="1" customHeight="1" s="810">
      <c r="A2" s="29" t="inlineStr">
        <is>
          <t>бланк создан</t>
        </is>
      </c>
      <c r="B2" s="30" t="inlineStr">
        <is>
          <t>19.12.2024</t>
        </is>
      </c>
      <c r="C2" s="11" t="n"/>
      <c r="D2" s="11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878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0" t="n"/>
      <c r="R2" s="800" t="n"/>
      <c r="S2" s="800" t="n"/>
      <c r="T2" s="800" t="n"/>
      <c r="U2" s="800" t="n"/>
      <c r="V2" s="800" t="n"/>
      <c r="W2" s="800" t="n"/>
      <c r="X2" s="16" t="n"/>
      <c r="Y2" s="16" t="n"/>
      <c r="Z2" s="16" t="n"/>
      <c r="AA2" s="16" t="n"/>
      <c r="AB2" s="51" t="n"/>
      <c r="AC2" s="51" t="n"/>
      <c r="AD2" s="51" t="n"/>
      <c r="AE2" s="51" t="n"/>
    </row>
    <row r="3" ht="11.25" customFormat="1" customHeight="1" s="810">
      <c r="A3" s="27" t="n"/>
      <c r="B3" s="10" t="inlineStr">
        <is>
          <t>-поле, обязательное к заполнению</t>
        </is>
      </c>
      <c r="C3" s="14" t="n"/>
      <c r="D3" s="14" t="n"/>
      <c r="E3" s="17" t="n"/>
      <c r="F3" s="18" t="inlineStr">
        <is>
          <t>-поля, не обязательные к заполнению</t>
        </is>
      </c>
      <c r="G3" s="15" t="n"/>
      <c r="H3" s="15" t="n"/>
      <c r="I3" s="15" t="n"/>
      <c r="J3" s="18" t="n"/>
      <c r="K3" s="18" t="n"/>
      <c r="L3" s="18" t="n"/>
      <c r="M3" s="15" t="n"/>
      <c r="N3" s="15" t="n"/>
      <c r="O3" s="15" t="n"/>
      <c r="P3" s="800" t="n"/>
      <c r="Q3" s="800" t="n"/>
      <c r="R3" s="800" t="n"/>
      <c r="S3" s="800" t="n"/>
      <c r="T3" s="800" t="n"/>
      <c r="U3" s="800" t="n"/>
      <c r="V3" s="800" t="n"/>
      <c r="W3" s="800" t="n"/>
      <c r="X3" s="16" t="n"/>
      <c r="Y3" s="16" t="n"/>
      <c r="Z3" s="16" t="n"/>
      <c r="AA3" s="16" t="n"/>
      <c r="AB3" s="51" t="n"/>
      <c r="AC3" s="51" t="n"/>
      <c r="AD3" s="51" t="n"/>
      <c r="AE3" s="51" t="n"/>
    </row>
    <row r="4" ht="9" customFormat="1" customHeight="1" s="810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20" t="n"/>
      <c r="R4" s="20" t="n"/>
      <c r="S4" s="20" t="n"/>
      <c r="T4" s="20" t="n"/>
      <c r="U4" s="20" t="n"/>
      <c r="V4" s="21" t="n"/>
      <c r="W4" s="22" t="n"/>
      <c r="X4" s="22" t="n"/>
      <c r="Y4" s="22" t="n"/>
      <c r="Z4" s="22" t="n"/>
      <c r="AA4" s="22" t="n"/>
      <c r="AB4" s="51" t="n"/>
      <c r="AC4" s="51" t="n"/>
      <c r="AD4" s="51" t="n"/>
      <c r="AE4" s="51" t="n"/>
    </row>
    <row r="5" ht="23.45" customFormat="1" customHeight="1" s="810">
      <c r="A5" s="1076" t="inlineStr">
        <is>
          <t xml:space="preserve">Ваш контактный телефон и имя: </t>
        </is>
      </c>
      <c r="B5" s="872" t="n"/>
      <c r="C5" s="819" t="n"/>
      <c r="D5" s="934" t="n"/>
      <c r="E5" s="936" t="n"/>
      <c r="F5" s="890" t="inlineStr">
        <is>
          <t>Комментарий к заказу:</t>
        </is>
      </c>
      <c r="G5" s="819" t="n"/>
      <c r="H5" s="934" t="n"/>
      <c r="I5" s="935" t="n"/>
      <c r="J5" s="935" t="n"/>
      <c r="K5" s="935" t="n"/>
      <c r="L5" s="935" t="n"/>
      <c r="M5" s="936" t="n"/>
      <c r="N5" s="58" t="n"/>
      <c r="P5" s="24" t="inlineStr">
        <is>
          <t>Дата загрузки</t>
        </is>
      </c>
      <c r="Q5" s="827" t="n">
        <v>45649</v>
      </c>
      <c r="R5" s="828" t="n"/>
      <c r="T5" s="1050" t="inlineStr">
        <is>
          <t>Способ доставки (доставка/самовывоз)</t>
        </is>
      </c>
      <c r="U5" s="815" t="n"/>
      <c r="V5" s="1052" t="inlineStr">
        <is>
          <t>Самовывоз</t>
        </is>
      </c>
      <c r="W5" s="828" t="n"/>
      <c r="AB5" s="51" t="n"/>
      <c r="AC5" s="51" t="n"/>
      <c r="AD5" s="51" t="n"/>
      <c r="AE5" s="51" t="n"/>
    </row>
    <row r="6" ht="24" customFormat="1" customHeight="1" s="810">
      <c r="A6" s="1076" t="inlineStr">
        <is>
          <t>Адрес доставки:</t>
        </is>
      </c>
      <c r="B6" s="872" t="n"/>
      <c r="C6" s="819" t="n"/>
      <c r="D6" s="937" t="inlineStr">
        <is>
          <t>НВ, ООО 9001015535, Запорожская обл, Мелитополь г, 8 Марта ул, д. 43/1,</t>
        </is>
      </c>
      <c r="E6" s="938" t="n"/>
      <c r="F6" s="938" t="n"/>
      <c r="G6" s="938" t="n"/>
      <c r="H6" s="938" t="n"/>
      <c r="I6" s="938" t="n"/>
      <c r="J6" s="938" t="n"/>
      <c r="K6" s="938" t="n"/>
      <c r="L6" s="938" t="n"/>
      <c r="M6" s="828" t="n"/>
      <c r="N6" s="59" t="n"/>
      <c r="P6" s="24" t="inlineStr">
        <is>
          <t>День недели</t>
        </is>
      </c>
      <c r="Q6" s="844">
        <f>IF(Q5=0," ",CHOOSE(WEEKDAY(Q5,2),"Понедельник","Вторник","Среда","Четверг","Пятница","Суббота","Воскресенье"))</f>
        <v/>
      </c>
      <c r="R6" s="783" t="n"/>
      <c r="T6" s="1034" t="inlineStr">
        <is>
          <t>Наименование клиента</t>
        </is>
      </c>
      <c r="U6" s="815" t="n"/>
      <c r="V6" s="944" t="inlineStr">
        <is>
          <t>ОБЩЕСТВО С ОГРАНИЧЕННОЙ ОТВЕТСТВЕННОСТЬЮ "НОВОЕ ВРЕМЯ"</t>
        </is>
      </c>
      <c r="W6" s="945" t="n"/>
      <c r="AB6" s="51" t="n"/>
      <c r="AC6" s="51" t="n"/>
      <c r="AD6" s="51" t="n"/>
      <c r="AE6" s="51" t="n"/>
    </row>
    <row r="7" hidden="1" ht="21.75" customFormat="1" customHeight="1" s="810">
      <c r="A7" s="55" t="n"/>
      <c r="B7" s="55" t="n"/>
      <c r="C7" s="55" t="n"/>
      <c r="D7" s="1159">
        <f>IFERROR(VLOOKUP(DeliveryAddress,Table,3,0),1)</f>
        <v/>
      </c>
      <c r="E7" s="1160" t="n"/>
      <c r="F7" s="1160" t="n"/>
      <c r="G7" s="1160" t="n"/>
      <c r="H7" s="1160" t="n"/>
      <c r="I7" s="1160" t="n"/>
      <c r="J7" s="1160" t="n"/>
      <c r="K7" s="1160" t="n"/>
      <c r="L7" s="1160" t="n"/>
      <c r="M7" s="1031" t="n"/>
      <c r="N7" s="60" t="n"/>
      <c r="P7" s="24" t="n"/>
      <c r="Q7" s="42" t="n"/>
      <c r="R7" s="42" t="n"/>
      <c r="T7" s="800" t="n"/>
      <c r="U7" s="815" t="n"/>
      <c r="V7" s="946" t="n"/>
      <c r="W7" s="947" t="n"/>
      <c r="AB7" s="51" t="n"/>
      <c r="AC7" s="51" t="n"/>
      <c r="AD7" s="51" t="n"/>
      <c r="AE7" s="51" t="n"/>
    </row>
    <row r="8" ht="25.5" customFormat="1" customHeight="1" s="810">
      <c r="A8" s="792" t="inlineStr">
        <is>
          <t>Адрес сдачи груза:</t>
        </is>
      </c>
      <c r="B8" s="793" t="n"/>
      <c r="C8" s="794" t="n"/>
      <c r="D8" s="1150" t="inlineStr">
        <is>
          <t>272319Российская Федерация, Запорожская обл, Мелитопольский р-н, Мелитополь г, 8 Марта ул, д. 43/1,</t>
        </is>
      </c>
      <c r="E8" s="1151" t="n"/>
      <c r="F8" s="1151" t="n"/>
      <c r="G8" s="1151" t="n"/>
      <c r="H8" s="1151" t="n"/>
      <c r="I8" s="1151" t="n"/>
      <c r="J8" s="1151" t="n"/>
      <c r="K8" s="1151" t="n"/>
      <c r="L8" s="1151" t="n"/>
      <c r="M8" s="1152" t="n"/>
      <c r="N8" s="61" t="n"/>
      <c r="P8" s="24" t="inlineStr">
        <is>
          <t>Время загрузки</t>
        </is>
      </c>
      <c r="Q8" s="1030" t="n">
        <v>0.4166666666666667</v>
      </c>
      <c r="R8" s="1031" t="n"/>
      <c r="T8" s="800" t="n"/>
      <c r="U8" s="815" t="n"/>
      <c r="V8" s="946" t="n"/>
      <c r="W8" s="947" t="n"/>
      <c r="AB8" s="51" t="n"/>
      <c r="AC8" s="51" t="n"/>
      <c r="AD8" s="51" t="n"/>
      <c r="AE8" s="51" t="n"/>
    </row>
    <row r="9" ht="39.95" customFormat="1" customHeight="1" s="810">
      <c r="A9" s="804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0" t="n"/>
      <c r="C9" s="800" t="n"/>
      <c r="D9" s="887" t="n"/>
      <c r="E9" s="888" t="n"/>
      <c r="F9" s="804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0" t="n"/>
      <c r="H9" s="1012">
        <f>IF(AND($A$9="Тип доверенности/получателя при получении в адресе перегруза:",$D$9="Разовая доверенность"),"Введите ФИО","")</f>
        <v/>
      </c>
      <c r="I9" s="888" t="n"/>
      <c r="J9" s="101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88" t="n"/>
      <c r="L9" s="888" t="n"/>
      <c r="M9" s="888" t="n"/>
      <c r="N9" s="1012" t="n"/>
      <c r="P9" s="26" t="inlineStr">
        <is>
          <t>Дата доставки</t>
        </is>
      </c>
      <c r="Q9" s="1101" t="n"/>
      <c r="R9" s="853" t="n"/>
      <c r="T9" s="800" t="n"/>
      <c r="U9" s="815" t="n"/>
      <c r="V9" s="948" t="n"/>
      <c r="W9" s="949" t="n"/>
      <c r="X9" s="43" t="n"/>
      <c r="Y9" s="43" t="n"/>
      <c r="Z9" s="43" t="n"/>
      <c r="AA9" s="43" t="n"/>
      <c r="AB9" s="51" t="n"/>
      <c r="AC9" s="51" t="n"/>
      <c r="AD9" s="51" t="n"/>
      <c r="AE9" s="51" t="n"/>
    </row>
    <row r="10" ht="26.45" customFormat="1" customHeight="1" s="810">
      <c r="A10" s="804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0" t="n"/>
      <c r="C10" s="800" t="n"/>
      <c r="D10" s="887" t="n"/>
      <c r="E10" s="888" t="n"/>
      <c r="F10" s="804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0" t="n"/>
      <c r="H10" s="979">
        <f>IFERROR(VLOOKUP($D$10,Proxy,2,FALSE),"")</f>
        <v/>
      </c>
      <c r="I10" s="800" t="n"/>
      <c r="J10" s="800" t="n"/>
      <c r="K10" s="800" t="n"/>
      <c r="L10" s="800" t="n"/>
      <c r="M10" s="800" t="n"/>
      <c r="N10" s="979" t="n"/>
      <c r="P10" s="26" t="inlineStr">
        <is>
          <t>Время доставки</t>
        </is>
      </c>
      <c r="Q10" s="1035" t="n"/>
      <c r="R10" s="1036" t="n"/>
      <c r="U10" s="24" t="inlineStr">
        <is>
          <t>КОД Аксапты Клиента</t>
        </is>
      </c>
      <c r="V10" s="1145" t="inlineStr">
        <is>
          <t>596383</t>
        </is>
      </c>
      <c r="W10" s="945" t="n"/>
      <c r="X10" s="44" t="n"/>
      <c r="Y10" s="44" t="n"/>
      <c r="Z10" s="44" t="n"/>
      <c r="AA10" s="44" t="n"/>
      <c r="AB10" s="51" t="n"/>
      <c r="AC10" s="51" t="n"/>
      <c r="AD10" s="51" t="n"/>
      <c r="AE10" s="51" t="n"/>
    </row>
    <row r="11" ht="15.95" customFormat="1" customHeight="1" s="810">
      <c r="A11" s="28" t="inlineStr">
        <is>
          <t>Справочная информация:</t>
        </is>
      </c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P11" s="26" t="inlineStr">
        <is>
          <t>Время доставки 2 машины</t>
        </is>
      </c>
      <c r="Q11" s="1106" t="n"/>
      <c r="R11" s="828" t="n"/>
      <c r="U11" s="24" t="inlineStr">
        <is>
          <t>Тип заказа</t>
        </is>
      </c>
      <c r="V11" s="852" t="inlineStr">
        <is>
          <t>Основной заказ</t>
        </is>
      </c>
      <c r="W11" s="853" t="n"/>
      <c r="X11" s="45" t="n"/>
      <c r="Y11" s="45" t="n"/>
      <c r="Z11" s="45" t="n"/>
      <c r="AA11" s="45" t="n"/>
      <c r="AB11" s="51" t="n"/>
      <c r="AC11" s="51" t="n"/>
      <c r="AD11" s="51" t="n"/>
      <c r="AE11" s="51" t="n"/>
    </row>
    <row r="12" ht="18.6" customFormat="1" customHeight="1" s="810">
      <c r="A12" s="1026" t="inlineStr">
        <is>
          <t>Телефоны для заказов: 8(919)002-63-01  E-mail: kolbasa@abiproduct.ru  Телефон сотрудников склада: 8 (910) 775-52-91</t>
        </is>
      </c>
      <c r="B12" s="872" t="n"/>
      <c r="C12" s="872" t="n"/>
      <c r="D12" s="872" t="n"/>
      <c r="E12" s="872" t="n"/>
      <c r="F12" s="872" t="n"/>
      <c r="G12" s="872" t="n"/>
      <c r="H12" s="872" t="n"/>
      <c r="I12" s="872" t="n"/>
      <c r="J12" s="872" t="n"/>
      <c r="K12" s="872" t="n"/>
      <c r="L12" s="872" t="n"/>
      <c r="M12" s="819" t="n"/>
      <c r="N12" s="62" t="n"/>
      <c r="P12" s="24" t="inlineStr">
        <is>
          <t>Время доставки 3 машины</t>
        </is>
      </c>
      <c r="Q12" s="1030" t="n"/>
      <c r="R12" s="1031" t="n"/>
      <c r="S12" s="23" t="n"/>
      <c r="U12" s="24" t="n"/>
      <c r="V12" s="810" t="n"/>
      <c r="W12" s="800" t="n"/>
      <c r="AB12" s="51" t="n"/>
      <c r="AC12" s="51" t="n"/>
      <c r="AD12" s="51" t="n"/>
      <c r="AE12" s="51" t="n"/>
    </row>
    <row r="13" ht="23.25" customFormat="1" customHeight="1" s="810">
      <c r="A13" s="1026" t="inlineStr">
        <is>
          <t>График приема заказов: Заказы принимаются за ДВА дня до отгрузки Пн-Пт: с 9:00 до 14:00, Суб., Вс. - до 12:00</t>
        </is>
      </c>
      <c r="B13" s="872" t="n"/>
      <c r="C13" s="872" t="n"/>
      <c r="D13" s="872" t="n"/>
      <c r="E13" s="872" t="n"/>
      <c r="F13" s="872" t="n"/>
      <c r="G13" s="872" t="n"/>
      <c r="H13" s="872" t="n"/>
      <c r="I13" s="872" t="n"/>
      <c r="J13" s="872" t="n"/>
      <c r="K13" s="872" t="n"/>
      <c r="L13" s="872" t="n"/>
      <c r="M13" s="819" t="n"/>
      <c r="N13" s="62" t="n"/>
      <c r="O13" s="26" t="n"/>
      <c r="P13" s="26" t="inlineStr">
        <is>
          <t>Время доставки 4 машины</t>
        </is>
      </c>
      <c r="Q13" s="852" t="n"/>
      <c r="R13" s="853" t="n"/>
      <c r="S13" s="23" t="n"/>
      <c r="X13" s="49" t="n"/>
      <c r="Y13" s="49" t="n"/>
      <c r="Z13" s="49" t="n"/>
      <c r="AA13" s="49" t="n"/>
      <c r="AB13" s="51" t="n"/>
      <c r="AC13" s="51" t="n"/>
      <c r="AD13" s="51" t="n"/>
      <c r="AE13" s="51" t="n"/>
    </row>
    <row r="14" ht="18.6" customFormat="1" customHeight="1" s="810">
      <c r="A14" s="1026" t="inlineStr">
        <is>
          <t>Телефон менеджера по логистике: 8 (919) 012-30-55 - по вопросам доставки продукции</t>
        </is>
      </c>
      <c r="B14" s="872" t="n"/>
      <c r="C14" s="872" t="n"/>
      <c r="D14" s="872" t="n"/>
      <c r="E14" s="872" t="n"/>
      <c r="F14" s="872" t="n"/>
      <c r="G14" s="872" t="n"/>
      <c r="H14" s="872" t="n"/>
      <c r="I14" s="872" t="n"/>
      <c r="J14" s="872" t="n"/>
      <c r="K14" s="872" t="n"/>
      <c r="L14" s="872" t="n"/>
      <c r="M14" s="819" t="n"/>
      <c r="N14" s="62" t="n"/>
      <c r="X14" s="50" t="n"/>
      <c r="Y14" s="50" t="n"/>
      <c r="Z14" s="50" t="n"/>
      <c r="AA14" s="50" t="n"/>
      <c r="AB14" s="51" t="n"/>
      <c r="AC14" s="51" t="n"/>
      <c r="AD14" s="51" t="n"/>
      <c r="AE14" s="51" t="n"/>
    </row>
    <row r="15" ht="22.5" customFormat="1" customHeight="1" s="810">
      <c r="A15" s="1028" t="inlineStr">
        <is>
          <t>Телефон по работе с претензиями/жалобами (WhatSapp): 8 (980) 757-69-93       E-mail: Claims@abiproduct.ru</t>
        </is>
      </c>
      <c r="B15" s="872" t="n"/>
      <c r="C15" s="872" t="n"/>
      <c r="D15" s="872" t="n"/>
      <c r="E15" s="872" t="n"/>
      <c r="F15" s="872" t="n"/>
      <c r="G15" s="872" t="n"/>
      <c r="H15" s="872" t="n"/>
      <c r="I15" s="872" t="n"/>
      <c r="J15" s="872" t="n"/>
      <c r="K15" s="872" t="n"/>
      <c r="L15" s="872" t="n"/>
      <c r="M15" s="819" t="n"/>
      <c r="N15" s="63" t="n"/>
      <c r="P15" s="1068" t="inlineStr">
        <is>
          <t>Кликните на продукт, чтобы просмотреть изображение</t>
        </is>
      </c>
      <c r="AB15" s="51" t="n"/>
      <c r="AC15" s="51" t="n"/>
      <c r="AD15" s="51" t="n"/>
      <c r="AE15" s="51" t="n"/>
    </row>
    <row r="16" ht="18.75" customHeight="1">
      <c r="B16" s="6" t="n"/>
      <c r="C16" s="6" t="n"/>
      <c r="D16" s="5" t="n"/>
      <c r="E16" s="5" t="n"/>
      <c r="F16" s="5" t="n"/>
      <c r="G16" s="5" t="n"/>
      <c r="H16" s="7" t="n"/>
      <c r="I16" s="7" t="n"/>
      <c r="J16" s="7" t="n"/>
      <c r="K16" s="7" t="n"/>
      <c r="L16" s="7" t="n"/>
      <c r="M16" s="7" t="n"/>
      <c r="N16" s="7" t="n"/>
      <c r="O16" s="7" t="n"/>
      <c r="P16" s="1069" t="n"/>
      <c r="Q16" s="1069" t="n"/>
      <c r="R16" s="1069" t="n"/>
      <c r="S16" s="1069" t="n"/>
      <c r="T16" s="1069" t="n"/>
      <c r="U16" s="7" t="n"/>
      <c r="V16" s="7" t="n"/>
      <c r="W16" s="8" t="n"/>
      <c r="X16" s="9" t="n"/>
      <c r="Y16" s="9" t="n"/>
      <c r="Z16" s="9" t="n"/>
      <c r="AA16" s="9" t="n"/>
      <c r="AB16" s="9" t="n"/>
      <c r="AC16" s="9" t="n"/>
    </row>
    <row r="17" ht="27.75" customHeight="1">
      <c r="A17" s="790" t="inlineStr">
        <is>
          <t>Код единицы продаж</t>
        </is>
      </c>
      <c r="B17" s="790" t="inlineStr">
        <is>
          <t>Код продукта</t>
        </is>
      </c>
      <c r="C17" s="1082" t="inlineStr">
        <is>
          <t>Номер варианта</t>
        </is>
      </c>
      <c r="D17" s="790" t="inlineStr">
        <is>
          <t xml:space="preserve">Штрих-код </t>
        </is>
      </c>
      <c r="E17" s="824" t="n"/>
      <c r="F17" s="790" t="inlineStr">
        <is>
          <t>Вес нетто штуки, кг</t>
        </is>
      </c>
      <c r="G17" s="790" t="inlineStr">
        <is>
          <t>Кол-во штук в коробе, шт</t>
        </is>
      </c>
      <c r="H17" s="790" t="inlineStr">
        <is>
          <t>Вес нетто короба, кг</t>
        </is>
      </c>
      <c r="I17" s="790" t="inlineStr">
        <is>
          <t>Вес брутто короба, кг</t>
        </is>
      </c>
      <c r="J17" s="790" t="inlineStr">
        <is>
          <t>Кол-во кор. на паллте, шт</t>
        </is>
      </c>
      <c r="K17" s="790" t="inlineStr">
        <is>
          <t>Коробок в слое</t>
        </is>
      </c>
      <c r="L17" s="790" t="inlineStr">
        <is>
          <t>Квант заказа</t>
        </is>
      </c>
      <c r="M17" s="790" t="inlineStr">
        <is>
          <t>Завод</t>
        </is>
      </c>
      <c r="N17" s="790" t="inlineStr">
        <is>
          <t>Внешний код номенклатуры</t>
        </is>
      </c>
      <c r="O17" s="790" t="inlineStr">
        <is>
          <t>Срок годности, сут.</t>
        </is>
      </c>
      <c r="P17" s="790" t="inlineStr">
        <is>
          <t>Наименование</t>
        </is>
      </c>
      <c r="Q17" s="1125" t="n"/>
      <c r="R17" s="1125" t="n"/>
      <c r="S17" s="1125" t="n"/>
      <c r="T17" s="824" t="n"/>
      <c r="U17" s="818" t="inlineStr">
        <is>
          <t>Доступно к отгрузке</t>
        </is>
      </c>
      <c r="V17" s="819" t="n"/>
      <c r="W17" s="790" t="inlineStr">
        <is>
          <t>Ед. изм.</t>
        </is>
      </c>
      <c r="X17" s="790" t="inlineStr">
        <is>
          <t>Заказ</t>
        </is>
      </c>
      <c r="Y17" s="820" t="inlineStr">
        <is>
          <t>Заказ с округлением до короба</t>
        </is>
      </c>
      <c r="Z17" s="962" t="inlineStr">
        <is>
          <t>Объём заказа, м3</t>
        </is>
      </c>
      <c r="AA17" s="865" t="inlineStr">
        <is>
          <t>Примечание по продуктку</t>
        </is>
      </c>
      <c r="AB17" s="865" t="inlineStr">
        <is>
          <t>Признак "НОВИНКА"</t>
        </is>
      </c>
      <c r="AC17" s="865" t="inlineStr">
        <is>
          <t>Декларация/Сертификат</t>
        </is>
      </c>
      <c r="AD17" s="865" t="inlineStr">
        <is>
          <t>Для формул</t>
        </is>
      </c>
      <c r="AE17" s="866" t="n"/>
      <c r="AF17" s="867" t="n"/>
      <c r="AG17" s="66" t="n"/>
      <c r="BD17" s="65" t="inlineStr">
        <is>
          <t>Вид продукции</t>
        </is>
      </c>
    </row>
    <row r="18" ht="14.25" customHeight="1">
      <c r="A18" s="791" t="n"/>
      <c r="B18" s="791" t="n"/>
      <c r="C18" s="791" t="n"/>
      <c r="D18" s="825" t="n"/>
      <c r="E18" s="826" t="n"/>
      <c r="F18" s="791" t="n"/>
      <c r="G18" s="791" t="n"/>
      <c r="H18" s="791" t="n"/>
      <c r="I18" s="791" t="n"/>
      <c r="J18" s="791" t="n"/>
      <c r="K18" s="791" t="n"/>
      <c r="L18" s="791" t="n"/>
      <c r="M18" s="791" t="n"/>
      <c r="N18" s="791" t="n"/>
      <c r="O18" s="791" t="n"/>
      <c r="P18" s="825" t="n"/>
      <c r="Q18" s="1126" t="n"/>
      <c r="R18" s="1126" t="n"/>
      <c r="S18" s="1126" t="n"/>
      <c r="T18" s="826" t="n"/>
      <c r="U18" s="818" t="inlineStr">
        <is>
          <t>начиная с</t>
        </is>
      </c>
      <c r="V18" s="818" t="inlineStr">
        <is>
          <t>до</t>
        </is>
      </c>
      <c r="W18" s="791" t="n"/>
      <c r="X18" s="791" t="n"/>
      <c r="Y18" s="821" t="n"/>
      <c r="Z18" s="963" t="n"/>
      <c r="AA18" s="965" t="n"/>
      <c r="AB18" s="965" t="n"/>
      <c r="AC18" s="965" t="n"/>
      <c r="AD18" s="868" t="n"/>
      <c r="AE18" s="869" t="n"/>
      <c r="AF18" s="870" t="n"/>
      <c r="AG18" s="66" t="n"/>
      <c r="BD18" s="65" t="n"/>
    </row>
    <row r="19" ht="27.75" customHeight="1">
      <c r="A19" s="900" t="inlineStr">
        <is>
          <t>Ядрена копоть</t>
        </is>
      </c>
      <c r="B19" s="901" t="n"/>
      <c r="C19" s="901" t="n"/>
      <c r="D19" s="901" t="n"/>
      <c r="E19" s="901" t="n"/>
      <c r="F19" s="901" t="n"/>
      <c r="G19" s="901" t="n"/>
      <c r="H19" s="901" t="n"/>
      <c r="I19" s="901" t="n"/>
      <c r="J19" s="901" t="n"/>
      <c r="K19" s="901" t="n"/>
      <c r="L19" s="901" t="n"/>
      <c r="M19" s="901" t="n"/>
      <c r="N19" s="901" t="n"/>
      <c r="O19" s="901" t="n"/>
      <c r="P19" s="901" t="n"/>
      <c r="Q19" s="901" t="n"/>
      <c r="R19" s="901" t="n"/>
      <c r="S19" s="901" t="n"/>
      <c r="T19" s="901" t="n"/>
      <c r="U19" s="901" t="n"/>
      <c r="V19" s="901" t="n"/>
      <c r="W19" s="901" t="n"/>
      <c r="X19" s="901" t="n"/>
      <c r="Y19" s="901" t="n"/>
      <c r="Z19" s="901" t="n"/>
      <c r="AA19" s="48" t="n"/>
      <c r="AB19" s="48" t="n"/>
      <c r="AC19" s="48" t="n"/>
    </row>
    <row r="20" ht="16.5" customHeight="1">
      <c r="A20" s="807" t="inlineStr">
        <is>
          <t>Ядрена копоть</t>
        </is>
      </c>
      <c r="B20" s="800" t="n"/>
      <c r="C20" s="800" t="n"/>
      <c r="D20" s="800" t="n"/>
      <c r="E20" s="800" t="n"/>
      <c r="F20" s="800" t="n"/>
      <c r="G20" s="800" t="n"/>
      <c r="H20" s="800" t="n"/>
      <c r="I20" s="800" t="n"/>
      <c r="J20" s="800" t="n"/>
      <c r="K20" s="800" t="n"/>
      <c r="L20" s="800" t="n"/>
      <c r="M20" s="800" t="n"/>
      <c r="N20" s="800" t="n"/>
      <c r="O20" s="800" t="n"/>
      <c r="P20" s="800" t="n"/>
      <c r="Q20" s="800" t="n"/>
      <c r="R20" s="800" t="n"/>
      <c r="S20" s="800" t="n"/>
      <c r="T20" s="800" t="n"/>
      <c r="U20" s="800" t="n"/>
      <c r="V20" s="800" t="n"/>
      <c r="W20" s="800" t="n"/>
      <c r="X20" s="800" t="n"/>
      <c r="Y20" s="800" t="n"/>
      <c r="Z20" s="800" t="n"/>
      <c r="AA20" s="807" t="n"/>
      <c r="AB20" s="807" t="n"/>
      <c r="AC20" s="807" t="n"/>
    </row>
    <row r="21" ht="14.25" customHeight="1">
      <c r="A21" s="799" t="inlineStr">
        <is>
          <t>Копченые колбасы</t>
        </is>
      </c>
      <c r="B21" s="800" t="n"/>
      <c r="C21" s="800" t="n"/>
      <c r="D21" s="800" t="n"/>
      <c r="E21" s="800" t="n"/>
      <c r="F21" s="800" t="n"/>
      <c r="G21" s="800" t="n"/>
      <c r="H21" s="800" t="n"/>
      <c r="I21" s="800" t="n"/>
      <c r="J21" s="800" t="n"/>
      <c r="K21" s="800" t="n"/>
      <c r="L21" s="800" t="n"/>
      <c r="M21" s="800" t="n"/>
      <c r="N21" s="800" t="n"/>
      <c r="O21" s="800" t="n"/>
      <c r="P21" s="800" t="n"/>
      <c r="Q21" s="800" t="n"/>
      <c r="R21" s="800" t="n"/>
      <c r="S21" s="800" t="n"/>
      <c r="T21" s="800" t="n"/>
      <c r="U21" s="800" t="n"/>
      <c r="V21" s="800" t="n"/>
      <c r="W21" s="800" t="n"/>
      <c r="X21" s="800" t="n"/>
      <c r="Y21" s="800" t="n"/>
      <c r="Z21" s="800" t="n"/>
      <c r="AA21" s="799" t="n"/>
      <c r="AB21" s="799" t="n"/>
      <c r="AC21" s="799" t="n"/>
    </row>
    <row r="22" ht="27" customHeight="1">
      <c r="A22" s="54" t="inlineStr">
        <is>
          <t>SU003150</t>
        </is>
      </c>
      <c r="B22" s="54" t="inlineStr">
        <is>
          <t>P003736</t>
        </is>
      </c>
      <c r="C22" s="31" t="n">
        <v>4301051550</v>
      </c>
      <c r="D22" s="782" t="n">
        <v>4680115885004</v>
      </c>
      <c r="E22" s="783" t="n"/>
      <c r="F22" s="1220" t="n">
        <v>0.16</v>
      </c>
      <c r="G22" s="32" t="n">
        <v>10</v>
      </c>
      <c r="H22" s="1220" t="n">
        <v>1.6</v>
      </c>
      <c r="I22" s="1220" t="n">
        <v>1.7</v>
      </c>
      <c r="J22" s="32" t="n">
        <v>234</v>
      </c>
      <c r="K22" s="32" t="inlineStr">
        <is>
          <t>18</t>
        </is>
      </c>
      <c r="L22" s="32" t="n"/>
      <c r="M22" s="33" t="inlineStr">
        <is>
          <t>СК2</t>
        </is>
      </c>
      <c r="N22" s="33" t="n"/>
      <c r="O22" s="32" t="n">
        <v>40</v>
      </c>
      <c r="P22" s="958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/>
      </c>
      <c r="Q22" s="785" t="n"/>
      <c r="R22" s="785" t="n"/>
      <c r="S22" s="785" t="n"/>
      <c r="T22" s="786" t="n"/>
      <c r="U22" s="34" t="n"/>
      <c r="V22" s="34" t="n"/>
      <c r="W22" s="35" t="inlineStr">
        <is>
          <t>кг</t>
        </is>
      </c>
      <c r="X22" s="1221" t="n">
        <v>0</v>
      </c>
      <c r="Y22" s="1222">
        <f>IFERROR(IF(X22="",0,CEILING((X22/$H22),1)*$H22),"")</f>
        <v/>
      </c>
      <c r="Z22" s="36">
        <f>IFERROR(IF(Y22=0,"",ROUNDUP(Y22/H22,0)*0.00502),"")</f>
        <v/>
      </c>
      <c r="AA22" s="56" t="n"/>
      <c r="AB22" s="57" t="n"/>
      <c r="AC22" s="69" t="inlineStr">
        <is>
          <t>ЕАЭС N RU Д-RU.РА03.В.28458/22</t>
        </is>
      </c>
      <c r="AG22" s="64" t="n"/>
      <c r="AJ22" s="68" t="n"/>
      <c r="AK22" s="68" t="n">
        <v>0</v>
      </c>
      <c r="BB22" s="70" t="inlineStr">
        <is>
          <t>КИ</t>
        </is>
      </c>
      <c r="BM22" s="64">
        <f>IFERROR(X22*I22/H22,"0")</f>
        <v/>
      </c>
      <c r="BN22" s="64">
        <f>IFERROR(Y22*I22/H22,"0")</f>
        <v/>
      </c>
      <c r="BO22" s="64">
        <f>IFERROR(1/J22*(X22/H22),"0")</f>
        <v/>
      </c>
      <c r="BP22" s="64">
        <f>IFERROR(1/J22*(Y22/H22),"0")</f>
        <v/>
      </c>
    </row>
    <row r="23">
      <c r="A23" s="801" t="n"/>
      <c r="B23" s="800" t="n"/>
      <c r="C23" s="800" t="n"/>
      <c r="D23" s="800" t="n"/>
      <c r="E23" s="800" t="n"/>
      <c r="F23" s="800" t="n"/>
      <c r="G23" s="800" t="n"/>
      <c r="H23" s="800" t="n"/>
      <c r="I23" s="800" t="n"/>
      <c r="J23" s="800" t="n"/>
      <c r="K23" s="800" t="n"/>
      <c r="L23" s="800" t="n"/>
      <c r="M23" s="800" t="n"/>
      <c r="N23" s="800" t="n"/>
      <c r="O23" s="802" t="n"/>
      <c r="P23" s="796" t="inlineStr">
        <is>
          <t>Итого</t>
        </is>
      </c>
      <c r="Q23" s="793" t="n"/>
      <c r="R23" s="793" t="n"/>
      <c r="S23" s="793" t="n"/>
      <c r="T23" s="793" t="n"/>
      <c r="U23" s="793" t="n"/>
      <c r="V23" s="794" t="n"/>
      <c r="W23" s="37" t="inlineStr">
        <is>
          <t>кор</t>
        </is>
      </c>
      <c r="X23" s="1223">
        <f>IFERROR(X22/H22,"0")</f>
        <v/>
      </c>
      <c r="Y23" s="1223">
        <f>IFERROR(Y22/H22,"0")</f>
        <v/>
      </c>
      <c r="Z23" s="1223">
        <f>IFERROR(IF(Z22="",0,Z22),"0")</f>
        <v/>
      </c>
      <c r="AA23" s="1224" t="n"/>
      <c r="AB23" s="1224" t="n"/>
      <c r="AC23" s="1224" t="n"/>
    </row>
    <row r="24">
      <c r="A24" s="800" t="n"/>
      <c r="B24" s="800" t="n"/>
      <c r="C24" s="800" t="n"/>
      <c r="D24" s="800" t="n"/>
      <c r="E24" s="800" t="n"/>
      <c r="F24" s="800" t="n"/>
      <c r="G24" s="800" t="n"/>
      <c r="H24" s="800" t="n"/>
      <c r="I24" s="800" t="n"/>
      <c r="J24" s="800" t="n"/>
      <c r="K24" s="800" t="n"/>
      <c r="L24" s="800" t="n"/>
      <c r="M24" s="800" t="n"/>
      <c r="N24" s="800" t="n"/>
      <c r="O24" s="802" t="n"/>
      <c r="P24" s="796" t="inlineStr">
        <is>
          <t>Итого</t>
        </is>
      </c>
      <c r="Q24" s="793" t="n"/>
      <c r="R24" s="793" t="n"/>
      <c r="S24" s="793" t="n"/>
      <c r="T24" s="793" t="n"/>
      <c r="U24" s="793" t="n"/>
      <c r="V24" s="794" t="n"/>
      <c r="W24" s="37" t="inlineStr">
        <is>
          <t>кг</t>
        </is>
      </c>
      <c r="X24" s="1223">
        <f>IFERROR(SUM(X22:X22),"0")</f>
        <v/>
      </c>
      <c r="Y24" s="1223">
        <f>IFERROR(SUM(Y22:Y22),"0")</f>
        <v/>
      </c>
      <c r="Z24" s="37" t="n"/>
      <c r="AA24" s="1224" t="n"/>
      <c r="AB24" s="1224" t="n"/>
      <c r="AC24" s="1224" t="n"/>
    </row>
    <row r="25" ht="14.25" customHeight="1">
      <c r="A25" s="799" t="inlineStr">
        <is>
          <t>Сосиски</t>
        </is>
      </c>
      <c r="B25" s="800" t="n"/>
      <c r="C25" s="800" t="n"/>
      <c r="D25" s="800" t="n"/>
      <c r="E25" s="800" t="n"/>
      <c r="F25" s="800" t="n"/>
      <c r="G25" s="800" t="n"/>
      <c r="H25" s="800" t="n"/>
      <c r="I25" s="800" t="n"/>
      <c r="J25" s="800" t="n"/>
      <c r="K25" s="800" t="n"/>
      <c r="L25" s="800" t="n"/>
      <c r="M25" s="800" t="n"/>
      <c r="N25" s="800" t="n"/>
      <c r="O25" s="800" t="n"/>
      <c r="P25" s="800" t="n"/>
      <c r="Q25" s="800" t="n"/>
      <c r="R25" s="800" t="n"/>
      <c r="S25" s="800" t="n"/>
      <c r="T25" s="800" t="n"/>
      <c r="U25" s="800" t="n"/>
      <c r="V25" s="800" t="n"/>
      <c r="W25" s="800" t="n"/>
      <c r="X25" s="800" t="n"/>
      <c r="Y25" s="800" t="n"/>
      <c r="Z25" s="800" t="n"/>
      <c r="AA25" s="799" t="n"/>
      <c r="AB25" s="799" t="n"/>
      <c r="AC25" s="799" t="n"/>
    </row>
    <row r="26" ht="37.5" customHeight="1">
      <c r="A26" s="54" t="inlineStr">
        <is>
          <t>SU002155</t>
        </is>
      </c>
      <c r="B26" s="54" t="inlineStr">
        <is>
          <t>P003751</t>
        </is>
      </c>
      <c r="C26" s="31" t="n">
        <v>4301051558</v>
      </c>
      <c r="D26" s="782" t="n">
        <v>4607091383881</v>
      </c>
      <c r="E26" s="783" t="n"/>
      <c r="F26" s="1220" t="n">
        <v>0.33</v>
      </c>
      <c r="G26" s="32" t="n">
        <v>6</v>
      </c>
      <c r="H26" s="1220" t="n">
        <v>1.98</v>
      </c>
      <c r="I26" s="1220" t="n">
        <v>2.226</v>
      </c>
      <c r="J26" s="32" t="n">
        <v>182</v>
      </c>
      <c r="K26" s="32" t="inlineStr">
        <is>
          <t>14</t>
        </is>
      </c>
      <c r="L26" s="32" t="n"/>
      <c r="M26" s="33" t="inlineStr">
        <is>
          <t>СК3</t>
        </is>
      </c>
      <c r="N26" s="33" t="n"/>
      <c r="O26" s="32" t="n">
        <v>40</v>
      </c>
      <c r="P26" s="1023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/>
      </c>
      <c r="Q26" s="785" t="n"/>
      <c r="R26" s="785" t="n"/>
      <c r="S26" s="785" t="n"/>
      <c r="T26" s="786" t="n"/>
      <c r="U26" s="34" t="n"/>
      <c r="V26" s="34" t="n"/>
      <c r="W26" s="35" t="inlineStr">
        <is>
          <t>кг</t>
        </is>
      </c>
      <c r="X26" s="1221" t="n">
        <v>0</v>
      </c>
      <c r="Y26" s="1222">
        <f>IFERROR(IF(X26="",0,CEILING((X26/$H26),1)*$H26),"")</f>
        <v/>
      </c>
      <c r="Z26" s="36">
        <f>IFERROR(IF(Y26=0,"",ROUNDUP(Y26/H26,0)*0.00651),"")</f>
        <v/>
      </c>
      <c r="AA26" s="56" t="n"/>
      <c r="AB26" s="57" t="n"/>
      <c r="AC26" s="71" t="inlineStr">
        <is>
          <t>ЕАЭС N RU Д-RU.РА06.В.91067/23, ЕАЭС N RU Д-RU.РА08.В.78145/23, ЕАЭС N RU Д-RU.РА08.В.78433/23</t>
        </is>
      </c>
      <c r="AG26" s="64" t="n"/>
      <c r="AJ26" s="68" t="n"/>
      <c r="AK26" s="68" t="n">
        <v>0</v>
      </c>
      <c r="BB26" s="72" t="inlineStr">
        <is>
          <t>КИ</t>
        </is>
      </c>
      <c r="BM26" s="64">
        <f>IFERROR(X26*I26/H26,"0")</f>
        <v/>
      </c>
      <c r="BN26" s="64">
        <f>IFERROR(Y26*I26/H26,"0")</f>
        <v/>
      </c>
      <c r="BO26" s="64">
        <f>IFERROR(1/J26*(X26/H26),"0")</f>
        <v/>
      </c>
      <c r="BP26" s="64">
        <f>IFERROR(1/J26*(Y26/H26),"0")</f>
        <v/>
      </c>
    </row>
    <row r="27" ht="37.5" customHeight="1">
      <c r="A27" s="54" t="inlineStr">
        <is>
          <t>SU003664</t>
        </is>
      </c>
      <c r="B27" s="54" t="inlineStr">
        <is>
          <t>P004653</t>
        </is>
      </c>
      <c r="C27" s="31" t="n">
        <v>4301051865</v>
      </c>
      <c r="D27" s="782" t="n">
        <v>4680115885912</v>
      </c>
      <c r="E27" s="783" t="n"/>
      <c r="F27" s="1220" t="n">
        <v>0.3</v>
      </c>
      <c r="G27" s="32" t="n">
        <v>6</v>
      </c>
      <c r="H27" s="1220" t="n">
        <v>1.8</v>
      </c>
      <c r="I27" s="1220" t="n">
        <v>3.18</v>
      </c>
      <c r="J27" s="32" t="n">
        <v>182</v>
      </c>
      <c r="K27" s="32" t="inlineStr">
        <is>
          <t>14</t>
        </is>
      </c>
      <c r="L27" s="32" t="n"/>
      <c r="M27" s="33" t="inlineStr">
        <is>
          <t>СК2</t>
        </is>
      </c>
      <c r="N27" s="33" t="n"/>
      <c r="O27" s="32" t="n">
        <v>40</v>
      </c>
      <c r="P27" s="993">
        <f>HYPERLINK("https://abi.ru/products/Охлажденные/Ядрена копоть/Ядрена копоть/Сосиски/P004653/","Сосиски «Классические» Фикс.вес 0,3 ц/о мгс ТМ «Ядрена копоть»")</f>
        <v/>
      </c>
      <c r="Q27" s="785" t="n"/>
      <c r="R27" s="785" t="n"/>
      <c r="S27" s="785" t="n"/>
      <c r="T27" s="786" t="n"/>
      <c r="U27" s="34" t="n"/>
      <c r="V27" s="34" t="n"/>
      <c r="W27" s="35" t="inlineStr">
        <is>
          <t>кг</t>
        </is>
      </c>
      <c r="X27" s="1221" t="n">
        <v>0</v>
      </c>
      <c r="Y27" s="1222">
        <f>IFERROR(IF(X27="",0,CEILING((X27/$H27),1)*$H27),"")</f>
        <v/>
      </c>
      <c r="Z27" s="36">
        <f>IFERROR(IF(Y27=0,"",ROUNDUP(Y27/H27,0)*0.00651),"")</f>
        <v/>
      </c>
      <c r="AA27" s="56" t="n"/>
      <c r="AB27" s="57" t="n"/>
      <c r="AC27" s="73" t="inlineStr">
        <is>
          <t>ЕАЭС N RU Д-RU.РА06.В.91067/23, ЕАЭС N RU Д-RU.РА08.В.78145/23, ЕАЭС N RU Д-RU.РА08.В.78433/23</t>
        </is>
      </c>
      <c r="AG27" s="64" t="n"/>
      <c r="AJ27" s="68" t="n"/>
      <c r="AK27" s="68" t="n">
        <v>0</v>
      </c>
      <c r="BB27" s="74" t="inlineStr">
        <is>
          <t>КИ</t>
        </is>
      </c>
      <c r="BM27" s="64">
        <f>IFERROR(X27*I27/H27,"0")</f>
        <v/>
      </c>
      <c r="BN27" s="64">
        <f>IFERROR(Y27*I27/H27,"0")</f>
        <v/>
      </c>
      <c r="BO27" s="64">
        <f>IFERROR(1/J27*(X27/H27),"0")</f>
        <v/>
      </c>
      <c r="BP27" s="64">
        <f>IFERROR(1/J27*(Y27/H27),"0")</f>
        <v/>
      </c>
    </row>
    <row r="28" ht="27" customHeight="1">
      <c r="A28" s="54" t="inlineStr">
        <is>
          <t>SU000341</t>
        </is>
      </c>
      <c r="B28" s="54" t="inlineStr">
        <is>
          <t>P003752</t>
        </is>
      </c>
      <c r="C28" s="31" t="n">
        <v>4301051552</v>
      </c>
      <c r="D28" s="782" t="n">
        <v>4607091388237</v>
      </c>
      <c r="E28" s="783" t="n"/>
      <c r="F28" s="1220" t="n">
        <v>0.42</v>
      </c>
      <c r="G28" s="32" t="n">
        <v>6</v>
      </c>
      <c r="H28" s="1220" t="n">
        <v>2.52</v>
      </c>
      <c r="I28" s="1220" t="n">
        <v>2.766</v>
      </c>
      <c r="J28" s="32" t="n">
        <v>182</v>
      </c>
      <c r="K28" s="32" t="inlineStr">
        <is>
          <t>14</t>
        </is>
      </c>
      <c r="L28" s="32" t="n"/>
      <c r="M28" s="33" t="inlineStr">
        <is>
          <t>СК2</t>
        </is>
      </c>
      <c r="N28" s="33" t="n"/>
      <c r="O28" s="32" t="n">
        <v>40</v>
      </c>
      <c r="P28" s="1189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/>
      </c>
      <c r="Q28" s="785" t="n"/>
      <c r="R28" s="785" t="n"/>
      <c r="S28" s="785" t="n"/>
      <c r="T28" s="786" t="n"/>
      <c r="U28" s="34" t="n"/>
      <c r="V28" s="34" t="n"/>
      <c r="W28" s="35" t="inlineStr">
        <is>
          <t>кг</t>
        </is>
      </c>
      <c r="X28" s="1221" t="n">
        <v>0</v>
      </c>
      <c r="Y28" s="1222">
        <f>IFERROR(IF(X28="",0,CEILING((X28/$H28),1)*$H28),"")</f>
        <v/>
      </c>
      <c r="Z28" s="36">
        <f>IFERROR(IF(Y28=0,"",ROUNDUP(Y28/H28,0)*0.00651),"")</f>
        <v/>
      </c>
      <c r="AA28" s="56" t="n"/>
      <c r="AB28" s="57" t="n"/>
      <c r="AC28" s="75" t="inlineStr">
        <is>
          <t>ЕАЭС N RU Д-RU.РА06.В.91067/23, ЕАЭС N RU Д-RU.РА08.В.78145/23</t>
        </is>
      </c>
      <c r="AG28" s="64" t="n"/>
      <c r="AJ28" s="68" t="n"/>
      <c r="AK28" s="68" t="n">
        <v>0</v>
      </c>
      <c r="BB28" s="76" t="inlineStr">
        <is>
          <t>КИ</t>
        </is>
      </c>
      <c r="BM28" s="64">
        <f>IFERROR(X28*I28/H28,"0")</f>
        <v/>
      </c>
      <c r="BN28" s="64">
        <f>IFERROR(Y28*I28/H28,"0")</f>
        <v/>
      </c>
      <c r="BO28" s="64">
        <f>IFERROR(1/J28*(X28/H28),"0")</f>
        <v/>
      </c>
      <c r="BP28" s="64">
        <f>IFERROR(1/J28*(Y28/H28),"0")</f>
        <v/>
      </c>
    </row>
    <row r="29" ht="27" customHeight="1">
      <c r="A29" s="54" t="inlineStr">
        <is>
          <t>SU003821</t>
        </is>
      </c>
      <c r="B29" s="54" t="inlineStr">
        <is>
          <t>P004874</t>
        </is>
      </c>
      <c r="C29" s="31" t="n">
        <v>4301051907</v>
      </c>
      <c r="D29" s="782" t="n">
        <v>4680115886230</v>
      </c>
      <c r="E29" s="783" t="n"/>
      <c r="F29" s="1220" t="n">
        <v>0.3</v>
      </c>
      <c r="G29" s="32" t="n">
        <v>6</v>
      </c>
      <c r="H29" s="1220" t="n">
        <v>1.8</v>
      </c>
      <c r="I29" s="1220" t="n">
        <v>2.046</v>
      </c>
      <c r="J29" s="32" t="n">
        <v>182</v>
      </c>
      <c r="K29" s="32" t="inlineStr">
        <is>
          <t>14</t>
        </is>
      </c>
      <c r="L29" s="32" t="n"/>
      <c r="M29" s="33" t="inlineStr">
        <is>
          <t>СК2</t>
        </is>
      </c>
      <c r="N29" s="33" t="n"/>
      <c r="O29" s="32" t="n">
        <v>40</v>
      </c>
      <c r="P29" s="1165" t="inlineStr">
        <is>
          <t>Сосиски «С горчицей» Фикс.вес 0,3 вискофан ТМ «Ядрена копоть»</t>
        </is>
      </c>
      <c r="Q29" s="785" t="n"/>
      <c r="R29" s="785" t="n"/>
      <c r="S29" s="785" t="n"/>
      <c r="T29" s="786" t="n"/>
      <c r="U29" s="34" t="n"/>
      <c r="V29" s="34" t="n"/>
      <c r="W29" s="35" t="inlineStr">
        <is>
          <t>кг</t>
        </is>
      </c>
      <c r="X29" s="1221" t="n">
        <v>0</v>
      </c>
      <c r="Y29" s="1222">
        <f>IFERROR(IF(X29="",0,CEILING((X29/$H29),1)*$H29),"")</f>
        <v/>
      </c>
      <c r="Z29" s="36">
        <f>IFERROR(IF(Y29=0,"",ROUNDUP(Y29/H29,0)*0.00651),"")</f>
        <v/>
      </c>
      <c r="AA29" s="56" t="n"/>
      <c r="AB29" s="57" t="n"/>
      <c r="AC29" s="77" t="inlineStr">
        <is>
          <t>ЕАЭС N RU Д-RU.РА03.В.24952/24, ЕАЭС N RU Д-RU.РА04.В.77529/23</t>
        </is>
      </c>
      <c r="AG29" s="64" t="n"/>
      <c r="AJ29" s="68" t="n"/>
      <c r="AK29" s="68" t="n">
        <v>0</v>
      </c>
      <c r="BB29" s="78" t="inlineStr">
        <is>
          <t>КИ</t>
        </is>
      </c>
      <c r="BM29" s="64">
        <f>IFERROR(X29*I29/H29,"0")</f>
        <v/>
      </c>
      <c r="BN29" s="64">
        <f>IFERROR(Y29*I29/H29,"0")</f>
        <v/>
      </c>
      <c r="BO29" s="64">
        <f>IFERROR(1/J29*(X29/H29),"0")</f>
        <v/>
      </c>
      <c r="BP29" s="64">
        <f>IFERROR(1/J29*(Y29/H29),"0")</f>
        <v/>
      </c>
    </row>
    <row r="30" ht="27" customHeight="1">
      <c r="A30" s="54" t="inlineStr">
        <is>
          <t>SU003822</t>
        </is>
      </c>
      <c r="B30" s="54" t="inlineStr">
        <is>
          <t>P004875</t>
        </is>
      </c>
      <c r="C30" s="31" t="n">
        <v>4301051908</v>
      </c>
      <c r="D30" s="782" t="n">
        <v>4680115886278</v>
      </c>
      <c r="E30" s="783" t="n"/>
      <c r="F30" s="1220" t="n">
        <v>0.3</v>
      </c>
      <c r="G30" s="32" t="n">
        <v>6</v>
      </c>
      <c r="H30" s="1220" t="n">
        <v>1.8</v>
      </c>
      <c r="I30" s="1220" t="n">
        <v>2.046</v>
      </c>
      <c r="J30" s="32" t="n">
        <v>182</v>
      </c>
      <c r="K30" s="32" t="inlineStr">
        <is>
          <t>14</t>
        </is>
      </c>
      <c r="L30" s="32" t="n"/>
      <c r="M30" s="33" t="inlineStr">
        <is>
          <t>СК2</t>
        </is>
      </c>
      <c r="N30" s="33" t="n"/>
      <c r="O30" s="32" t="n">
        <v>40</v>
      </c>
      <c r="P30" s="1202" t="inlineStr">
        <is>
          <t>Сосиски «С кетчупом» Фикс.вес 0,3 вискофан ТМ «Ядрена копоть»</t>
        </is>
      </c>
      <c r="Q30" s="785" t="n"/>
      <c r="R30" s="785" t="n"/>
      <c r="S30" s="785" t="n"/>
      <c r="T30" s="786" t="n"/>
      <c r="U30" s="34" t="n"/>
      <c r="V30" s="34" t="n"/>
      <c r="W30" s="35" t="inlineStr">
        <is>
          <t>кг</t>
        </is>
      </c>
      <c r="X30" s="1221" t="n">
        <v>0</v>
      </c>
      <c r="Y30" s="1222">
        <f>IFERROR(IF(X30="",0,CEILING((X30/$H30),1)*$H30),"")</f>
        <v/>
      </c>
      <c r="Z30" s="36">
        <f>IFERROR(IF(Y30=0,"",ROUNDUP(Y30/H30,0)*0.00651),"")</f>
        <v/>
      </c>
      <c r="AA30" s="56" t="n"/>
      <c r="AB30" s="57" t="n"/>
      <c r="AC30" s="79" t="inlineStr">
        <is>
          <t>ЕАЭС N RU Д-RU.РА03.В.10865/23, ЕАЭС N RU Д-RU.РА04.В.74613/23</t>
        </is>
      </c>
      <c r="AG30" s="64" t="n"/>
      <c r="AJ30" s="68" t="n"/>
      <c r="AK30" s="68" t="n">
        <v>0</v>
      </c>
      <c r="BB30" s="80" t="inlineStr">
        <is>
          <t>КИ</t>
        </is>
      </c>
      <c r="BM30" s="64">
        <f>IFERROR(X30*I30/H30,"0")</f>
        <v/>
      </c>
      <c r="BN30" s="64">
        <f>IFERROR(Y30*I30/H30,"0")</f>
        <v/>
      </c>
      <c r="BO30" s="64">
        <f>IFERROR(1/J30*(X30/H30),"0")</f>
        <v/>
      </c>
      <c r="BP30" s="64">
        <f>IFERROR(1/J30*(Y30/H30),"0")</f>
        <v/>
      </c>
    </row>
    <row r="31" ht="27" customHeight="1">
      <c r="A31" s="54" t="inlineStr">
        <is>
          <t>SU003820</t>
        </is>
      </c>
      <c r="B31" s="54" t="inlineStr">
        <is>
          <t>P004876</t>
        </is>
      </c>
      <c r="C31" s="31" t="n">
        <v>4301051909</v>
      </c>
      <c r="D31" s="782" t="n">
        <v>4680115886247</v>
      </c>
      <c r="E31" s="783" t="n"/>
      <c r="F31" s="1220" t="n">
        <v>0.3</v>
      </c>
      <c r="G31" s="32" t="n">
        <v>6</v>
      </c>
      <c r="H31" s="1220" t="n">
        <v>1.8</v>
      </c>
      <c r="I31" s="1220" t="n">
        <v>2.046</v>
      </c>
      <c r="J31" s="32" t="n">
        <v>182</v>
      </c>
      <c r="K31" s="32" t="inlineStr">
        <is>
          <t>14</t>
        </is>
      </c>
      <c r="L31" s="32" t="n"/>
      <c r="M31" s="33" t="inlineStr">
        <is>
          <t>СК2</t>
        </is>
      </c>
      <c r="N31" s="33" t="n"/>
      <c r="O31" s="32" t="n">
        <v>40</v>
      </c>
      <c r="P31" s="1153" t="inlineStr">
        <is>
          <t>Сосиски «С соусом Барбекю» Фикс.вес 0,3 вискофан ТМ «Ядрена копоть»</t>
        </is>
      </c>
      <c r="Q31" s="785" t="n"/>
      <c r="R31" s="785" t="n"/>
      <c r="S31" s="785" t="n"/>
      <c r="T31" s="786" t="n"/>
      <c r="U31" s="34" t="n"/>
      <c r="V31" s="34" t="n"/>
      <c r="W31" s="35" t="inlineStr">
        <is>
          <t>кг</t>
        </is>
      </c>
      <c r="X31" s="1221" t="n">
        <v>0</v>
      </c>
      <c r="Y31" s="1222">
        <f>IFERROR(IF(X31="",0,CEILING((X31/$H31),1)*$H31),"")</f>
        <v/>
      </c>
      <c r="Z31" s="36">
        <f>IFERROR(IF(Y31=0,"",ROUNDUP(Y31/H31,0)*0.00651),"")</f>
        <v/>
      </c>
      <c r="AA31" s="56" t="n"/>
      <c r="AB31" s="57" t="n"/>
      <c r="AC31" s="81" t="inlineStr">
        <is>
          <t>ЕАЭС N RU Д-RU.РА03.В.10942/23, ЕАЭС N RU Д-RU.РА04.В.77492/23</t>
        </is>
      </c>
      <c r="AG31" s="64" t="n"/>
      <c r="AJ31" s="68" t="n"/>
      <c r="AK31" s="68" t="n">
        <v>0</v>
      </c>
      <c r="BB31" s="82" t="inlineStr">
        <is>
          <t>КИ</t>
        </is>
      </c>
      <c r="BM31" s="64">
        <f>IFERROR(X31*I31/H31,"0")</f>
        <v/>
      </c>
      <c r="BN31" s="64">
        <f>IFERROR(Y31*I31/H31,"0")</f>
        <v/>
      </c>
      <c r="BO31" s="64">
        <f>IFERROR(1/J31*(X31/H31),"0")</f>
        <v/>
      </c>
      <c r="BP31" s="64">
        <f>IFERROR(1/J31*(Y31/H31),"0")</f>
        <v/>
      </c>
    </row>
    <row r="32" ht="27" customHeight="1">
      <c r="A32" s="54" t="inlineStr">
        <is>
          <t>SU002154</t>
        </is>
      </c>
      <c r="B32" s="54" t="inlineStr">
        <is>
          <t>P003879</t>
        </is>
      </c>
      <c r="C32" s="31" t="n">
        <v>4301051593</v>
      </c>
      <c r="D32" s="782" t="n">
        <v>4607091383911</v>
      </c>
      <c r="E32" s="783" t="n"/>
      <c r="F32" s="1220" t="n">
        <v>0.33</v>
      </c>
      <c r="G32" s="32" t="n">
        <v>6</v>
      </c>
      <c r="H32" s="1220" t="n">
        <v>1.98</v>
      </c>
      <c r="I32" s="1220" t="n">
        <v>2.226</v>
      </c>
      <c r="J32" s="32" t="n">
        <v>182</v>
      </c>
      <c r="K32" s="32" t="inlineStr">
        <is>
          <t>14</t>
        </is>
      </c>
      <c r="L32" s="32" t="n"/>
      <c r="M32" s="33" t="inlineStr">
        <is>
          <t>СК2</t>
        </is>
      </c>
      <c r="N32" s="33" t="n"/>
      <c r="O32" s="32" t="n">
        <v>40</v>
      </c>
      <c r="P32" s="1173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/>
      </c>
      <c r="Q32" s="785" t="n"/>
      <c r="R32" s="785" t="n"/>
      <c r="S32" s="785" t="n"/>
      <c r="T32" s="786" t="n"/>
      <c r="U32" s="34" t="n"/>
      <c r="V32" s="34" t="n"/>
      <c r="W32" s="35" t="inlineStr">
        <is>
          <t>кг</t>
        </is>
      </c>
      <c r="X32" s="1221" t="n">
        <v>0</v>
      </c>
      <c r="Y32" s="1222">
        <f>IFERROR(IF(X32="",0,CEILING((X32/$H32),1)*$H32),"")</f>
        <v/>
      </c>
      <c r="Z32" s="36">
        <f>IFERROR(IF(Y32=0,"",ROUNDUP(Y32/H32,0)*0.00651),"")</f>
        <v/>
      </c>
      <c r="AA32" s="56" t="n"/>
      <c r="AB32" s="57" t="n"/>
      <c r="AC32" s="83" t="inlineStr">
        <is>
          <t>ЕАЭС N RU Д-RU.РА06.В.92094/23, ЕАЭС N RU Д-RU.РА08.В.79642/23</t>
        </is>
      </c>
      <c r="AG32" s="64" t="n"/>
      <c r="AJ32" s="68" t="n"/>
      <c r="AK32" s="68" t="n">
        <v>0</v>
      </c>
      <c r="BB32" s="84" t="inlineStr">
        <is>
          <t>КИ</t>
        </is>
      </c>
      <c r="BM32" s="64">
        <f>IFERROR(X32*I32/H32,"0")</f>
        <v/>
      </c>
      <c r="BN32" s="64">
        <f>IFERROR(Y32*I32/H32,"0")</f>
        <v/>
      </c>
      <c r="BO32" s="64">
        <f>IFERROR(1/J32*(X32/H32),"0")</f>
        <v/>
      </c>
      <c r="BP32" s="64">
        <f>IFERROR(1/J32*(Y32/H32),"0")</f>
        <v/>
      </c>
    </row>
    <row r="33" ht="27" customHeight="1">
      <c r="A33" s="54" t="inlineStr">
        <is>
          <t>SU003665</t>
        </is>
      </c>
      <c r="B33" s="54" t="inlineStr">
        <is>
          <t>P004642</t>
        </is>
      </c>
      <c r="C33" s="31" t="n">
        <v>4301051861</v>
      </c>
      <c r="D33" s="782" t="n">
        <v>4680115885905</v>
      </c>
      <c r="E33" s="783" t="n"/>
      <c r="F33" s="1220" t="n">
        <v>0.3</v>
      </c>
      <c r="G33" s="32" t="n">
        <v>6</v>
      </c>
      <c r="H33" s="1220" t="n">
        <v>1.8</v>
      </c>
      <c r="I33" s="1220" t="n">
        <v>3.18</v>
      </c>
      <c r="J33" s="32" t="n">
        <v>182</v>
      </c>
      <c r="K33" s="32" t="inlineStr">
        <is>
          <t>14</t>
        </is>
      </c>
      <c r="L33" s="32" t="n"/>
      <c r="M33" s="33" t="inlineStr">
        <is>
          <t>СК2</t>
        </is>
      </c>
      <c r="N33" s="33" t="n"/>
      <c r="O33" s="32" t="n">
        <v>40</v>
      </c>
      <c r="P33" s="926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/>
      </c>
      <c r="Q33" s="785" t="n"/>
      <c r="R33" s="785" t="n"/>
      <c r="S33" s="785" t="n"/>
      <c r="T33" s="786" t="n"/>
      <c r="U33" s="34" t="n"/>
      <c r="V33" s="34" t="n"/>
      <c r="W33" s="35" t="inlineStr">
        <is>
          <t>кг</t>
        </is>
      </c>
      <c r="X33" s="1221" t="n">
        <v>0</v>
      </c>
      <c r="Y33" s="1222">
        <f>IFERROR(IF(X33="",0,CEILING((X33/$H33),1)*$H33),"")</f>
        <v/>
      </c>
      <c r="Z33" s="36">
        <f>IFERROR(IF(Y33=0,"",ROUNDUP(Y33/H33,0)*0.00651),"")</f>
        <v/>
      </c>
      <c r="AA33" s="56" t="n"/>
      <c r="AB33" s="57" t="n"/>
      <c r="AC33" s="85" t="inlineStr">
        <is>
          <t>ЕАЭС N RU Д-RU.РА06.В.92094/23, ЕАЭС N RU Д-RU.РА08.В.79642/23</t>
        </is>
      </c>
      <c r="AG33" s="64" t="n"/>
      <c r="AJ33" s="68" t="n"/>
      <c r="AK33" s="68" t="n">
        <v>0</v>
      </c>
      <c r="BB33" s="86" t="inlineStr">
        <is>
          <t>КИ</t>
        </is>
      </c>
      <c r="BM33" s="64">
        <f>IFERROR(X33*I33/H33,"0")</f>
        <v/>
      </c>
      <c r="BN33" s="64">
        <f>IFERROR(Y33*I33/H33,"0")</f>
        <v/>
      </c>
      <c r="BO33" s="64">
        <f>IFERROR(1/J33*(X33/H33),"0")</f>
        <v/>
      </c>
      <c r="BP33" s="64">
        <f>IFERROR(1/J33*(Y33/H33),"0")</f>
        <v/>
      </c>
    </row>
    <row r="34" ht="37.5" customHeight="1">
      <c r="A34" s="54" t="inlineStr">
        <is>
          <t>SU000152</t>
        </is>
      </c>
      <c r="B34" s="54" t="inlineStr">
        <is>
          <t>P003878</t>
        </is>
      </c>
      <c r="C34" s="31" t="n">
        <v>4301051592</v>
      </c>
      <c r="D34" s="782" t="n">
        <v>4607091388244</v>
      </c>
      <c r="E34" s="783" t="n"/>
      <c r="F34" s="1220" t="n">
        <v>0.42</v>
      </c>
      <c r="G34" s="32" t="n">
        <v>6</v>
      </c>
      <c r="H34" s="1220" t="n">
        <v>2.52</v>
      </c>
      <c r="I34" s="1220" t="n">
        <v>2.766</v>
      </c>
      <c r="J34" s="32" t="n">
        <v>182</v>
      </c>
      <c r="K34" s="32" t="inlineStr">
        <is>
          <t>14</t>
        </is>
      </c>
      <c r="L34" s="32" t="n"/>
      <c r="M34" s="33" t="inlineStr">
        <is>
          <t>СК2</t>
        </is>
      </c>
      <c r="N34" s="33" t="n"/>
      <c r="O34" s="32" t="n">
        <v>40</v>
      </c>
      <c r="P34" s="980">
        <f>HYPERLINK("https://abi.ru/products/Охлажденные/Ядрена копоть/Ядрена копоть/Сосиски/P003878/","Сосиски «Сосиски с сыром» Фикс.вес 0,42 ц/о мгс ТМ Ядрена копоть")</f>
        <v/>
      </c>
      <c r="Q34" s="785" t="n"/>
      <c r="R34" s="785" t="n"/>
      <c r="S34" s="785" t="n"/>
      <c r="T34" s="786" t="n"/>
      <c r="U34" s="34" t="n"/>
      <c r="V34" s="34" t="n"/>
      <c r="W34" s="35" t="inlineStr">
        <is>
          <t>кг</t>
        </is>
      </c>
      <c r="X34" s="1221" t="n">
        <v>0</v>
      </c>
      <c r="Y34" s="1222">
        <f>IFERROR(IF(X34="",0,CEILING((X34/$H34),1)*$H34),"")</f>
        <v/>
      </c>
      <c r="Z34" s="36">
        <f>IFERROR(IF(Y34=0,"",ROUNDUP(Y34/H34,0)*0.00651),"")</f>
        <v/>
      </c>
      <c r="AA34" s="56" t="n"/>
      <c r="AB34" s="57" t="n"/>
      <c r="AC34" s="87" t="inlineStr">
        <is>
          <t>ЕАЭС N RU Д-RU.РА06.В.92094/23, ЕАЭС N RU Д-RU.РА08.В.79286/23, ЕАЭС N RU Д-RU.РА08.В.79642/23</t>
        </is>
      </c>
      <c r="AG34" s="64" t="n"/>
      <c r="AJ34" s="68" t="n"/>
      <c r="AK34" s="68" t="n">
        <v>0</v>
      </c>
      <c r="BB34" s="88" t="inlineStr">
        <is>
          <t>КИ</t>
        </is>
      </c>
      <c r="BM34" s="64">
        <f>IFERROR(X34*I34/H34,"0")</f>
        <v/>
      </c>
      <c r="BN34" s="64">
        <f>IFERROR(Y34*I34/H34,"0")</f>
        <v/>
      </c>
      <c r="BO34" s="64">
        <f>IFERROR(1/J34*(X34/H34),"0")</f>
        <v/>
      </c>
      <c r="BP34" s="64">
        <f>IFERROR(1/J34*(Y34/H34),"0")</f>
        <v/>
      </c>
    </row>
    <row r="35">
      <c r="A35" s="801" t="n"/>
      <c r="B35" s="800" t="n"/>
      <c r="C35" s="800" t="n"/>
      <c r="D35" s="800" t="n"/>
      <c r="E35" s="800" t="n"/>
      <c r="F35" s="800" t="n"/>
      <c r="G35" s="800" t="n"/>
      <c r="H35" s="800" t="n"/>
      <c r="I35" s="800" t="n"/>
      <c r="J35" s="800" t="n"/>
      <c r="K35" s="800" t="n"/>
      <c r="L35" s="800" t="n"/>
      <c r="M35" s="800" t="n"/>
      <c r="N35" s="800" t="n"/>
      <c r="O35" s="802" t="n"/>
      <c r="P35" s="796" t="inlineStr">
        <is>
          <t>Итого</t>
        </is>
      </c>
      <c r="Q35" s="793" t="n"/>
      <c r="R35" s="793" t="n"/>
      <c r="S35" s="793" t="n"/>
      <c r="T35" s="793" t="n"/>
      <c r="U35" s="793" t="n"/>
      <c r="V35" s="794" t="n"/>
      <c r="W35" s="37" t="inlineStr">
        <is>
          <t>кор</t>
        </is>
      </c>
      <c r="X35" s="1223">
        <f>IFERROR(X26/H26,"0")+IFERROR(X27/H27,"0")+IFERROR(X28/H28,"0")+IFERROR(X29/H29,"0")+IFERROR(X30/H30,"0")+IFERROR(X31/H31,"0")+IFERROR(X32/H32,"0")+IFERROR(X33/H33,"0")+IFERROR(X34/H34,"0")</f>
        <v/>
      </c>
      <c r="Y35" s="1223">
        <f>IFERROR(Y26/H26,"0")+IFERROR(Y27/H27,"0")+IFERROR(Y28/H28,"0")+IFERROR(Y29/H29,"0")+IFERROR(Y30/H30,"0")+IFERROR(Y31/H31,"0")+IFERROR(Y32/H32,"0")+IFERROR(Y33/H33,"0")+IFERROR(Y34/H34,"0")</f>
        <v/>
      </c>
      <c r="Z35" s="122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/>
      </c>
      <c r="AA35" s="1224" t="n"/>
      <c r="AB35" s="1224" t="n"/>
      <c r="AC35" s="1224" t="n"/>
    </row>
    <row r="36">
      <c r="A36" s="800" t="n"/>
      <c r="B36" s="800" t="n"/>
      <c r="C36" s="800" t="n"/>
      <c r="D36" s="800" t="n"/>
      <c r="E36" s="800" t="n"/>
      <c r="F36" s="800" t="n"/>
      <c r="G36" s="800" t="n"/>
      <c r="H36" s="800" t="n"/>
      <c r="I36" s="800" t="n"/>
      <c r="J36" s="800" t="n"/>
      <c r="K36" s="800" t="n"/>
      <c r="L36" s="800" t="n"/>
      <c r="M36" s="800" t="n"/>
      <c r="N36" s="800" t="n"/>
      <c r="O36" s="802" t="n"/>
      <c r="P36" s="796" t="inlineStr">
        <is>
          <t>Итого</t>
        </is>
      </c>
      <c r="Q36" s="793" t="n"/>
      <c r="R36" s="793" t="n"/>
      <c r="S36" s="793" t="n"/>
      <c r="T36" s="793" t="n"/>
      <c r="U36" s="793" t="n"/>
      <c r="V36" s="794" t="n"/>
      <c r="W36" s="37" t="inlineStr">
        <is>
          <t>кг</t>
        </is>
      </c>
      <c r="X36" s="1223">
        <f>IFERROR(SUM(X26:X34),"0")</f>
        <v/>
      </c>
      <c r="Y36" s="1223">
        <f>IFERROR(SUM(Y26:Y34),"0")</f>
        <v/>
      </c>
      <c r="Z36" s="37" t="n"/>
      <c r="AA36" s="1224" t="n"/>
      <c r="AB36" s="1224" t="n"/>
      <c r="AC36" s="1224" t="n"/>
    </row>
    <row r="37" ht="14.25" customHeight="1">
      <c r="A37" s="799" t="inlineStr">
        <is>
          <t>Сырокопченые колбасы</t>
        </is>
      </c>
      <c r="B37" s="800" t="n"/>
      <c r="C37" s="800" t="n"/>
      <c r="D37" s="800" t="n"/>
      <c r="E37" s="800" t="n"/>
      <c r="F37" s="800" t="n"/>
      <c r="G37" s="800" t="n"/>
      <c r="H37" s="800" t="n"/>
      <c r="I37" s="800" t="n"/>
      <c r="J37" s="800" t="n"/>
      <c r="K37" s="800" t="n"/>
      <c r="L37" s="800" t="n"/>
      <c r="M37" s="800" t="n"/>
      <c r="N37" s="800" t="n"/>
      <c r="O37" s="800" t="n"/>
      <c r="P37" s="800" t="n"/>
      <c r="Q37" s="800" t="n"/>
      <c r="R37" s="800" t="n"/>
      <c r="S37" s="800" t="n"/>
      <c r="T37" s="800" t="n"/>
      <c r="U37" s="800" t="n"/>
      <c r="V37" s="800" t="n"/>
      <c r="W37" s="800" t="n"/>
      <c r="X37" s="800" t="n"/>
      <c r="Y37" s="800" t="n"/>
      <c r="Z37" s="800" t="n"/>
      <c r="AA37" s="799" t="n"/>
      <c r="AB37" s="799" t="n"/>
      <c r="AC37" s="799" t="n"/>
    </row>
    <row r="38" ht="27" customHeight="1">
      <c r="A38" s="54" t="inlineStr">
        <is>
          <t>SU002050</t>
        </is>
      </c>
      <c r="B38" s="54" t="inlineStr">
        <is>
          <t>P002188</t>
        </is>
      </c>
      <c r="C38" s="31" t="n">
        <v>4301032013</v>
      </c>
      <c r="D38" s="782" t="n">
        <v>4607091388503</v>
      </c>
      <c r="E38" s="783" t="n"/>
      <c r="F38" s="1220" t="n">
        <v>0.05</v>
      </c>
      <c r="G38" s="32" t="n">
        <v>12</v>
      </c>
      <c r="H38" s="1220" t="n">
        <v>0.6</v>
      </c>
      <c r="I38" s="1220" t="n">
        <v>0.822</v>
      </c>
      <c r="J38" s="32" t="n">
        <v>182</v>
      </c>
      <c r="K38" s="32" t="inlineStr">
        <is>
          <t>14</t>
        </is>
      </c>
      <c r="L38" s="32" t="n"/>
      <c r="M38" s="33" t="inlineStr">
        <is>
          <t>АК</t>
        </is>
      </c>
      <c r="N38" s="33" t="n"/>
      <c r="O38" s="32" t="n">
        <v>120</v>
      </c>
      <c r="P38" s="951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Q38" s="785" t="n"/>
      <c r="R38" s="785" t="n"/>
      <c r="S38" s="785" t="n"/>
      <c r="T38" s="786" t="n"/>
      <c r="U38" s="34" t="n"/>
      <c r="V38" s="34" t="n"/>
      <c r="W38" s="35" t="inlineStr">
        <is>
          <t>кг</t>
        </is>
      </c>
      <c r="X38" s="1221" t="n">
        <v>0</v>
      </c>
      <c r="Y38" s="1222">
        <f>IFERROR(IF(X38="",0,CEILING((X38/$H38),1)*$H38),"")</f>
        <v/>
      </c>
      <c r="Z38" s="36">
        <f>IFERROR(IF(Y38=0,"",ROUNDUP(Y38/H38,0)*0.00651),"")</f>
        <v/>
      </c>
      <c r="AA38" s="56" t="n"/>
      <c r="AB38" s="57" t="n"/>
      <c r="AC38" s="89" t="inlineStr">
        <is>
          <t>ЕАЭС N RU Д-RU.РА01.В.14797/20</t>
        </is>
      </c>
      <c r="AG38" s="64" t="n"/>
      <c r="AJ38" s="68" t="n"/>
      <c r="AK38" s="68" t="n">
        <v>0</v>
      </c>
      <c r="BB38" s="90" t="inlineStr">
        <is>
          <t>СНК</t>
        </is>
      </c>
      <c r="BM38" s="64">
        <f>IFERROR(X38*I38/H38,"0")</f>
        <v/>
      </c>
      <c r="BN38" s="64">
        <f>IFERROR(Y38*I38/H38,"0")</f>
        <v/>
      </c>
      <c r="BO38" s="64">
        <f>IFERROR(1/J38*(X38/H38),"0")</f>
        <v/>
      </c>
      <c r="BP38" s="64">
        <f>IFERROR(1/J38*(Y38/H38),"0")</f>
        <v/>
      </c>
    </row>
    <row r="39">
      <c r="A39" s="801" t="n"/>
      <c r="B39" s="800" t="n"/>
      <c r="C39" s="800" t="n"/>
      <c r="D39" s="800" t="n"/>
      <c r="E39" s="800" t="n"/>
      <c r="F39" s="800" t="n"/>
      <c r="G39" s="800" t="n"/>
      <c r="H39" s="800" t="n"/>
      <c r="I39" s="800" t="n"/>
      <c r="J39" s="800" t="n"/>
      <c r="K39" s="800" t="n"/>
      <c r="L39" s="800" t="n"/>
      <c r="M39" s="800" t="n"/>
      <c r="N39" s="800" t="n"/>
      <c r="O39" s="802" t="n"/>
      <c r="P39" s="796" t="inlineStr">
        <is>
          <t>Итого</t>
        </is>
      </c>
      <c r="Q39" s="793" t="n"/>
      <c r="R39" s="793" t="n"/>
      <c r="S39" s="793" t="n"/>
      <c r="T39" s="793" t="n"/>
      <c r="U39" s="793" t="n"/>
      <c r="V39" s="794" t="n"/>
      <c r="W39" s="37" t="inlineStr">
        <is>
          <t>кор</t>
        </is>
      </c>
      <c r="X39" s="1223">
        <f>IFERROR(X38/H38,"0")</f>
        <v/>
      </c>
      <c r="Y39" s="1223">
        <f>IFERROR(Y38/H38,"0")</f>
        <v/>
      </c>
      <c r="Z39" s="1223">
        <f>IFERROR(IF(Z38="",0,Z38),"0")</f>
        <v/>
      </c>
      <c r="AA39" s="1224" t="n"/>
      <c r="AB39" s="1224" t="n"/>
      <c r="AC39" s="1224" t="n"/>
    </row>
    <row r="40">
      <c r="A40" s="800" t="n"/>
      <c r="B40" s="800" t="n"/>
      <c r="C40" s="800" t="n"/>
      <c r="D40" s="800" t="n"/>
      <c r="E40" s="800" t="n"/>
      <c r="F40" s="800" t="n"/>
      <c r="G40" s="800" t="n"/>
      <c r="H40" s="800" t="n"/>
      <c r="I40" s="800" t="n"/>
      <c r="J40" s="800" t="n"/>
      <c r="K40" s="800" t="n"/>
      <c r="L40" s="800" t="n"/>
      <c r="M40" s="800" t="n"/>
      <c r="N40" s="800" t="n"/>
      <c r="O40" s="802" t="n"/>
      <c r="P40" s="796" t="inlineStr">
        <is>
          <t>Итого</t>
        </is>
      </c>
      <c r="Q40" s="793" t="n"/>
      <c r="R40" s="793" t="n"/>
      <c r="S40" s="793" t="n"/>
      <c r="T40" s="793" t="n"/>
      <c r="U40" s="793" t="n"/>
      <c r="V40" s="794" t="n"/>
      <c r="W40" s="37" t="inlineStr">
        <is>
          <t>кг</t>
        </is>
      </c>
      <c r="X40" s="1223">
        <f>IFERROR(SUM(X38:X38),"0")</f>
        <v/>
      </c>
      <c r="Y40" s="1223">
        <f>IFERROR(SUM(Y38:Y38),"0")</f>
        <v/>
      </c>
      <c r="Z40" s="37" t="n"/>
      <c r="AA40" s="1224" t="n"/>
      <c r="AB40" s="1224" t="n"/>
      <c r="AC40" s="1224" t="n"/>
    </row>
    <row r="41" ht="14.25" customHeight="1">
      <c r="A41" s="799" t="inlineStr">
        <is>
          <t>Сыровяленые колбасы</t>
        </is>
      </c>
      <c r="B41" s="800" t="n"/>
      <c r="C41" s="800" t="n"/>
      <c r="D41" s="800" t="n"/>
      <c r="E41" s="800" t="n"/>
      <c r="F41" s="800" t="n"/>
      <c r="G41" s="800" t="n"/>
      <c r="H41" s="800" t="n"/>
      <c r="I41" s="800" t="n"/>
      <c r="J41" s="800" t="n"/>
      <c r="K41" s="800" t="n"/>
      <c r="L41" s="800" t="n"/>
      <c r="M41" s="800" t="n"/>
      <c r="N41" s="800" t="n"/>
      <c r="O41" s="800" t="n"/>
      <c r="P41" s="800" t="n"/>
      <c r="Q41" s="800" t="n"/>
      <c r="R41" s="800" t="n"/>
      <c r="S41" s="800" t="n"/>
      <c r="T41" s="800" t="n"/>
      <c r="U41" s="800" t="n"/>
      <c r="V41" s="800" t="n"/>
      <c r="W41" s="800" t="n"/>
      <c r="X41" s="800" t="n"/>
      <c r="Y41" s="800" t="n"/>
      <c r="Z41" s="800" t="n"/>
      <c r="AA41" s="799" t="n"/>
      <c r="AB41" s="799" t="n"/>
      <c r="AC41" s="799" t="n"/>
    </row>
    <row r="42" ht="27" customHeight="1">
      <c r="A42" s="54" t="inlineStr">
        <is>
          <t>SU002049</t>
        </is>
      </c>
      <c r="B42" s="54" t="inlineStr">
        <is>
          <t>P002191</t>
        </is>
      </c>
      <c r="C42" s="31" t="n">
        <v>4301170002</v>
      </c>
      <c r="D42" s="782" t="n">
        <v>4607091389111</v>
      </c>
      <c r="E42" s="783" t="n"/>
      <c r="F42" s="1220" t="n">
        <v>0.025</v>
      </c>
      <c r="G42" s="32" t="n">
        <v>10</v>
      </c>
      <c r="H42" s="1220" t="n">
        <v>0.25</v>
      </c>
      <c r="I42" s="1220" t="n">
        <v>0.472</v>
      </c>
      <c r="J42" s="32" t="n">
        <v>182</v>
      </c>
      <c r="K42" s="32" t="inlineStr">
        <is>
          <t>14</t>
        </is>
      </c>
      <c r="L42" s="32" t="n"/>
      <c r="M42" s="33" t="inlineStr">
        <is>
          <t>АК</t>
        </is>
      </c>
      <c r="N42" s="33" t="n"/>
      <c r="O42" s="32" t="n">
        <v>120</v>
      </c>
      <c r="P42" s="1135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Q42" s="785" t="n"/>
      <c r="R42" s="785" t="n"/>
      <c r="S42" s="785" t="n"/>
      <c r="T42" s="786" t="n"/>
      <c r="U42" s="34" t="n"/>
      <c r="V42" s="34" t="n"/>
      <c r="W42" s="35" t="inlineStr">
        <is>
          <t>кг</t>
        </is>
      </c>
      <c r="X42" s="1221" t="n">
        <v>0</v>
      </c>
      <c r="Y42" s="1222">
        <f>IFERROR(IF(X42="",0,CEILING((X42/$H42),1)*$H42),"")</f>
        <v/>
      </c>
      <c r="Z42" s="36">
        <f>IFERROR(IF(Y42=0,"",ROUNDUP(Y42/H42,0)*0.00651),"")</f>
        <v/>
      </c>
      <c r="AA42" s="56" t="n"/>
      <c r="AB42" s="57" t="n"/>
      <c r="AC42" s="91" t="inlineStr">
        <is>
          <t>ЕАЭС N RU Д-RU.РА01.В.14797/20</t>
        </is>
      </c>
      <c r="AG42" s="64" t="n"/>
      <c r="AJ42" s="68" t="n"/>
      <c r="AK42" s="68" t="n">
        <v>0</v>
      </c>
      <c r="BB42" s="92" t="inlineStr">
        <is>
          <t>СНК</t>
        </is>
      </c>
      <c r="BM42" s="64">
        <f>IFERROR(X42*I42/H42,"0")</f>
        <v/>
      </c>
      <c r="BN42" s="64">
        <f>IFERROR(Y42*I42/H42,"0")</f>
        <v/>
      </c>
      <c r="BO42" s="64">
        <f>IFERROR(1/J42*(X42/H42),"0")</f>
        <v/>
      </c>
      <c r="BP42" s="64">
        <f>IFERROR(1/J42*(Y42/H42),"0")</f>
        <v/>
      </c>
    </row>
    <row r="43">
      <c r="A43" s="801" t="n"/>
      <c r="B43" s="800" t="n"/>
      <c r="C43" s="800" t="n"/>
      <c r="D43" s="800" t="n"/>
      <c r="E43" s="800" t="n"/>
      <c r="F43" s="800" t="n"/>
      <c r="G43" s="800" t="n"/>
      <c r="H43" s="800" t="n"/>
      <c r="I43" s="800" t="n"/>
      <c r="J43" s="800" t="n"/>
      <c r="K43" s="800" t="n"/>
      <c r="L43" s="800" t="n"/>
      <c r="M43" s="800" t="n"/>
      <c r="N43" s="800" t="n"/>
      <c r="O43" s="802" t="n"/>
      <c r="P43" s="796" t="inlineStr">
        <is>
          <t>Итого</t>
        </is>
      </c>
      <c r="Q43" s="793" t="n"/>
      <c r="R43" s="793" t="n"/>
      <c r="S43" s="793" t="n"/>
      <c r="T43" s="793" t="n"/>
      <c r="U43" s="793" t="n"/>
      <c r="V43" s="794" t="n"/>
      <c r="W43" s="37" t="inlineStr">
        <is>
          <t>кор</t>
        </is>
      </c>
      <c r="X43" s="1223">
        <f>IFERROR(X42/H42,"0")</f>
        <v/>
      </c>
      <c r="Y43" s="1223">
        <f>IFERROR(Y42/H42,"0")</f>
        <v/>
      </c>
      <c r="Z43" s="1223">
        <f>IFERROR(IF(Z42="",0,Z42),"0")</f>
        <v/>
      </c>
      <c r="AA43" s="1224" t="n"/>
      <c r="AB43" s="1224" t="n"/>
      <c r="AC43" s="1224" t="n"/>
    </row>
    <row r="44">
      <c r="A44" s="800" t="n"/>
      <c r="B44" s="800" t="n"/>
      <c r="C44" s="800" t="n"/>
      <c r="D44" s="800" t="n"/>
      <c r="E44" s="800" t="n"/>
      <c r="F44" s="800" t="n"/>
      <c r="G44" s="800" t="n"/>
      <c r="H44" s="800" t="n"/>
      <c r="I44" s="800" t="n"/>
      <c r="J44" s="800" t="n"/>
      <c r="K44" s="800" t="n"/>
      <c r="L44" s="800" t="n"/>
      <c r="M44" s="800" t="n"/>
      <c r="N44" s="800" t="n"/>
      <c r="O44" s="802" t="n"/>
      <c r="P44" s="796" t="inlineStr">
        <is>
          <t>Итого</t>
        </is>
      </c>
      <c r="Q44" s="793" t="n"/>
      <c r="R44" s="793" t="n"/>
      <c r="S44" s="793" t="n"/>
      <c r="T44" s="793" t="n"/>
      <c r="U44" s="793" t="n"/>
      <c r="V44" s="794" t="n"/>
      <c r="W44" s="37" t="inlineStr">
        <is>
          <t>кг</t>
        </is>
      </c>
      <c r="X44" s="1223">
        <f>IFERROR(SUM(X42:X42),"0")</f>
        <v/>
      </c>
      <c r="Y44" s="1223">
        <f>IFERROR(SUM(Y42:Y42),"0")</f>
        <v/>
      </c>
      <c r="Z44" s="37" t="n"/>
      <c r="AA44" s="1224" t="n"/>
      <c r="AB44" s="1224" t="n"/>
      <c r="AC44" s="1224" t="n"/>
    </row>
    <row r="45" ht="27.75" customHeight="1">
      <c r="A45" s="900" t="inlineStr">
        <is>
          <t>Вязанка</t>
        </is>
      </c>
      <c r="B45" s="901" t="n"/>
      <c r="C45" s="901" t="n"/>
      <c r="D45" s="901" t="n"/>
      <c r="E45" s="901" t="n"/>
      <c r="F45" s="901" t="n"/>
      <c r="G45" s="901" t="n"/>
      <c r="H45" s="901" t="n"/>
      <c r="I45" s="901" t="n"/>
      <c r="J45" s="901" t="n"/>
      <c r="K45" s="901" t="n"/>
      <c r="L45" s="901" t="n"/>
      <c r="M45" s="901" t="n"/>
      <c r="N45" s="901" t="n"/>
      <c r="O45" s="901" t="n"/>
      <c r="P45" s="901" t="n"/>
      <c r="Q45" s="901" t="n"/>
      <c r="R45" s="901" t="n"/>
      <c r="S45" s="901" t="n"/>
      <c r="T45" s="901" t="n"/>
      <c r="U45" s="901" t="n"/>
      <c r="V45" s="901" t="n"/>
      <c r="W45" s="901" t="n"/>
      <c r="X45" s="901" t="n"/>
      <c r="Y45" s="901" t="n"/>
      <c r="Z45" s="901" t="n"/>
      <c r="AA45" s="48" t="n"/>
      <c r="AB45" s="48" t="n"/>
      <c r="AC45" s="48" t="n"/>
    </row>
    <row r="46" ht="16.5" customHeight="1">
      <c r="A46" s="807" t="inlineStr">
        <is>
          <t>ГОСТ</t>
        </is>
      </c>
      <c r="B46" s="800" t="n"/>
      <c r="C46" s="800" t="n"/>
      <c r="D46" s="800" t="n"/>
      <c r="E46" s="800" t="n"/>
      <c r="F46" s="800" t="n"/>
      <c r="G46" s="800" t="n"/>
      <c r="H46" s="800" t="n"/>
      <c r="I46" s="800" t="n"/>
      <c r="J46" s="800" t="n"/>
      <c r="K46" s="800" t="n"/>
      <c r="L46" s="800" t="n"/>
      <c r="M46" s="800" t="n"/>
      <c r="N46" s="800" t="n"/>
      <c r="O46" s="800" t="n"/>
      <c r="P46" s="800" t="n"/>
      <c r="Q46" s="800" t="n"/>
      <c r="R46" s="800" t="n"/>
      <c r="S46" s="800" t="n"/>
      <c r="T46" s="800" t="n"/>
      <c r="U46" s="800" t="n"/>
      <c r="V46" s="800" t="n"/>
      <c r="W46" s="800" t="n"/>
      <c r="X46" s="800" t="n"/>
      <c r="Y46" s="800" t="n"/>
      <c r="Z46" s="800" t="n"/>
      <c r="AA46" s="807" t="n"/>
      <c r="AB46" s="807" t="n"/>
      <c r="AC46" s="807" t="n"/>
    </row>
    <row r="47" ht="14.25" customHeight="1">
      <c r="A47" s="799" t="inlineStr">
        <is>
          <t>Вареные колбасы</t>
        </is>
      </c>
      <c r="B47" s="800" t="n"/>
      <c r="C47" s="800" t="n"/>
      <c r="D47" s="800" t="n"/>
      <c r="E47" s="800" t="n"/>
      <c r="F47" s="800" t="n"/>
      <c r="G47" s="800" t="n"/>
      <c r="H47" s="800" t="n"/>
      <c r="I47" s="800" t="n"/>
      <c r="J47" s="800" t="n"/>
      <c r="K47" s="800" t="n"/>
      <c r="L47" s="800" t="n"/>
      <c r="M47" s="800" t="n"/>
      <c r="N47" s="800" t="n"/>
      <c r="O47" s="800" t="n"/>
      <c r="P47" s="800" t="n"/>
      <c r="Q47" s="800" t="n"/>
      <c r="R47" s="800" t="n"/>
      <c r="S47" s="800" t="n"/>
      <c r="T47" s="800" t="n"/>
      <c r="U47" s="800" t="n"/>
      <c r="V47" s="800" t="n"/>
      <c r="W47" s="800" t="n"/>
      <c r="X47" s="800" t="n"/>
      <c r="Y47" s="800" t="n"/>
      <c r="Z47" s="800" t="n"/>
      <c r="AA47" s="799" t="n"/>
      <c r="AB47" s="799" t="n"/>
      <c r="AC47" s="799" t="n"/>
    </row>
    <row r="48" ht="16.5" customHeight="1">
      <c r="A48" s="54" t="inlineStr">
        <is>
          <t>SU000722</t>
        </is>
      </c>
      <c r="B48" s="54" t="inlineStr">
        <is>
          <t>P003369</t>
        </is>
      </c>
      <c r="C48" s="31" t="n">
        <v>4301011540</v>
      </c>
      <c r="D48" s="782" t="n">
        <v>4607091385670</v>
      </c>
      <c r="E48" s="783" t="n"/>
      <c r="F48" s="1220" t="n">
        <v>1.4</v>
      </c>
      <c r="G48" s="32" t="n">
        <v>8</v>
      </c>
      <c r="H48" s="1220" t="n">
        <v>11.2</v>
      </c>
      <c r="I48" s="1220" t="n">
        <v>11.68</v>
      </c>
      <c r="J48" s="32" t="n">
        <v>56</v>
      </c>
      <c r="K48" s="32" t="inlineStr">
        <is>
          <t>8</t>
        </is>
      </c>
      <c r="L48" s="32" t="n"/>
      <c r="M48" s="33" t="inlineStr">
        <is>
          <t>СК3</t>
        </is>
      </c>
      <c r="N48" s="33" t="n"/>
      <c r="O48" s="32" t="n">
        <v>50</v>
      </c>
      <c r="P48" s="919">
        <f>HYPERLINK("https://abi.ru/products/Охлажденные/Вязанка/ГОСТ/Вареные колбасы/P003369/","Вареные колбасы «Докторская ГОСТ» Весовые Вектор УВВ ТМ «Вязанка»")</f>
        <v/>
      </c>
      <c r="Q48" s="785" t="n"/>
      <c r="R48" s="785" t="n"/>
      <c r="S48" s="785" t="n"/>
      <c r="T48" s="786" t="n"/>
      <c r="U48" s="34" t="n"/>
      <c r="V48" s="34" t="n"/>
      <c r="W48" s="35" t="inlineStr">
        <is>
          <t>кг</t>
        </is>
      </c>
      <c r="X48" s="1221" t="n">
        <v>0</v>
      </c>
      <c r="Y48" s="1222">
        <f>IFERROR(IF(X48="",0,CEILING((X48/$H48),1)*$H48),"")</f>
        <v/>
      </c>
      <c r="Z48" s="36">
        <f>IFERROR(IF(Y48=0,"",ROUNDUP(Y48/H48,0)*0.02175),"")</f>
        <v/>
      </c>
      <c r="AA48" s="56" t="n"/>
      <c r="AB48" s="57" t="n"/>
      <c r="AC48" s="93" t="inlineStr">
        <is>
          <t>ЕАЭС N RU Д-RU.РА02.В.62622/22</t>
        </is>
      </c>
      <c r="AG48" s="64" t="n"/>
      <c r="AJ48" s="68" t="n"/>
      <c r="AK48" s="68" t="n">
        <v>0</v>
      </c>
      <c r="BB48" s="94" t="inlineStr">
        <is>
          <t>КИ</t>
        </is>
      </c>
      <c r="BM48" s="64">
        <f>IFERROR(X48*I48/H48,"0")</f>
        <v/>
      </c>
      <c r="BN48" s="64">
        <f>IFERROR(Y48*I48/H48,"0")</f>
        <v/>
      </c>
      <c r="BO48" s="64">
        <f>IFERROR(1/J48*(X48/H48),"0")</f>
        <v/>
      </c>
      <c r="BP48" s="64">
        <f>IFERROR(1/J48*(Y48/H48),"0")</f>
        <v/>
      </c>
    </row>
    <row r="49" ht="16.5" customHeight="1">
      <c r="A49" s="54" t="inlineStr">
        <is>
          <t>SU000722</t>
        </is>
      </c>
      <c r="B49" s="54" t="inlineStr">
        <is>
          <t>P003011</t>
        </is>
      </c>
      <c r="C49" s="31" t="n">
        <v>4301011380</v>
      </c>
      <c r="D49" s="782" t="n">
        <v>4607091385670</v>
      </c>
      <c r="E49" s="783" t="n"/>
      <c r="F49" s="1220" t="n">
        <v>1.35</v>
      </c>
      <c r="G49" s="32" t="n">
        <v>8</v>
      </c>
      <c r="H49" s="1220" t="n">
        <v>10.8</v>
      </c>
      <c r="I49" s="1220" t="n">
        <v>11.28</v>
      </c>
      <c r="J49" s="32" t="n">
        <v>56</v>
      </c>
      <c r="K49" s="32" t="inlineStr">
        <is>
          <t>8</t>
        </is>
      </c>
      <c r="L49" s="32" t="n"/>
      <c r="M49" s="33" t="inlineStr">
        <is>
          <t>СК1</t>
        </is>
      </c>
      <c r="N49" s="33" t="n"/>
      <c r="O49" s="32" t="n">
        <v>50</v>
      </c>
      <c r="P49" s="985">
        <f>HYPERLINK("https://abi.ru/products/Охлажденные/Вязанка/ГОСТ/Вареные колбасы/P003011/","Вареные колбасы Докторская ГОСТ Вязанка Весовые Вектор Вязанка")</f>
        <v/>
      </c>
      <c r="Q49" s="785" t="n"/>
      <c r="R49" s="785" t="n"/>
      <c r="S49" s="785" t="n"/>
      <c r="T49" s="786" t="n"/>
      <c r="U49" s="34" t="n"/>
      <c r="V49" s="34" t="n"/>
      <c r="W49" s="35" t="inlineStr">
        <is>
          <t>кг</t>
        </is>
      </c>
      <c r="X49" s="1221" t="n">
        <v>0</v>
      </c>
      <c r="Y49" s="1222">
        <f>IFERROR(IF(X49="",0,CEILING((X49/$H49),1)*$H49),"")</f>
        <v/>
      </c>
      <c r="Z49" s="36">
        <f>IFERROR(IF(Y49=0,"",ROUNDUP(Y49/H49,0)*0.02175),"")</f>
        <v/>
      </c>
      <c r="AA49" s="56" t="n"/>
      <c r="AB49" s="57" t="n"/>
      <c r="AC49" s="95" t="inlineStr">
        <is>
          <t>ЕАЭС N RU Д- RU.РА01.В.79635/20</t>
        </is>
      </c>
      <c r="AG49" s="64" t="n"/>
      <c r="AJ49" s="68" t="n"/>
      <c r="AK49" s="68" t="n">
        <v>0</v>
      </c>
      <c r="BB49" s="96" t="inlineStr">
        <is>
          <t>КИ</t>
        </is>
      </c>
      <c r="BM49" s="64">
        <f>IFERROR(X49*I49/H49,"0")</f>
        <v/>
      </c>
      <c r="BN49" s="64">
        <f>IFERROR(Y49*I49/H49,"0")</f>
        <v/>
      </c>
      <c r="BO49" s="64">
        <f>IFERROR(1/J49*(X49/H49),"0")</f>
        <v/>
      </c>
      <c r="BP49" s="64">
        <f>IFERROR(1/J49*(Y49/H49),"0")</f>
        <v/>
      </c>
    </row>
    <row r="50" ht="16.5" customHeight="1">
      <c r="A50" s="54" t="inlineStr">
        <is>
          <t>SU003111</t>
        </is>
      </c>
      <c r="B50" s="54" t="inlineStr">
        <is>
          <t>P003694</t>
        </is>
      </c>
      <c r="C50" s="31" t="n">
        <v>4301011625</v>
      </c>
      <c r="D50" s="782" t="n">
        <v>4680115883956</v>
      </c>
      <c r="E50" s="783" t="n"/>
      <c r="F50" s="1220" t="n">
        <v>1.4</v>
      </c>
      <c r="G50" s="32" t="n">
        <v>8</v>
      </c>
      <c r="H50" s="1220" t="n">
        <v>11.2</v>
      </c>
      <c r="I50" s="1220" t="n">
        <v>11.68</v>
      </c>
      <c r="J50" s="32" t="n">
        <v>56</v>
      </c>
      <c r="K50" s="32" t="inlineStr">
        <is>
          <t>8</t>
        </is>
      </c>
      <c r="L50" s="32" t="n"/>
      <c r="M50" s="33" t="inlineStr">
        <is>
          <t>СК1</t>
        </is>
      </c>
      <c r="N50" s="33" t="n"/>
      <c r="O50" s="32" t="n">
        <v>50</v>
      </c>
      <c r="P50" s="1130">
        <f>HYPERLINK("https://abi.ru/products/Охлажденные/Вязанка/ГОСТ/Вареные колбасы/P003694/","Вареные колбасы «Любительская ГОСТ» Весовой п/а ТМ «Вязанка»")</f>
        <v/>
      </c>
      <c r="Q50" s="785" t="n"/>
      <c r="R50" s="785" t="n"/>
      <c r="S50" s="785" t="n"/>
      <c r="T50" s="786" t="n"/>
      <c r="U50" s="34" t="n"/>
      <c r="V50" s="34" t="n"/>
      <c r="W50" s="35" t="inlineStr">
        <is>
          <t>кг</t>
        </is>
      </c>
      <c r="X50" s="1221" t="n">
        <v>0</v>
      </c>
      <c r="Y50" s="1222">
        <f>IFERROR(IF(X50="",0,CEILING((X50/$H50),1)*$H50),"")</f>
        <v/>
      </c>
      <c r="Z50" s="36">
        <f>IFERROR(IF(Y50=0,"",ROUNDUP(Y50/H50,0)*0.02175),"")</f>
        <v/>
      </c>
      <c r="AA50" s="56" t="n"/>
      <c r="AB50" s="57" t="n"/>
      <c r="AC50" s="97" t="inlineStr">
        <is>
          <t>ЕАЭС N RU Д-RU.РА08.В.47512/23</t>
        </is>
      </c>
      <c r="AG50" s="64" t="n"/>
      <c r="AJ50" s="68" t="n"/>
      <c r="AK50" s="68" t="n">
        <v>0</v>
      </c>
      <c r="BB50" s="98" t="inlineStr">
        <is>
          <t>КИ</t>
        </is>
      </c>
      <c r="BM50" s="64">
        <f>IFERROR(X50*I50/H50,"0")</f>
        <v/>
      </c>
      <c r="BN50" s="64">
        <f>IFERROR(Y50*I50/H50,"0")</f>
        <v/>
      </c>
      <c r="BO50" s="64">
        <f>IFERROR(1/J50*(X50/H50),"0")</f>
        <v/>
      </c>
      <c r="BP50" s="64">
        <f>IFERROR(1/J50*(Y50/H50),"0")</f>
        <v/>
      </c>
    </row>
    <row r="51" ht="27" customHeight="1">
      <c r="A51" s="54" t="inlineStr">
        <is>
          <t>SU002986</t>
        </is>
      </c>
      <c r="B51" s="54" t="inlineStr">
        <is>
          <t>P003429</t>
        </is>
      </c>
      <c r="C51" s="31" t="n">
        <v>4301011565</v>
      </c>
      <c r="D51" s="782" t="n">
        <v>4680115882539</v>
      </c>
      <c r="E51" s="783" t="n"/>
      <c r="F51" s="1220" t="n">
        <v>0.37</v>
      </c>
      <c r="G51" s="32" t="n">
        <v>10</v>
      </c>
      <c r="H51" s="1220" t="n">
        <v>3.7</v>
      </c>
      <c r="I51" s="1220" t="n">
        <v>3.91</v>
      </c>
      <c r="J51" s="32" t="n">
        <v>132</v>
      </c>
      <c r="K51" s="32" t="inlineStr">
        <is>
          <t>12</t>
        </is>
      </c>
      <c r="L51" s="32" t="inlineStr">
        <is>
          <t>Слой, мин. 1</t>
        </is>
      </c>
      <c r="M51" s="33" t="inlineStr">
        <is>
          <t>СК3</t>
        </is>
      </c>
      <c r="N51" s="33" t="n"/>
      <c r="O51" s="32" t="n">
        <v>50</v>
      </c>
      <c r="P51" s="1022">
        <f>HYPERLINK("https://abi.ru/products/Охлажденные/Вязанка/ГОСТ/Вареные колбасы/P003429/","Вареные колбасы «Докторская ГОСТ» Фикс.вес 0,37 п/а ТМ «Вязанка»")</f>
        <v/>
      </c>
      <c r="Q51" s="785" t="n"/>
      <c r="R51" s="785" t="n"/>
      <c r="S51" s="785" t="n"/>
      <c r="T51" s="786" t="n"/>
      <c r="U51" s="34" t="n"/>
      <c r="V51" s="34" t="n"/>
      <c r="W51" s="35" t="inlineStr">
        <is>
          <t>кг</t>
        </is>
      </c>
      <c r="X51" s="1221" t="n">
        <v>0</v>
      </c>
      <c r="Y51" s="1222">
        <f>IFERROR(IF(X51="",0,CEILING((X51/$H51),1)*$H51),"")</f>
        <v/>
      </c>
      <c r="Z51" s="36">
        <f>IFERROR(IF(Y51=0,"",ROUNDUP(Y51/H51,0)*0.00902),"")</f>
        <v/>
      </c>
      <c r="AA51" s="56" t="n"/>
      <c r="AB51" s="57" t="n"/>
      <c r="AC51" s="99" t="inlineStr">
        <is>
          <t>ЕАЭС N RU Д- RU.РА01.В.79635/20</t>
        </is>
      </c>
      <c r="AG51" s="64" t="n"/>
      <c r="AJ51" s="68" t="inlineStr">
        <is>
          <t>Слой</t>
        </is>
      </c>
      <c r="AK51" s="68" t="n">
        <v>44.4</v>
      </c>
      <c r="BB51" s="100" t="inlineStr">
        <is>
          <t>КИ</t>
        </is>
      </c>
      <c r="BM51" s="64">
        <f>IFERROR(X51*I51/H51,"0")</f>
        <v/>
      </c>
      <c r="BN51" s="64">
        <f>IFERROR(Y51*I51/H51,"0")</f>
        <v/>
      </c>
      <c r="BO51" s="64">
        <f>IFERROR(1/J51*(X51/H51),"0")</f>
        <v/>
      </c>
      <c r="BP51" s="64">
        <f>IFERROR(1/J51*(Y51/H51),"0")</f>
        <v/>
      </c>
    </row>
    <row r="52" ht="27" customHeight="1">
      <c r="A52" s="54" t="inlineStr">
        <is>
          <t>SU001485</t>
        </is>
      </c>
      <c r="B52" s="54" t="inlineStr">
        <is>
          <t>P003008</t>
        </is>
      </c>
      <c r="C52" s="31" t="n">
        <v>4301011382</v>
      </c>
      <c r="D52" s="782" t="n">
        <v>4607091385687</v>
      </c>
      <c r="E52" s="783" t="n"/>
      <c r="F52" s="1220" t="n">
        <v>0.4</v>
      </c>
      <c r="G52" s="32" t="n">
        <v>10</v>
      </c>
      <c r="H52" s="1220" t="n">
        <v>4</v>
      </c>
      <c r="I52" s="1220" t="n">
        <v>4.21</v>
      </c>
      <c r="J52" s="32" t="n">
        <v>132</v>
      </c>
      <c r="K52" s="32" t="inlineStr">
        <is>
          <t>12</t>
        </is>
      </c>
      <c r="L52" s="32" t="inlineStr">
        <is>
          <t>Слой, мин. 1</t>
        </is>
      </c>
      <c r="M52" s="33" t="inlineStr">
        <is>
          <t>СК3</t>
        </is>
      </c>
      <c r="N52" s="33" t="n"/>
      <c r="O52" s="32" t="n">
        <v>50</v>
      </c>
      <c r="P52" s="1207">
        <f>HYPERLINK("https://abi.ru/products/Охлажденные/Вязанка/ГОСТ/Вареные колбасы/P003008/","Вареные колбасы Докторская ГОСТ Вязанка Фикс.вес 0,4 Вектор Вязанка")</f>
        <v/>
      </c>
      <c r="Q52" s="785" t="n"/>
      <c r="R52" s="785" t="n"/>
      <c r="S52" s="785" t="n"/>
      <c r="T52" s="786" t="n"/>
      <c r="U52" s="34" t="n"/>
      <c r="V52" s="34" t="n"/>
      <c r="W52" s="35" t="inlineStr">
        <is>
          <t>кг</t>
        </is>
      </c>
      <c r="X52" s="1221" t="n">
        <v>0</v>
      </c>
      <c r="Y52" s="1222">
        <f>IFERROR(IF(X52="",0,CEILING((X52/$H52),1)*$H52),"")</f>
        <v/>
      </c>
      <c r="Z52" s="36">
        <f>IFERROR(IF(Y52=0,"",ROUNDUP(Y52/H52,0)*0.00902),"")</f>
        <v/>
      </c>
      <c r="AA52" s="56" t="n"/>
      <c r="AB52" s="57" t="n"/>
      <c r="AC52" s="101" t="inlineStr">
        <is>
          <t>ЕАЭС N RU Д- RU.РА01.В.79635/20</t>
        </is>
      </c>
      <c r="AG52" s="64" t="n"/>
      <c r="AJ52" s="68" t="inlineStr">
        <is>
          <t>Слой</t>
        </is>
      </c>
      <c r="AK52" s="68" t="n">
        <v>48</v>
      </c>
      <c r="BB52" s="102" t="inlineStr">
        <is>
          <t>КИ</t>
        </is>
      </c>
      <c r="BM52" s="64">
        <f>IFERROR(X52*I52/H52,"0")</f>
        <v/>
      </c>
      <c r="BN52" s="64">
        <f>IFERROR(Y52*I52/H52,"0")</f>
        <v/>
      </c>
      <c r="BO52" s="64">
        <f>IFERROR(1/J52*(X52/H52),"0")</f>
        <v/>
      </c>
      <c r="BP52" s="64">
        <f>IFERROR(1/J52*(Y52/H52),"0")</f>
        <v/>
      </c>
    </row>
    <row r="53" ht="27" customHeight="1">
      <c r="A53" s="54" t="inlineStr">
        <is>
          <t>SU003112</t>
        </is>
      </c>
      <c r="B53" s="54" t="inlineStr">
        <is>
          <t>P003695</t>
        </is>
      </c>
      <c r="C53" s="31" t="n">
        <v>4301011624</v>
      </c>
      <c r="D53" s="782" t="n">
        <v>4680115883949</v>
      </c>
      <c r="E53" s="783" t="n"/>
      <c r="F53" s="1220" t="n">
        <v>0.37</v>
      </c>
      <c r="G53" s="32" t="n">
        <v>10</v>
      </c>
      <c r="H53" s="1220" t="n">
        <v>3.7</v>
      </c>
      <c r="I53" s="1220" t="n">
        <v>3.91</v>
      </c>
      <c r="J53" s="32" t="n">
        <v>132</v>
      </c>
      <c r="K53" s="32" t="inlineStr">
        <is>
          <t>12</t>
        </is>
      </c>
      <c r="L53" s="32" t="n"/>
      <c r="M53" s="33" t="inlineStr">
        <is>
          <t>СК1</t>
        </is>
      </c>
      <c r="N53" s="33" t="n"/>
      <c r="O53" s="32" t="n">
        <v>50</v>
      </c>
      <c r="P53" s="1096">
        <f>HYPERLINK("https://abi.ru/products/Охлажденные/Вязанка/ГОСТ/Вареные колбасы/P003695/","Вареные колбасы «Любительская ГОСТ» Фикс.вес 0,37 п/а ТМ «Вязанка»")</f>
        <v/>
      </c>
      <c r="Q53" s="785" t="n"/>
      <c r="R53" s="785" t="n"/>
      <c r="S53" s="785" t="n"/>
      <c r="T53" s="786" t="n"/>
      <c r="U53" s="34" t="n"/>
      <c r="V53" s="34" t="n"/>
      <c r="W53" s="35" t="inlineStr">
        <is>
          <t>кг</t>
        </is>
      </c>
      <c r="X53" s="1221" t="n">
        <v>0</v>
      </c>
      <c r="Y53" s="1222">
        <f>IFERROR(IF(X53="",0,CEILING((X53/$H53),1)*$H53),"")</f>
        <v/>
      </c>
      <c r="Z53" s="36">
        <f>IFERROR(IF(Y53=0,"",ROUNDUP(Y53/H53,0)*0.00902),"")</f>
        <v/>
      </c>
      <c r="AA53" s="56" t="n"/>
      <c r="AB53" s="57" t="n"/>
      <c r="AC53" s="103" t="inlineStr">
        <is>
          <t>ЕАЭС N RU Д-RU.РА08.В.47512/23</t>
        </is>
      </c>
      <c r="AG53" s="64" t="n"/>
      <c r="AJ53" s="68" t="n"/>
      <c r="AK53" s="68" t="n">
        <v>0</v>
      </c>
      <c r="BB53" s="104" t="inlineStr">
        <is>
          <t>КИ</t>
        </is>
      </c>
      <c r="BM53" s="64">
        <f>IFERROR(X53*I53/H53,"0")</f>
        <v/>
      </c>
      <c r="BN53" s="64">
        <f>IFERROR(Y53*I53/H53,"0")</f>
        <v/>
      </c>
      <c r="BO53" s="64">
        <f>IFERROR(1/J53*(X53/H53),"0")</f>
        <v/>
      </c>
      <c r="BP53" s="64">
        <f>IFERROR(1/J53*(Y53/H53),"0")</f>
        <v/>
      </c>
    </row>
    <row r="54">
      <c r="A54" s="801" t="n"/>
      <c r="B54" s="800" t="n"/>
      <c r="C54" s="800" t="n"/>
      <c r="D54" s="800" t="n"/>
      <c r="E54" s="800" t="n"/>
      <c r="F54" s="800" t="n"/>
      <c r="G54" s="800" t="n"/>
      <c r="H54" s="800" t="n"/>
      <c r="I54" s="800" t="n"/>
      <c r="J54" s="800" t="n"/>
      <c r="K54" s="800" t="n"/>
      <c r="L54" s="800" t="n"/>
      <c r="M54" s="800" t="n"/>
      <c r="N54" s="800" t="n"/>
      <c r="O54" s="802" t="n"/>
      <c r="P54" s="796" t="inlineStr">
        <is>
          <t>Итого</t>
        </is>
      </c>
      <c r="Q54" s="793" t="n"/>
      <c r="R54" s="793" t="n"/>
      <c r="S54" s="793" t="n"/>
      <c r="T54" s="793" t="n"/>
      <c r="U54" s="793" t="n"/>
      <c r="V54" s="794" t="n"/>
      <c r="W54" s="37" t="inlineStr">
        <is>
          <t>кор</t>
        </is>
      </c>
      <c r="X54" s="1223">
        <f>IFERROR(X48/H48,"0")+IFERROR(X49/H49,"0")+IFERROR(X50/H50,"0")+IFERROR(X51/H51,"0")+IFERROR(X52/H52,"0")+IFERROR(X53/H53,"0")</f>
        <v/>
      </c>
      <c r="Y54" s="1223">
        <f>IFERROR(Y48/H48,"0")+IFERROR(Y49/H49,"0")+IFERROR(Y50/H50,"0")+IFERROR(Y51/H51,"0")+IFERROR(Y52/H52,"0")+IFERROR(Y53/H53,"0")</f>
        <v/>
      </c>
      <c r="Z54" s="1223">
        <f>IFERROR(IF(Z48="",0,Z48),"0")+IFERROR(IF(Z49="",0,Z49),"0")+IFERROR(IF(Z50="",0,Z50),"0")+IFERROR(IF(Z51="",0,Z51),"0")+IFERROR(IF(Z52="",0,Z52),"0")+IFERROR(IF(Z53="",0,Z53),"0")</f>
        <v/>
      </c>
      <c r="AA54" s="1224" t="n"/>
      <c r="AB54" s="1224" t="n"/>
      <c r="AC54" s="1224" t="n"/>
    </row>
    <row r="55">
      <c r="A55" s="800" t="n"/>
      <c r="B55" s="800" t="n"/>
      <c r="C55" s="800" t="n"/>
      <c r="D55" s="800" t="n"/>
      <c r="E55" s="800" t="n"/>
      <c r="F55" s="800" t="n"/>
      <c r="G55" s="800" t="n"/>
      <c r="H55" s="800" t="n"/>
      <c r="I55" s="800" t="n"/>
      <c r="J55" s="800" t="n"/>
      <c r="K55" s="800" t="n"/>
      <c r="L55" s="800" t="n"/>
      <c r="M55" s="800" t="n"/>
      <c r="N55" s="800" t="n"/>
      <c r="O55" s="802" t="n"/>
      <c r="P55" s="796" t="inlineStr">
        <is>
          <t>Итого</t>
        </is>
      </c>
      <c r="Q55" s="793" t="n"/>
      <c r="R55" s="793" t="n"/>
      <c r="S55" s="793" t="n"/>
      <c r="T55" s="793" t="n"/>
      <c r="U55" s="793" t="n"/>
      <c r="V55" s="794" t="n"/>
      <c r="W55" s="37" t="inlineStr">
        <is>
          <t>кг</t>
        </is>
      </c>
      <c r="X55" s="1223">
        <f>IFERROR(SUM(X48:X53),"0")</f>
        <v/>
      </c>
      <c r="Y55" s="1223">
        <f>IFERROR(SUM(Y48:Y53),"0")</f>
        <v/>
      </c>
      <c r="Z55" s="37" t="n"/>
      <c r="AA55" s="1224" t="n"/>
      <c r="AB55" s="1224" t="n"/>
      <c r="AC55" s="1224" t="n"/>
    </row>
    <row r="56" ht="14.25" customHeight="1">
      <c r="A56" s="799" t="inlineStr">
        <is>
          <t>Сосиски</t>
        </is>
      </c>
      <c r="B56" s="800" t="n"/>
      <c r="C56" s="800" t="n"/>
      <c r="D56" s="800" t="n"/>
      <c r="E56" s="800" t="n"/>
      <c r="F56" s="800" t="n"/>
      <c r="G56" s="800" t="n"/>
      <c r="H56" s="800" t="n"/>
      <c r="I56" s="800" t="n"/>
      <c r="J56" s="800" t="n"/>
      <c r="K56" s="800" t="n"/>
      <c r="L56" s="800" t="n"/>
      <c r="M56" s="800" t="n"/>
      <c r="N56" s="800" t="n"/>
      <c r="O56" s="800" t="n"/>
      <c r="P56" s="800" t="n"/>
      <c r="Q56" s="800" t="n"/>
      <c r="R56" s="800" t="n"/>
      <c r="S56" s="800" t="n"/>
      <c r="T56" s="800" t="n"/>
      <c r="U56" s="800" t="n"/>
      <c r="V56" s="800" t="n"/>
      <c r="W56" s="800" t="n"/>
      <c r="X56" s="800" t="n"/>
      <c r="Y56" s="800" t="n"/>
      <c r="Z56" s="800" t="n"/>
      <c r="AA56" s="799" t="n"/>
      <c r="AB56" s="799" t="n"/>
      <c r="AC56" s="799" t="n"/>
    </row>
    <row r="57" ht="27" customHeight="1">
      <c r="A57" s="54" t="inlineStr">
        <is>
          <t>SU003502</t>
        </is>
      </c>
      <c r="B57" s="54" t="inlineStr">
        <is>
          <t>P004556</t>
        </is>
      </c>
      <c r="C57" s="31" t="n">
        <v>4301051842</v>
      </c>
      <c r="D57" s="782" t="n">
        <v>4680115885233</v>
      </c>
      <c r="E57" s="783" t="n"/>
      <c r="F57" s="1220" t="n">
        <v>0.2</v>
      </c>
      <c r="G57" s="32" t="n">
        <v>6</v>
      </c>
      <c r="H57" s="1220" t="n">
        <v>1.2</v>
      </c>
      <c r="I57" s="1220" t="n">
        <v>1.3</v>
      </c>
      <c r="J57" s="32" t="n">
        <v>234</v>
      </c>
      <c r="K57" s="32" t="inlineStr">
        <is>
          <t>18</t>
        </is>
      </c>
      <c r="L57" s="32" t="n"/>
      <c r="M57" s="33" t="inlineStr">
        <is>
          <t>СК3</t>
        </is>
      </c>
      <c r="N57" s="33" t="n"/>
      <c r="O57" s="32" t="n">
        <v>40</v>
      </c>
      <c r="P57" s="854">
        <f>HYPERLINK("https://abi.ru/products/Охлажденные/Вязанка/ГОСТ/Сосиски/P004556/","Сосиски «Молочные ГОСТ» ф/в 0,2 ц/о ТМ «Вязанка»")</f>
        <v/>
      </c>
      <c r="Q57" s="785" t="n"/>
      <c r="R57" s="785" t="n"/>
      <c r="S57" s="785" t="n"/>
      <c r="T57" s="786" t="n"/>
      <c r="U57" s="34" t="n"/>
      <c r="V57" s="34" t="n"/>
      <c r="W57" s="35" t="inlineStr">
        <is>
          <t>кг</t>
        </is>
      </c>
      <c r="X57" s="1221" t="n">
        <v>0</v>
      </c>
      <c r="Y57" s="1222">
        <f>IFERROR(IF(X57="",0,CEILING((X57/$H57),1)*$H57),"")</f>
        <v/>
      </c>
      <c r="Z57" s="36">
        <f>IFERROR(IF(Y57=0,"",ROUNDUP(Y57/H57,0)*0.00502),"")</f>
        <v/>
      </c>
      <c r="AA57" s="56" t="n"/>
      <c r="AB57" s="57" t="n"/>
      <c r="AC57" s="105" t="inlineStr">
        <is>
          <t>ЕАЭС N RU Д-RU.РА01.В.79167/24, ЕАЭС N RU Д-RU.РА01.В.81056/24</t>
        </is>
      </c>
      <c r="AG57" s="64" t="n"/>
      <c r="AJ57" s="68" t="n"/>
      <c r="AK57" s="68" t="n">
        <v>0</v>
      </c>
      <c r="BB57" s="106" t="inlineStr">
        <is>
          <t>КИ</t>
        </is>
      </c>
      <c r="BM57" s="64">
        <f>IFERROR(X57*I57/H57,"0")</f>
        <v/>
      </c>
      <c r="BN57" s="64">
        <f>IFERROR(Y57*I57/H57,"0")</f>
        <v/>
      </c>
      <c r="BO57" s="64">
        <f>IFERROR(1/J57*(X57/H57),"0")</f>
        <v/>
      </c>
      <c r="BP57" s="64">
        <f>IFERROR(1/J57*(Y57/H57),"0")</f>
        <v/>
      </c>
    </row>
    <row r="58" ht="16.5" customHeight="1">
      <c r="A58" s="54" t="inlineStr">
        <is>
          <t>SU003313</t>
        </is>
      </c>
      <c r="B58" s="54" t="inlineStr">
        <is>
          <t>P004551</t>
        </is>
      </c>
      <c r="C58" s="31" t="n">
        <v>4301051820</v>
      </c>
      <c r="D58" s="782" t="n">
        <v>4680115884915</v>
      </c>
      <c r="E58" s="783" t="n"/>
      <c r="F58" s="1220" t="n">
        <v>0.3</v>
      </c>
      <c r="G58" s="32" t="n">
        <v>6</v>
      </c>
      <c r="H58" s="1220" t="n">
        <v>1.8</v>
      </c>
      <c r="I58" s="1220" t="n">
        <v>1.98</v>
      </c>
      <c r="J58" s="32" t="n">
        <v>182</v>
      </c>
      <c r="K58" s="32" t="inlineStr">
        <is>
          <t>14</t>
        </is>
      </c>
      <c r="L58" s="32" t="n"/>
      <c r="M58" s="33" t="inlineStr">
        <is>
          <t>СК3</t>
        </is>
      </c>
      <c r="N58" s="33" t="n"/>
      <c r="O58" s="32" t="n">
        <v>40</v>
      </c>
      <c r="P58" s="789">
        <f>HYPERLINK("https://abi.ru/products/Охлажденные/Вязанка/ГОСТ/Сосиски/P004551/","Сосиски «Молочные ГОСТ» ф/в 0,3 ц/о ТМ «Вязанка»")</f>
        <v/>
      </c>
      <c r="Q58" s="785" t="n"/>
      <c r="R58" s="785" t="n"/>
      <c r="S58" s="785" t="n"/>
      <c r="T58" s="786" t="n"/>
      <c r="U58" s="34" t="n"/>
      <c r="V58" s="34" t="n"/>
      <c r="W58" s="35" t="inlineStr">
        <is>
          <t>кг</t>
        </is>
      </c>
      <c r="X58" s="1221" t="n">
        <v>0</v>
      </c>
      <c r="Y58" s="1222">
        <f>IFERROR(IF(X58="",0,CEILING((X58/$H58),1)*$H58),"")</f>
        <v/>
      </c>
      <c r="Z58" s="36">
        <f>IFERROR(IF(Y58=0,"",ROUNDUP(Y58/H58,0)*0.00651),"")</f>
        <v/>
      </c>
      <c r="AA58" s="56" t="n"/>
      <c r="AB58" s="57" t="n"/>
      <c r="AC58" s="107" t="inlineStr">
        <is>
          <t>ЕАЭС N RU Д-RU.РА01.В.79167/24</t>
        </is>
      </c>
      <c r="AG58" s="64" t="n"/>
      <c r="AJ58" s="68" t="n"/>
      <c r="AK58" s="68" t="n">
        <v>0</v>
      </c>
      <c r="BB58" s="108" t="inlineStr">
        <is>
          <t>КИ</t>
        </is>
      </c>
      <c r="BM58" s="64">
        <f>IFERROR(X58*I58/H58,"0")</f>
        <v/>
      </c>
      <c r="BN58" s="64">
        <f>IFERROR(Y58*I58/H58,"0")</f>
        <v/>
      </c>
      <c r="BO58" s="64">
        <f>IFERROR(1/J58*(X58/H58),"0")</f>
        <v/>
      </c>
      <c r="BP58" s="64">
        <f>IFERROR(1/J58*(Y58/H58),"0")</f>
        <v/>
      </c>
    </row>
    <row r="59">
      <c r="A59" s="801" t="n"/>
      <c r="B59" s="800" t="n"/>
      <c r="C59" s="800" t="n"/>
      <c r="D59" s="800" t="n"/>
      <c r="E59" s="800" t="n"/>
      <c r="F59" s="800" t="n"/>
      <c r="G59" s="800" t="n"/>
      <c r="H59" s="800" t="n"/>
      <c r="I59" s="800" t="n"/>
      <c r="J59" s="800" t="n"/>
      <c r="K59" s="800" t="n"/>
      <c r="L59" s="800" t="n"/>
      <c r="M59" s="800" t="n"/>
      <c r="N59" s="800" t="n"/>
      <c r="O59" s="802" t="n"/>
      <c r="P59" s="796" t="inlineStr">
        <is>
          <t>Итого</t>
        </is>
      </c>
      <c r="Q59" s="793" t="n"/>
      <c r="R59" s="793" t="n"/>
      <c r="S59" s="793" t="n"/>
      <c r="T59" s="793" t="n"/>
      <c r="U59" s="793" t="n"/>
      <c r="V59" s="794" t="n"/>
      <c r="W59" s="37" t="inlineStr">
        <is>
          <t>кор</t>
        </is>
      </c>
      <c r="X59" s="1223">
        <f>IFERROR(X57/H57,"0")+IFERROR(X58/H58,"0")</f>
        <v/>
      </c>
      <c r="Y59" s="1223">
        <f>IFERROR(Y57/H57,"0")+IFERROR(Y58/H58,"0")</f>
        <v/>
      </c>
      <c r="Z59" s="1223">
        <f>IFERROR(IF(Z57="",0,Z57),"0")+IFERROR(IF(Z58="",0,Z58),"0")</f>
        <v/>
      </c>
      <c r="AA59" s="1224" t="n"/>
      <c r="AB59" s="1224" t="n"/>
      <c r="AC59" s="1224" t="n"/>
    </row>
    <row r="60">
      <c r="A60" s="800" t="n"/>
      <c r="B60" s="800" t="n"/>
      <c r="C60" s="800" t="n"/>
      <c r="D60" s="800" t="n"/>
      <c r="E60" s="800" t="n"/>
      <c r="F60" s="800" t="n"/>
      <c r="G60" s="800" t="n"/>
      <c r="H60" s="800" t="n"/>
      <c r="I60" s="800" t="n"/>
      <c r="J60" s="800" t="n"/>
      <c r="K60" s="800" t="n"/>
      <c r="L60" s="800" t="n"/>
      <c r="M60" s="800" t="n"/>
      <c r="N60" s="800" t="n"/>
      <c r="O60" s="802" t="n"/>
      <c r="P60" s="796" t="inlineStr">
        <is>
          <t>Итого</t>
        </is>
      </c>
      <c r="Q60" s="793" t="n"/>
      <c r="R60" s="793" t="n"/>
      <c r="S60" s="793" t="n"/>
      <c r="T60" s="793" t="n"/>
      <c r="U60" s="793" t="n"/>
      <c r="V60" s="794" t="n"/>
      <c r="W60" s="37" t="inlineStr">
        <is>
          <t>кг</t>
        </is>
      </c>
      <c r="X60" s="1223">
        <f>IFERROR(SUM(X57:X58),"0")</f>
        <v/>
      </c>
      <c r="Y60" s="1223">
        <f>IFERROR(SUM(Y57:Y58),"0")</f>
        <v/>
      </c>
      <c r="Z60" s="37" t="n"/>
      <c r="AA60" s="1224" t="n"/>
      <c r="AB60" s="1224" t="n"/>
      <c r="AC60" s="1224" t="n"/>
    </row>
    <row r="61" ht="16.5" customHeight="1">
      <c r="A61" s="807" t="inlineStr">
        <is>
          <t>Филейская</t>
        </is>
      </c>
      <c r="B61" s="800" t="n"/>
      <c r="C61" s="800" t="n"/>
      <c r="D61" s="800" t="n"/>
      <c r="E61" s="800" t="n"/>
      <c r="F61" s="800" t="n"/>
      <c r="G61" s="800" t="n"/>
      <c r="H61" s="800" t="n"/>
      <c r="I61" s="800" t="n"/>
      <c r="J61" s="800" t="n"/>
      <c r="K61" s="800" t="n"/>
      <c r="L61" s="800" t="n"/>
      <c r="M61" s="800" t="n"/>
      <c r="N61" s="800" t="n"/>
      <c r="O61" s="800" t="n"/>
      <c r="P61" s="800" t="n"/>
      <c r="Q61" s="800" t="n"/>
      <c r="R61" s="800" t="n"/>
      <c r="S61" s="800" t="n"/>
      <c r="T61" s="800" t="n"/>
      <c r="U61" s="800" t="n"/>
      <c r="V61" s="800" t="n"/>
      <c r="W61" s="800" t="n"/>
      <c r="X61" s="800" t="n"/>
      <c r="Y61" s="800" t="n"/>
      <c r="Z61" s="800" t="n"/>
      <c r="AA61" s="807" t="n"/>
      <c r="AB61" s="807" t="n"/>
      <c r="AC61" s="807" t="n"/>
    </row>
    <row r="62" ht="14.25" customHeight="1">
      <c r="A62" s="799" t="inlineStr">
        <is>
          <t>Вареные колбасы</t>
        </is>
      </c>
      <c r="B62" s="800" t="n"/>
      <c r="C62" s="800" t="n"/>
      <c r="D62" s="800" t="n"/>
      <c r="E62" s="800" t="n"/>
      <c r="F62" s="800" t="n"/>
      <c r="G62" s="800" t="n"/>
      <c r="H62" s="800" t="n"/>
      <c r="I62" s="800" t="n"/>
      <c r="J62" s="800" t="n"/>
      <c r="K62" s="800" t="n"/>
      <c r="L62" s="800" t="n"/>
      <c r="M62" s="800" t="n"/>
      <c r="N62" s="800" t="n"/>
      <c r="O62" s="800" t="n"/>
      <c r="P62" s="800" t="n"/>
      <c r="Q62" s="800" t="n"/>
      <c r="R62" s="800" t="n"/>
      <c r="S62" s="800" t="n"/>
      <c r="T62" s="800" t="n"/>
      <c r="U62" s="800" t="n"/>
      <c r="V62" s="800" t="n"/>
      <c r="W62" s="800" t="n"/>
      <c r="X62" s="800" t="n"/>
      <c r="Y62" s="800" t="n"/>
      <c r="Z62" s="800" t="n"/>
      <c r="AA62" s="799" t="n"/>
      <c r="AB62" s="799" t="n"/>
      <c r="AC62" s="799" t="n"/>
    </row>
    <row r="63" ht="27" customHeight="1">
      <c r="A63" s="54" t="inlineStr">
        <is>
          <t>SU003642</t>
        </is>
      </c>
      <c r="B63" s="54" t="inlineStr">
        <is>
          <t>P004621</t>
        </is>
      </c>
      <c r="C63" s="31" t="n">
        <v>4301012030</v>
      </c>
      <c r="D63" s="782" t="n">
        <v>4680115885882</v>
      </c>
      <c r="E63" s="783" t="n"/>
      <c r="F63" s="1220" t="n">
        <v>1.4</v>
      </c>
      <c r="G63" s="32" t="n">
        <v>8</v>
      </c>
      <c r="H63" s="1220" t="n">
        <v>11.2</v>
      </c>
      <c r="I63" s="1220" t="n">
        <v>11.68</v>
      </c>
      <c r="J63" s="32" t="n">
        <v>56</v>
      </c>
      <c r="K63" s="32" t="inlineStr">
        <is>
          <t>8</t>
        </is>
      </c>
      <c r="L63" s="32" t="n"/>
      <c r="M63" s="33" t="inlineStr">
        <is>
          <t>СК3</t>
        </is>
      </c>
      <c r="N63" s="33" t="n"/>
      <c r="O63" s="32" t="n">
        <v>50</v>
      </c>
      <c r="P63" s="1128">
        <f>HYPERLINK("https://abi.ru/products/Охлажденные/Вязанка/Филейская/Вареные колбасы/P004621/","Вареные колбасы «Филейская со шпиком» Весовые п/а ТМ «Вязанка»")</f>
        <v/>
      </c>
      <c r="Q63" s="785" t="n"/>
      <c r="R63" s="785" t="n"/>
      <c r="S63" s="785" t="n"/>
      <c r="T63" s="786" t="n"/>
      <c r="U63" s="34" t="n"/>
      <c r="V63" s="34" t="n"/>
      <c r="W63" s="35" t="inlineStr">
        <is>
          <t>кг</t>
        </is>
      </c>
      <c r="X63" s="1221" t="n">
        <v>0</v>
      </c>
      <c r="Y63" s="1222">
        <f>IFERROR(IF(X63="",0,CEILING((X63/$H63),1)*$H63),"")</f>
        <v/>
      </c>
      <c r="Z63" s="36">
        <f>IFERROR(IF(Y63=0,"",ROUNDUP(Y63/H63,0)*0.02175),"")</f>
        <v/>
      </c>
      <c r="AA63" s="56" t="n"/>
      <c r="AB63" s="57" t="n"/>
      <c r="AC63" s="109" t="inlineStr">
        <is>
          <t>ЕАЭС N RU Д-RU.РА06.В.18331/23</t>
        </is>
      </c>
      <c r="AG63" s="64" t="n"/>
      <c r="AJ63" s="68" t="n"/>
      <c r="AK63" s="68" t="n">
        <v>0</v>
      </c>
      <c r="BB63" s="110" t="inlineStr">
        <is>
          <t>КИ</t>
        </is>
      </c>
      <c r="BM63" s="64">
        <f>IFERROR(X63*I63/H63,"0")</f>
        <v/>
      </c>
      <c r="BN63" s="64">
        <f>IFERROR(Y63*I63/H63,"0")</f>
        <v/>
      </c>
      <c r="BO63" s="64">
        <f>IFERROR(1/J63*(X63/H63),"0")</f>
        <v/>
      </c>
      <c r="BP63" s="64">
        <f>IFERROR(1/J63*(Y63/H63),"0")</f>
        <v/>
      </c>
    </row>
    <row r="64" ht="27" customHeight="1">
      <c r="A64" s="54" t="inlineStr">
        <is>
          <t>SU002829</t>
        </is>
      </c>
      <c r="B64" s="54" t="inlineStr">
        <is>
          <t>P003235</t>
        </is>
      </c>
      <c r="C64" s="31" t="n">
        <v>4301011816</v>
      </c>
      <c r="D64" s="782" t="n">
        <v>4680115881426</v>
      </c>
      <c r="E64" s="783" t="n"/>
      <c r="F64" s="1220" t="n">
        <v>1.35</v>
      </c>
      <c r="G64" s="32" t="n">
        <v>8</v>
      </c>
      <c r="H64" s="1220" t="n">
        <v>10.8</v>
      </c>
      <c r="I64" s="1220" t="n">
        <v>11.28</v>
      </c>
      <c r="J64" s="32" t="n">
        <v>56</v>
      </c>
      <c r="K64" s="32" t="inlineStr">
        <is>
          <t>8</t>
        </is>
      </c>
      <c r="L64" s="32" t="inlineStr">
        <is>
          <t>Палетта, мин. 1</t>
        </is>
      </c>
      <c r="M64" s="33" t="inlineStr">
        <is>
          <t>СК1</t>
        </is>
      </c>
      <c r="N64" s="33" t="n"/>
      <c r="O64" s="32" t="n">
        <v>50</v>
      </c>
      <c r="P64" s="886">
        <f>HYPERLINK("https://abi.ru/products/Охлажденные/Вязанка/Филейская/Вареные колбасы/P003235/","Вареные колбасы «Филейская» Весовые Вектор ТМ «Вязанка»")</f>
        <v/>
      </c>
      <c r="Q64" s="785" t="n"/>
      <c r="R64" s="785" t="n"/>
      <c r="S64" s="785" t="n"/>
      <c r="T64" s="786" t="n"/>
      <c r="U64" s="34" t="n"/>
      <c r="V64" s="34" t="n"/>
      <c r="W64" s="35" t="inlineStr">
        <is>
          <t>кг</t>
        </is>
      </c>
      <c r="X64" s="1221" t="n">
        <v>0</v>
      </c>
      <c r="Y64" s="1222">
        <f>IFERROR(IF(X64="",0,CEILING((X64/$H64),1)*$H64),"")</f>
        <v/>
      </c>
      <c r="Z64" s="36">
        <f>IFERROR(IF(Y64=0,"",ROUNDUP(Y64/H64,0)*0.02175),"")</f>
        <v/>
      </c>
      <c r="AA64" s="56" t="n"/>
      <c r="AB64" s="57" t="n"/>
      <c r="AC64" s="111" t="inlineStr">
        <is>
          <t>ЕАЭС N RU Д-RU.РА01.В.10475/23</t>
        </is>
      </c>
      <c r="AG64" s="64" t="n"/>
      <c r="AJ64" s="68" t="inlineStr">
        <is>
          <t>Палетта</t>
        </is>
      </c>
      <c r="AK64" s="68" t="n">
        <v>604.8</v>
      </c>
      <c r="BB64" s="112" t="inlineStr">
        <is>
          <t>КИ</t>
        </is>
      </c>
      <c r="BM64" s="64">
        <f>IFERROR(X64*I64/H64,"0")</f>
        <v/>
      </c>
      <c r="BN64" s="64">
        <f>IFERROR(Y64*I64/H64,"0")</f>
        <v/>
      </c>
      <c r="BO64" s="64">
        <f>IFERROR(1/J64*(X64/H64),"0")</f>
        <v/>
      </c>
      <c r="BP64" s="64">
        <f>IFERROR(1/J64*(Y64/H64),"0")</f>
        <v/>
      </c>
    </row>
    <row r="65" ht="27" customHeight="1">
      <c r="A65" s="54" t="inlineStr">
        <is>
          <t>SU002829</t>
        </is>
      </c>
      <c r="B65" s="54" t="inlineStr">
        <is>
          <t>P003298</t>
        </is>
      </c>
      <c r="C65" s="31" t="n">
        <v>4301011948</v>
      </c>
      <c r="D65" s="782" t="n">
        <v>4680115881426</v>
      </c>
      <c r="E65" s="783" t="n"/>
      <c r="F65" s="1220" t="n">
        <v>1.35</v>
      </c>
      <c r="G65" s="32" t="n">
        <v>8</v>
      </c>
      <c r="H65" s="1220" t="n">
        <v>10.8</v>
      </c>
      <c r="I65" s="1220" t="n">
        <v>11.28</v>
      </c>
      <c r="J65" s="32" t="n">
        <v>48</v>
      </c>
      <c r="K65" s="32" t="inlineStr">
        <is>
          <t>8</t>
        </is>
      </c>
      <c r="L65" s="32" t="n"/>
      <c r="M65" s="33" t="inlineStr">
        <is>
          <t>ВЗ</t>
        </is>
      </c>
      <c r="N65" s="33" t="n"/>
      <c r="O65" s="32" t="n">
        <v>55</v>
      </c>
      <c r="P65" s="840">
        <f>HYPERLINK("https://abi.ru/products/Охлажденные/Вязанка/Филейская/Вареные колбасы/P003298/","Вареные колбасы «Филейская» Весовые Вектор ТМ «Вязанка»")</f>
        <v/>
      </c>
      <c r="Q65" s="785" t="n"/>
      <c r="R65" s="785" t="n"/>
      <c r="S65" s="785" t="n"/>
      <c r="T65" s="786" t="n"/>
      <c r="U65" s="34" t="n"/>
      <c r="V65" s="34" t="n"/>
      <c r="W65" s="35" t="inlineStr">
        <is>
          <t>кг</t>
        </is>
      </c>
      <c r="X65" s="1221" t="n">
        <v>0</v>
      </c>
      <c r="Y65" s="1222">
        <f>IFERROR(IF(X65="",0,CEILING((X65/$H65),1)*$H65),"")</f>
        <v/>
      </c>
      <c r="Z65" s="36">
        <f>IFERROR(IF(Y65=0,"",ROUNDUP(Y65/H65,0)*0.02039),"")</f>
        <v/>
      </c>
      <c r="AA65" s="56" t="n"/>
      <c r="AB65" s="57" t="n"/>
      <c r="AC65" s="113" t="inlineStr">
        <is>
          <t>ЕАЭС N RU Д-RU.РА03.В.17296/24</t>
        </is>
      </c>
      <c r="AG65" s="64" t="n"/>
      <c r="AJ65" s="68" t="n"/>
      <c r="AK65" s="68" t="n">
        <v>0</v>
      </c>
      <c r="BB65" s="114" t="inlineStr">
        <is>
          <t>КИ</t>
        </is>
      </c>
      <c r="BM65" s="64">
        <f>IFERROR(X65*I65/H65,"0")</f>
        <v/>
      </c>
      <c r="BN65" s="64">
        <f>IFERROR(Y65*I65/H65,"0")</f>
        <v/>
      </c>
      <c r="BO65" s="64">
        <f>IFERROR(1/J65*(X65/H65),"0")</f>
        <v/>
      </c>
      <c r="BP65" s="64">
        <f>IFERROR(1/J65*(Y65/H65),"0")</f>
        <v/>
      </c>
    </row>
    <row r="66" ht="27" customHeight="1">
      <c r="A66" s="54" t="inlineStr">
        <is>
          <t>SU002674</t>
        </is>
      </c>
      <c r="B66" s="54" t="inlineStr">
        <is>
          <t>P003045</t>
        </is>
      </c>
      <c r="C66" s="31" t="n">
        <v>4301011386</v>
      </c>
      <c r="D66" s="782" t="n">
        <v>4680115880283</v>
      </c>
      <c r="E66" s="783" t="n"/>
      <c r="F66" s="1220" t="n">
        <v>0.6</v>
      </c>
      <c r="G66" s="32" t="n">
        <v>8</v>
      </c>
      <c r="H66" s="1220" t="n">
        <v>4.8</v>
      </c>
      <c r="I66" s="1220" t="n">
        <v>5.01</v>
      </c>
      <c r="J66" s="32" t="n">
        <v>132</v>
      </c>
      <c r="K66" s="32" t="inlineStr">
        <is>
          <t>12</t>
        </is>
      </c>
      <c r="L66" s="32" t="n"/>
      <c r="M66" s="33" t="inlineStr">
        <is>
          <t>СК1</t>
        </is>
      </c>
      <c r="N66" s="33" t="n"/>
      <c r="O66" s="32" t="n">
        <v>45</v>
      </c>
      <c r="P66" s="1084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/>
      </c>
      <c r="Q66" s="785" t="n"/>
      <c r="R66" s="785" t="n"/>
      <c r="S66" s="785" t="n"/>
      <c r="T66" s="786" t="n"/>
      <c r="U66" s="34" t="n"/>
      <c r="V66" s="34" t="n"/>
      <c r="W66" s="35" t="inlineStr">
        <is>
          <t>кг</t>
        </is>
      </c>
      <c r="X66" s="1221" t="n">
        <v>0</v>
      </c>
      <c r="Y66" s="1222">
        <f>IFERROR(IF(X66="",0,CEILING((X66/$H66),1)*$H66),"")</f>
        <v/>
      </c>
      <c r="Z66" s="36">
        <f>IFERROR(IF(Y66=0,"",ROUNDUP(Y66/H66,0)*0.00902),"")</f>
        <v/>
      </c>
      <c r="AA66" s="56" t="n"/>
      <c r="AB66" s="57" t="n"/>
      <c r="AC66" s="115" t="inlineStr">
        <is>
          <t>ЕАЭС N RU Д-RU.РА03.В.20230/22, ЕАЭС № RU Д-RU.АБ75.В.00997/19</t>
        </is>
      </c>
      <c r="AG66" s="64" t="n"/>
      <c r="AJ66" s="68" t="n"/>
      <c r="AK66" s="68" t="n">
        <v>0</v>
      </c>
      <c r="BB66" s="116" t="inlineStr">
        <is>
          <t>КИ</t>
        </is>
      </c>
      <c r="BM66" s="64">
        <f>IFERROR(X66*I66/H66,"0")</f>
        <v/>
      </c>
      <c r="BN66" s="64">
        <f>IFERROR(Y66*I66/H66,"0")</f>
        <v/>
      </c>
      <c r="BO66" s="64">
        <f>IFERROR(1/J66*(X66/H66),"0")</f>
        <v/>
      </c>
      <c r="BP66" s="64">
        <f>IFERROR(1/J66*(Y66/H66),"0")</f>
        <v/>
      </c>
    </row>
    <row r="67" ht="27" customHeight="1">
      <c r="A67" s="54" t="inlineStr">
        <is>
          <t>SU002785</t>
        </is>
      </c>
      <c r="B67" s="54" t="inlineStr">
        <is>
          <t>P003187</t>
        </is>
      </c>
      <c r="C67" s="31" t="n">
        <v>4301011432</v>
      </c>
      <c r="D67" s="782" t="n">
        <v>4680115882720</v>
      </c>
      <c r="E67" s="783" t="n"/>
      <c r="F67" s="1220" t="n">
        <v>0.45</v>
      </c>
      <c r="G67" s="32" t="n">
        <v>10</v>
      </c>
      <c r="H67" s="1220" t="n">
        <v>4.5</v>
      </c>
      <c r="I67" s="1220" t="n">
        <v>4.71</v>
      </c>
      <c r="J67" s="32" t="n">
        <v>132</v>
      </c>
      <c r="K67" s="32" t="inlineStr">
        <is>
          <t>12</t>
        </is>
      </c>
      <c r="L67" s="32" t="n"/>
      <c r="M67" s="33" t="inlineStr">
        <is>
          <t>СК1</t>
        </is>
      </c>
      <c r="N67" s="33" t="n"/>
      <c r="O67" s="32" t="n">
        <v>90</v>
      </c>
      <c r="P67" s="873">
        <f>HYPERLINK("https://abi.ru/products/Охлажденные/Вязанка/Филейская/Вареные колбасы/P003187/","Вареные колбасы «Филейская #Живой_пар» ф/в 0,45 п/а ТМ «Вязанка»")</f>
        <v/>
      </c>
      <c r="Q67" s="785" t="n"/>
      <c r="R67" s="785" t="n"/>
      <c r="S67" s="785" t="n"/>
      <c r="T67" s="786" t="n"/>
      <c r="U67" s="34" t="n"/>
      <c r="V67" s="34" t="n"/>
      <c r="W67" s="35" t="inlineStr">
        <is>
          <t>кг</t>
        </is>
      </c>
      <c r="X67" s="1221" t="n">
        <v>0</v>
      </c>
      <c r="Y67" s="1222">
        <f>IFERROR(IF(X67="",0,CEILING((X67/$H67),1)*$H67),"")</f>
        <v/>
      </c>
      <c r="Z67" s="36">
        <f>IFERROR(IF(Y67=0,"",ROUNDUP(Y67/H67,0)*0.00902),"")</f>
        <v/>
      </c>
      <c r="AA67" s="56" t="n"/>
      <c r="AB67" s="57" t="n"/>
      <c r="AC67" s="117" t="inlineStr">
        <is>
          <t>ЕАЭС N RU Д-RU.РА05.В.44775/23</t>
        </is>
      </c>
      <c r="AG67" s="64" t="n"/>
      <c r="AJ67" s="68" t="n"/>
      <c r="AK67" s="68" t="n">
        <v>0</v>
      </c>
      <c r="BB67" s="118" t="inlineStr">
        <is>
          <t>КИ</t>
        </is>
      </c>
      <c r="BM67" s="64">
        <f>IFERROR(X67*I67/H67,"0")</f>
        <v/>
      </c>
      <c r="BN67" s="64">
        <f>IFERROR(Y67*I67/H67,"0")</f>
        <v/>
      </c>
      <c r="BO67" s="64">
        <f>IFERROR(1/J67*(X67/H67),"0")</f>
        <v/>
      </c>
      <c r="BP67" s="64">
        <f>IFERROR(1/J67*(Y67/H67),"0")</f>
        <v/>
      </c>
    </row>
    <row r="68" ht="37.5" customHeight="1">
      <c r="A68" s="54" t="inlineStr">
        <is>
          <t>SU002831</t>
        </is>
      </c>
      <c r="B68" s="54" t="inlineStr">
        <is>
          <t>P003243</t>
        </is>
      </c>
      <c r="C68" s="31" t="n">
        <v>4301011806</v>
      </c>
      <c r="D68" s="782" t="n">
        <v>4680115881525</v>
      </c>
      <c r="E68" s="783" t="n"/>
      <c r="F68" s="1220" t="n">
        <v>0.4</v>
      </c>
      <c r="G68" s="32" t="n">
        <v>10</v>
      </c>
      <c r="H68" s="1220" t="n">
        <v>4</v>
      </c>
      <c r="I68" s="1220" t="n">
        <v>4.21</v>
      </c>
      <c r="J68" s="32" t="n">
        <v>132</v>
      </c>
      <c r="K68" s="32" t="inlineStr">
        <is>
          <t>12</t>
        </is>
      </c>
      <c r="L68" s="32" t="n"/>
      <c r="M68" s="33" t="inlineStr">
        <is>
          <t>СК1</t>
        </is>
      </c>
      <c r="N68" s="33" t="n"/>
      <c r="O68" s="32" t="n">
        <v>50</v>
      </c>
      <c r="P68" s="1109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/>
      </c>
      <c r="Q68" s="785" t="n"/>
      <c r="R68" s="785" t="n"/>
      <c r="S68" s="785" t="n"/>
      <c r="T68" s="786" t="n"/>
      <c r="U68" s="34" t="n"/>
      <c r="V68" s="34" t="n"/>
      <c r="W68" s="35" t="inlineStr">
        <is>
          <t>кг</t>
        </is>
      </c>
      <c r="X68" s="1221" t="n">
        <v>0</v>
      </c>
      <c r="Y68" s="1222">
        <f>IFERROR(IF(X68="",0,CEILING((X68/$H68),1)*$H68),"")</f>
        <v/>
      </c>
      <c r="Z68" s="36">
        <f>IFERROR(IF(Y68=0,"",ROUNDUP(Y68/H68,0)*0.00902),"")</f>
        <v/>
      </c>
      <c r="AA68" s="56" t="n"/>
      <c r="AB68" s="57" t="n"/>
      <c r="AC68" s="119" t="inlineStr">
        <is>
          <t>ЕАЭС N RU Д-RU.РА01.В.10475/23, ЕАЭС N RU Д-RU.РА01.В.10512/23, ЕАЭС N RU Д-RU.РА01.В.10568/23</t>
        </is>
      </c>
      <c r="AG68" s="64" t="n"/>
      <c r="AJ68" s="68" t="n"/>
      <c r="AK68" s="68" t="n">
        <v>0</v>
      </c>
      <c r="BB68" s="120" t="inlineStr">
        <is>
          <t>КИ</t>
        </is>
      </c>
      <c r="BM68" s="64">
        <f>IFERROR(X68*I68/H68,"0")</f>
        <v/>
      </c>
      <c r="BN68" s="64">
        <f>IFERROR(Y68*I68/H68,"0")</f>
        <v/>
      </c>
      <c r="BO68" s="64">
        <f>IFERROR(1/J68*(X68/H68),"0")</f>
        <v/>
      </c>
      <c r="BP68" s="64">
        <f>IFERROR(1/J68*(Y68/H68),"0")</f>
        <v/>
      </c>
    </row>
    <row r="69" ht="37.5" customHeight="1">
      <c r="A69" s="54" t="inlineStr">
        <is>
          <t>SU003033</t>
        </is>
      </c>
      <c r="B69" s="54" t="inlineStr">
        <is>
          <t>P003578</t>
        </is>
      </c>
      <c r="C69" s="31" t="n">
        <v>4301011589</v>
      </c>
      <c r="D69" s="782" t="n">
        <v>4680115885899</v>
      </c>
      <c r="E69" s="783" t="n"/>
      <c r="F69" s="1220" t="n">
        <v>0.35</v>
      </c>
      <c r="G69" s="32" t="n">
        <v>6</v>
      </c>
      <c r="H69" s="1220" t="n">
        <v>2.1</v>
      </c>
      <c r="I69" s="1220" t="n">
        <v>2.28</v>
      </c>
      <c r="J69" s="32" t="n">
        <v>182</v>
      </c>
      <c r="K69" s="32" t="inlineStr">
        <is>
          <t>14</t>
        </is>
      </c>
      <c r="L69" s="32" t="n"/>
      <c r="M69" s="33" t="inlineStr">
        <is>
          <t>СК4</t>
        </is>
      </c>
      <c r="N69" s="33" t="n"/>
      <c r="O69" s="32" t="n">
        <v>50</v>
      </c>
      <c r="P69" s="1055">
        <f>HYPERLINK("https://abi.ru/products/Охлажденные/Вязанка/Филейская/Вареные колбасы/P003578/","Вареные колбасы «Филейская со шпиком» ф/в 0,35 п/а ТМ «Вязанка»")</f>
        <v/>
      </c>
      <c r="Q69" s="785" t="n"/>
      <c r="R69" s="785" t="n"/>
      <c r="S69" s="785" t="n"/>
      <c r="T69" s="786" t="n"/>
      <c r="U69" s="34" t="n"/>
      <c r="V69" s="34" t="n"/>
      <c r="W69" s="35" t="inlineStr">
        <is>
          <t>кг</t>
        </is>
      </c>
      <c r="X69" s="1221" t="n">
        <v>0</v>
      </c>
      <c r="Y69" s="1222">
        <f>IFERROR(IF(X69="",0,CEILING((X69/$H69),1)*$H69),"")</f>
        <v/>
      </c>
      <c r="Z69" s="36">
        <f>IFERROR(IF(Y69=0,"",ROUNDUP(Y69/H69,0)*0.00651),"")</f>
        <v/>
      </c>
      <c r="AA69" s="56" t="n"/>
      <c r="AB69" s="57" t="n"/>
      <c r="AC69" s="121" t="inlineStr">
        <is>
          <t>ЕАЭС N RU Д-RU.РА06.В.18263/23, ЕАЭС N RU Д-RU.РА06.В.18331/23, ЕАЭС N RU Д-RU.РА06.В.18639/23</t>
        </is>
      </c>
      <c r="AG69" s="64" t="n"/>
      <c r="AJ69" s="68" t="n"/>
      <c r="AK69" s="68" t="n">
        <v>0</v>
      </c>
      <c r="BB69" s="122" t="inlineStr">
        <is>
          <t>КИ</t>
        </is>
      </c>
      <c r="BM69" s="64">
        <f>IFERROR(X69*I69/H69,"0")</f>
        <v/>
      </c>
      <c r="BN69" s="64">
        <f>IFERROR(Y69*I69/H69,"0")</f>
        <v/>
      </c>
      <c r="BO69" s="64">
        <f>IFERROR(1/J69*(X69/H69),"0")</f>
        <v/>
      </c>
      <c r="BP69" s="64">
        <f>IFERROR(1/J69*(Y69/H69),"0")</f>
        <v/>
      </c>
    </row>
    <row r="70" ht="27" customHeight="1">
      <c r="A70" s="54" t="inlineStr">
        <is>
          <t>SU000125</t>
        </is>
      </c>
      <c r="B70" s="54" t="inlineStr">
        <is>
          <t>P002479</t>
        </is>
      </c>
      <c r="C70" s="31" t="n">
        <v>4301011192</v>
      </c>
      <c r="D70" s="782" t="n">
        <v>4607091382952</v>
      </c>
      <c r="E70" s="783" t="n"/>
      <c r="F70" s="1220" t="n">
        <v>0.5</v>
      </c>
      <c r="G70" s="32" t="n">
        <v>6</v>
      </c>
      <c r="H70" s="1220" t="n">
        <v>3</v>
      </c>
      <c r="I70" s="1220" t="n">
        <v>3.21</v>
      </c>
      <c r="J70" s="32" t="n">
        <v>132</v>
      </c>
      <c r="K70" s="32" t="inlineStr">
        <is>
          <t>12</t>
        </is>
      </c>
      <c r="L70" s="32" t="n"/>
      <c r="M70" s="33" t="inlineStr">
        <is>
          <t>СК1</t>
        </is>
      </c>
      <c r="N70" s="33" t="n"/>
      <c r="O70" s="32" t="n">
        <v>50</v>
      </c>
      <c r="P70" s="839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/>
      </c>
      <c r="Q70" s="785" t="n"/>
      <c r="R70" s="785" t="n"/>
      <c r="S70" s="785" t="n"/>
      <c r="T70" s="786" t="n"/>
      <c r="U70" s="34" t="n"/>
      <c r="V70" s="34" t="n"/>
      <c r="W70" s="35" t="inlineStr">
        <is>
          <t>кг</t>
        </is>
      </c>
      <c r="X70" s="1221" t="n">
        <v>0</v>
      </c>
      <c r="Y70" s="1222">
        <f>IFERROR(IF(X70="",0,CEILING((X70/$H70),1)*$H70),"")</f>
        <v/>
      </c>
      <c r="Z70" s="36">
        <f>IFERROR(IF(Y70=0,"",ROUNDUP(Y70/H70,0)*0.00902),"")</f>
        <v/>
      </c>
      <c r="AA70" s="56" t="n"/>
      <c r="AB70" s="57" t="n"/>
      <c r="AC70" s="123" t="inlineStr">
        <is>
          <t>ЕАЭС N RU Д-RU.РА02.В.59573/22</t>
        </is>
      </c>
      <c r="AG70" s="64" t="n"/>
      <c r="AJ70" s="68" t="n"/>
      <c r="AK70" s="68" t="n">
        <v>0</v>
      </c>
      <c r="BB70" s="124" t="inlineStr">
        <is>
          <t>КИ</t>
        </is>
      </c>
      <c r="BM70" s="64">
        <f>IFERROR(X70*I70/H70,"0")</f>
        <v/>
      </c>
      <c r="BN70" s="64">
        <f>IFERROR(Y70*I70/H70,"0")</f>
        <v/>
      </c>
      <c r="BO70" s="64">
        <f>IFERROR(1/J70*(X70/H70),"0")</f>
        <v/>
      </c>
      <c r="BP70" s="64">
        <f>IFERROR(1/J70*(Y70/H70),"0")</f>
        <v/>
      </c>
    </row>
    <row r="71" ht="27" customHeight="1">
      <c r="A71" s="54" t="inlineStr">
        <is>
          <t>SU002815</t>
        </is>
      </c>
      <c r="B71" s="54" t="inlineStr">
        <is>
          <t>P003227</t>
        </is>
      </c>
      <c r="C71" s="31" t="n">
        <v>4301011802</v>
      </c>
      <c r="D71" s="782" t="n">
        <v>4680115881419</v>
      </c>
      <c r="E71" s="783" t="n"/>
      <c r="F71" s="1220" t="n">
        <v>0.45</v>
      </c>
      <c r="G71" s="32" t="n">
        <v>10</v>
      </c>
      <c r="H71" s="1220" t="n">
        <v>4.5</v>
      </c>
      <c r="I71" s="1220" t="n">
        <v>4.71</v>
      </c>
      <c r="J71" s="32" t="n">
        <v>132</v>
      </c>
      <c r="K71" s="32" t="inlineStr">
        <is>
          <t>12</t>
        </is>
      </c>
      <c r="L71" s="32" t="inlineStr">
        <is>
          <t>Слой, мин. 1</t>
        </is>
      </c>
      <c r="M71" s="33" t="inlineStr">
        <is>
          <t>СК2</t>
        </is>
      </c>
      <c r="N71" s="33" t="n"/>
      <c r="O71" s="32" t="n">
        <v>50</v>
      </c>
      <c r="P71" s="784">
        <f>HYPERLINK("https://abi.ru/products/Охлажденные/Вязанка/Филейская/Вареные колбасы/P003227/","Вареные колбасы «Филейская» Фикс.вес 0,45 Вектор ТМ «Вязанка»")</f>
        <v/>
      </c>
      <c r="Q71" s="785" t="n"/>
      <c r="R71" s="785" t="n"/>
      <c r="S71" s="785" t="n"/>
      <c r="T71" s="786" t="n"/>
      <c r="U71" s="34" t="n"/>
      <c r="V71" s="34" t="n"/>
      <c r="W71" s="35" t="inlineStr">
        <is>
          <t>кг</t>
        </is>
      </c>
      <c r="X71" s="1221" t="n">
        <v>0</v>
      </c>
      <c r="Y71" s="1222">
        <f>IFERROR(IF(X71="",0,CEILING((X71/$H71),1)*$H71),"")</f>
        <v/>
      </c>
      <c r="Z71" s="36">
        <f>IFERROR(IF(Y71=0,"",ROUNDUP(Y71/H71,0)*0.00902),"")</f>
        <v/>
      </c>
      <c r="AA71" s="56" t="n"/>
      <c r="AB71" s="57" t="n"/>
      <c r="AC71" s="125" t="inlineStr">
        <is>
          <t>ЕАЭС N RU Д-RU.РА01.В.10475/23, ЕАЭС N RU Д-RU.РА01.В.10512/23</t>
        </is>
      </c>
      <c r="AG71" s="64" t="n"/>
      <c r="AJ71" s="68" t="inlineStr">
        <is>
          <t>Слой</t>
        </is>
      </c>
      <c r="AK71" s="68" t="n">
        <v>54</v>
      </c>
      <c r="BB71" s="126" t="inlineStr">
        <is>
          <t>КИ</t>
        </is>
      </c>
      <c r="BM71" s="64">
        <f>IFERROR(X71*I71/H71,"0")</f>
        <v/>
      </c>
      <c r="BN71" s="64">
        <f>IFERROR(Y71*I71/H71,"0")</f>
        <v/>
      </c>
      <c r="BO71" s="64">
        <f>IFERROR(1/J71*(X71/H71),"0")</f>
        <v/>
      </c>
      <c r="BP71" s="64">
        <f>IFERROR(1/J71*(Y71/H71),"0")</f>
        <v/>
      </c>
    </row>
    <row r="72">
      <c r="A72" s="801" t="n"/>
      <c r="B72" s="800" t="n"/>
      <c r="C72" s="800" t="n"/>
      <c r="D72" s="800" t="n"/>
      <c r="E72" s="800" t="n"/>
      <c r="F72" s="800" t="n"/>
      <c r="G72" s="800" t="n"/>
      <c r="H72" s="800" t="n"/>
      <c r="I72" s="800" t="n"/>
      <c r="J72" s="800" t="n"/>
      <c r="K72" s="800" t="n"/>
      <c r="L72" s="800" t="n"/>
      <c r="M72" s="800" t="n"/>
      <c r="N72" s="800" t="n"/>
      <c r="O72" s="802" t="n"/>
      <c r="P72" s="796" t="inlineStr">
        <is>
          <t>Итого</t>
        </is>
      </c>
      <c r="Q72" s="793" t="n"/>
      <c r="R72" s="793" t="n"/>
      <c r="S72" s="793" t="n"/>
      <c r="T72" s="793" t="n"/>
      <c r="U72" s="793" t="n"/>
      <c r="V72" s="794" t="n"/>
      <c r="W72" s="37" t="inlineStr">
        <is>
          <t>кор</t>
        </is>
      </c>
      <c r="X72" s="1223">
        <f>IFERROR(X63/H63,"0")+IFERROR(X64/H64,"0")+IFERROR(X65/H65,"0")+IFERROR(X66/H66,"0")+IFERROR(X67/H67,"0")+IFERROR(X68/H68,"0")+IFERROR(X69/H69,"0")+IFERROR(X70/H70,"0")+IFERROR(X71/H71,"0")</f>
        <v/>
      </c>
      <c r="Y72" s="1223">
        <f>IFERROR(Y63/H63,"0")+IFERROR(Y64/H64,"0")+IFERROR(Y65/H65,"0")+IFERROR(Y66/H66,"0")+IFERROR(Y67/H67,"0")+IFERROR(Y68/H68,"0")+IFERROR(Y69/H69,"0")+IFERROR(Y70/H70,"0")+IFERROR(Y71/H71,"0")</f>
        <v/>
      </c>
      <c r="Z72" s="1223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/>
      </c>
      <c r="AA72" s="1224" t="n"/>
      <c r="AB72" s="1224" t="n"/>
      <c r="AC72" s="1224" t="n"/>
    </row>
    <row r="73">
      <c r="A73" s="800" t="n"/>
      <c r="B73" s="800" t="n"/>
      <c r="C73" s="800" t="n"/>
      <c r="D73" s="800" t="n"/>
      <c r="E73" s="800" t="n"/>
      <c r="F73" s="800" t="n"/>
      <c r="G73" s="800" t="n"/>
      <c r="H73" s="800" t="n"/>
      <c r="I73" s="800" t="n"/>
      <c r="J73" s="800" t="n"/>
      <c r="K73" s="800" t="n"/>
      <c r="L73" s="800" t="n"/>
      <c r="M73" s="800" t="n"/>
      <c r="N73" s="800" t="n"/>
      <c r="O73" s="802" t="n"/>
      <c r="P73" s="796" t="inlineStr">
        <is>
          <t>Итого</t>
        </is>
      </c>
      <c r="Q73" s="793" t="n"/>
      <c r="R73" s="793" t="n"/>
      <c r="S73" s="793" t="n"/>
      <c r="T73" s="793" t="n"/>
      <c r="U73" s="793" t="n"/>
      <c r="V73" s="794" t="n"/>
      <c r="W73" s="37" t="inlineStr">
        <is>
          <t>кг</t>
        </is>
      </c>
      <c r="X73" s="1223">
        <f>IFERROR(SUM(X63:X71),"0")</f>
        <v/>
      </c>
      <c r="Y73" s="1223">
        <f>IFERROR(SUM(Y63:Y71),"0")</f>
        <v/>
      </c>
      <c r="Z73" s="37" t="n"/>
      <c r="AA73" s="1224" t="n"/>
      <c r="AB73" s="1224" t="n"/>
      <c r="AC73" s="1224" t="n"/>
    </row>
    <row r="74" ht="14.25" customHeight="1">
      <c r="A74" s="799" t="inlineStr">
        <is>
          <t>Ветчины</t>
        </is>
      </c>
      <c r="B74" s="800" t="n"/>
      <c r="C74" s="800" t="n"/>
      <c r="D74" s="800" t="n"/>
      <c r="E74" s="800" t="n"/>
      <c r="F74" s="800" t="n"/>
      <c r="G74" s="800" t="n"/>
      <c r="H74" s="800" t="n"/>
      <c r="I74" s="800" t="n"/>
      <c r="J74" s="800" t="n"/>
      <c r="K74" s="800" t="n"/>
      <c r="L74" s="800" t="n"/>
      <c r="M74" s="800" t="n"/>
      <c r="N74" s="800" t="n"/>
      <c r="O74" s="800" t="n"/>
      <c r="P74" s="800" t="n"/>
      <c r="Q74" s="800" t="n"/>
      <c r="R74" s="800" t="n"/>
      <c r="S74" s="800" t="n"/>
      <c r="T74" s="800" t="n"/>
      <c r="U74" s="800" t="n"/>
      <c r="V74" s="800" t="n"/>
      <c r="W74" s="800" t="n"/>
      <c r="X74" s="800" t="n"/>
      <c r="Y74" s="800" t="n"/>
      <c r="Z74" s="800" t="n"/>
      <c r="AA74" s="799" t="n"/>
      <c r="AB74" s="799" t="n"/>
      <c r="AC74" s="799" t="n"/>
    </row>
    <row r="75" ht="27" customHeight="1">
      <c r="A75" s="54" t="inlineStr">
        <is>
          <t>SU002828</t>
        </is>
      </c>
      <c r="B75" s="54" t="inlineStr">
        <is>
          <t>P003234</t>
        </is>
      </c>
      <c r="C75" s="31" t="n">
        <v>4301020298</v>
      </c>
      <c r="D75" s="782" t="n">
        <v>4680115881440</v>
      </c>
      <c r="E75" s="783" t="n"/>
      <c r="F75" s="1220" t="n">
        <v>1.35</v>
      </c>
      <c r="G75" s="32" t="n">
        <v>8</v>
      </c>
      <c r="H75" s="1220" t="n">
        <v>10.8</v>
      </c>
      <c r="I75" s="1220" t="n">
        <v>11.28</v>
      </c>
      <c r="J75" s="32" t="n">
        <v>56</v>
      </c>
      <c r="K75" s="32" t="inlineStr">
        <is>
          <t>8</t>
        </is>
      </c>
      <c r="L75" s="32" t="n"/>
      <c r="M75" s="33" t="inlineStr">
        <is>
          <t>СК1</t>
        </is>
      </c>
      <c r="N75" s="33" t="n"/>
      <c r="O75" s="32" t="n">
        <v>50</v>
      </c>
      <c r="P75" s="857">
        <f>HYPERLINK("https://abi.ru/products/Охлажденные/Вязанка/Филейская/Ветчины/P003234/","Ветчины «Филейская» Весовые Вектор ТМ «Вязанка»")</f>
        <v/>
      </c>
      <c r="Q75" s="785" t="n"/>
      <c r="R75" s="785" t="n"/>
      <c r="S75" s="785" t="n"/>
      <c r="T75" s="786" t="n"/>
      <c r="U75" s="34" t="n"/>
      <c r="V75" s="34" t="n"/>
      <c r="W75" s="35" t="inlineStr">
        <is>
          <t>кг</t>
        </is>
      </c>
      <c r="X75" s="1221" t="n">
        <v>0</v>
      </c>
      <c r="Y75" s="1222">
        <f>IFERROR(IF(X75="",0,CEILING((X75/$H75),1)*$H75),"")</f>
        <v/>
      </c>
      <c r="Z75" s="36">
        <f>IFERROR(IF(Y75=0,"",ROUNDUP(Y75/H75,0)*0.02175),"")</f>
        <v/>
      </c>
      <c r="AA75" s="56" t="n"/>
      <c r="AB75" s="57" t="n"/>
      <c r="AC75" s="127" t="inlineStr">
        <is>
          <t>ЕАЭС N RU Д-RU.РА01.В.10660/23</t>
        </is>
      </c>
      <c r="AG75" s="64" t="n"/>
      <c r="AJ75" s="68" t="n"/>
      <c r="AK75" s="68" t="n">
        <v>0</v>
      </c>
      <c r="BB75" s="128" t="inlineStr">
        <is>
          <t>КИ</t>
        </is>
      </c>
      <c r="BM75" s="64">
        <f>IFERROR(X75*I75/H75,"0")</f>
        <v/>
      </c>
      <c r="BN75" s="64">
        <f>IFERROR(Y75*I75/H75,"0")</f>
        <v/>
      </c>
      <c r="BO75" s="64">
        <f>IFERROR(1/J75*(X75/H75),"0")</f>
        <v/>
      </c>
      <c r="BP75" s="64">
        <f>IFERROR(1/J75*(Y75/H75),"0")</f>
        <v/>
      </c>
    </row>
    <row r="76" ht="27" customHeight="1">
      <c r="A76" s="54" t="inlineStr">
        <is>
          <t>SU002786</t>
        </is>
      </c>
      <c r="B76" s="54" t="inlineStr">
        <is>
          <t>P003188</t>
        </is>
      </c>
      <c r="C76" s="31" t="n">
        <v>4301020228</v>
      </c>
      <c r="D76" s="782" t="n">
        <v>4680115882751</v>
      </c>
      <c r="E76" s="783" t="n"/>
      <c r="F76" s="1220" t="n">
        <v>0.45</v>
      </c>
      <c r="G76" s="32" t="n">
        <v>10</v>
      </c>
      <c r="H76" s="1220" t="n">
        <v>4.5</v>
      </c>
      <c r="I76" s="1220" t="n">
        <v>4.71</v>
      </c>
      <c r="J76" s="32" t="n">
        <v>132</v>
      </c>
      <c r="K76" s="32" t="inlineStr">
        <is>
          <t>12</t>
        </is>
      </c>
      <c r="L76" s="32" t="n"/>
      <c r="M76" s="33" t="inlineStr">
        <is>
          <t>СК1</t>
        </is>
      </c>
      <c r="N76" s="33" t="n"/>
      <c r="O76" s="32" t="n">
        <v>90</v>
      </c>
      <c r="P76" s="1051">
        <f>HYPERLINK("https://abi.ru/products/Охлажденные/Вязанка/Филейская/Ветчины/P003188/","Ветчины «Филейская #Живой_пар» ф/в 0,45 п/а ТМ «Вязанка»")</f>
        <v/>
      </c>
      <c r="Q76" s="785" t="n"/>
      <c r="R76" s="785" t="n"/>
      <c r="S76" s="785" t="n"/>
      <c r="T76" s="786" t="n"/>
      <c r="U76" s="34" t="n"/>
      <c r="V76" s="34" t="n"/>
      <c r="W76" s="35" t="inlineStr">
        <is>
          <t>кг</t>
        </is>
      </c>
      <c r="X76" s="1221" t="n">
        <v>0</v>
      </c>
      <c r="Y76" s="1222">
        <f>IFERROR(IF(X76="",0,CEILING((X76/$H76),1)*$H76),"")</f>
        <v/>
      </c>
      <c r="Z76" s="36">
        <f>IFERROR(IF(Y76=0,"",ROUNDUP(Y76/H76,0)*0.00902),"")</f>
        <v/>
      </c>
      <c r="AA76" s="56" t="n"/>
      <c r="AB76" s="57" t="n"/>
      <c r="AC76" s="129" t="inlineStr">
        <is>
          <t>ЕАЭС N RU Д-RU.РА03.В.00811/23</t>
        </is>
      </c>
      <c r="AG76" s="64" t="n"/>
      <c r="AJ76" s="68" t="n"/>
      <c r="AK76" s="68" t="n">
        <v>0</v>
      </c>
      <c r="BB76" s="130" t="inlineStr">
        <is>
          <t>КИ</t>
        </is>
      </c>
      <c r="BM76" s="64">
        <f>IFERROR(X76*I76/H76,"0")</f>
        <v/>
      </c>
      <c r="BN76" s="64">
        <f>IFERROR(Y76*I76/H76,"0")</f>
        <v/>
      </c>
      <c r="BO76" s="64">
        <f>IFERROR(1/J76*(X76/H76),"0")</f>
        <v/>
      </c>
      <c r="BP76" s="64">
        <f>IFERROR(1/J76*(Y76/H76),"0")</f>
        <v/>
      </c>
    </row>
    <row r="77" ht="16.5" customHeight="1">
      <c r="A77" s="54" t="inlineStr">
        <is>
          <t>SU003689</t>
        </is>
      </c>
      <c r="B77" s="54" t="inlineStr">
        <is>
          <t>P004676</t>
        </is>
      </c>
      <c r="C77" s="31" t="n">
        <v>4301020358</v>
      </c>
      <c r="D77" s="782" t="n">
        <v>4680115885950</v>
      </c>
      <c r="E77" s="783" t="n"/>
      <c r="F77" s="1220" t="n">
        <v>0.37</v>
      </c>
      <c r="G77" s="32" t="n">
        <v>6</v>
      </c>
      <c r="H77" s="1220" t="n">
        <v>2.22</v>
      </c>
      <c r="I77" s="1220" t="n">
        <v>2.4</v>
      </c>
      <c r="J77" s="32" t="n">
        <v>182</v>
      </c>
      <c r="K77" s="32" t="inlineStr">
        <is>
          <t>14</t>
        </is>
      </c>
      <c r="L77" s="32" t="n"/>
      <c r="M77" s="33" t="inlineStr">
        <is>
          <t>СК3</t>
        </is>
      </c>
      <c r="N77" s="33" t="n"/>
      <c r="O77" s="32" t="n">
        <v>50</v>
      </c>
      <c r="P77" s="1008">
        <f>HYPERLINK("https://abi.ru/products/Охлажденные/Вязанка/Филейская/Ветчины/P004676/","Ветчины «Филейская» ф/в 0,37 п/а ТМ «Вязанка»")</f>
        <v/>
      </c>
      <c r="Q77" s="785" t="n"/>
      <c r="R77" s="785" t="n"/>
      <c r="S77" s="785" t="n"/>
      <c r="T77" s="786" t="n"/>
      <c r="U77" s="34" t="n"/>
      <c r="V77" s="34" t="n"/>
      <c r="W77" s="35" t="inlineStr">
        <is>
          <t>кг</t>
        </is>
      </c>
      <c r="X77" s="1221" t="n">
        <v>0</v>
      </c>
      <c r="Y77" s="1222">
        <f>IFERROR(IF(X77="",0,CEILING((X77/$H77),1)*$H77),"")</f>
        <v/>
      </c>
      <c r="Z77" s="36">
        <f>IFERROR(IF(Y77=0,"",ROUNDUP(Y77/H77,0)*0.00651),"")</f>
        <v/>
      </c>
      <c r="AA77" s="56" t="n"/>
      <c r="AB77" s="57" t="n"/>
      <c r="AC77" s="131" t="inlineStr">
        <is>
          <t>ЕАЭС N RU Д-RU.РА01.В.10660/23</t>
        </is>
      </c>
      <c r="AG77" s="64" t="n"/>
      <c r="AJ77" s="68" t="n"/>
      <c r="AK77" s="68" t="n">
        <v>0</v>
      </c>
      <c r="BB77" s="132" t="inlineStr">
        <is>
          <t>КИ</t>
        </is>
      </c>
      <c r="BM77" s="64">
        <f>IFERROR(X77*I77/H77,"0")</f>
        <v/>
      </c>
      <c r="BN77" s="64">
        <f>IFERROR(Y77*I77/H77,"0")</f>
        <v/>
      </c>
      <c r="BO77" s="64">
        <f>IFERROR(1/J77*(X77/H77),"0")</f>
        <v/>
      </c>
      <c r="BP77" s="64">
        <f>IFERROR(1/J77*(Y77/H77),"0")</f>
        <v/>
      </c>
    </row>
    <row r="78" ht="27" customHeight="1">
      <c r="A78" s="54" t="inlineStr">
        <is>
          <t>SU002814</t>
        </is>
      </c>
      <c r="B78" s="54" t="inlineStr">
        <is>
          <t>P003226</t>
        </is>
      </c>
      <c r="C78" s="31" t="n">
        <v>4301020296</v>
      </c>
      <c r="D78" s="782" t="n">
        <v>4680115881433</v>
      </c>
      <c r="E78" s="783" t="n"/>
      <c r="F78" s="1220" t="n">
        <v>0.45</v>
      </c>
      <c r="G78" s="32" t="n">
        <v>6</v>
      </c>
      <c r="H78" s="1220" t="n">
        <v>2.7</v>
      </c>
      <c r="I78" s="1220" t="n">
        <v>2.88</v>
      </c>
      <c r="J78" s="32" t="n">
        <v>182</v>
      </c>
      <c r="K78" s="32" t="inlineStr">
        <is>
          <t>14</t>
        </is>
      </c>
      <c r="L78" s="32" t="inlineStr">
        <is>
          <t>Слой, мин. 1</t>
        </is>
      </c>
      <c r="M78" s="33" t="inlineStr">
        <is>
          <t>СК1</t>
        </is>
      </c>
      <c r="N78" s="33" t="n"/>
      <c r="O78" s="32" t="n">
        <v>50</v>
      </c>
      <c r="P78" s="1103">
        <f>HYPERLINK("https://abi.ru/products/Охлажденные/Вязанка/Филейская/Ветчины/P003226/","Ветчины «Филейская» Фикс.вес 0,45 Вектор ТМ «Вязанка»")</f>
        <v/>
      </c>
      <c r="Q78" s="785" t="n"/>
      <c r="R78" s="785" t="n"/>
      <c r="S78" s="785" t="n"/>
      <c r="T78" s="786" t="n"/>
      <c r="U78" s="34" t="n"/>
      <c r="V78" s="34" t="n"/>
      <c r="W78" s="35" t="inlineStr">
        <is>
          <t>кг</t>
        </is>
      </c>
      <c r="X78" s="1221" t="n">
        <v>0</v>
      </c>
      <c r="Y78" s="1222">
        <f>IFERROR(IF(X78="",0,CEILING((X78/$H78),1)*$H78),"")</f>
        <v/>
      </c>
      <c r="Z78" s="36">
        <f>IFERROR(IF(Y78=0,"",ROUNDUP(Y78/H78,0)*0.00651),"")</f>
        <v/>
      </c>
      <c r="AA78" s="56" t="n"/>
      <c r="AB78" s="57" t="n"/>
      <c r="AC78" s="133" t="inlineStr">
        <is>
          <t>ЕАЭС N RU Д-RU.РА01.В.10660/23</t>
        </is>
      </c>
      <c r="AG78" s="64" t="n"/>
      <c r="AJ78" s="68" t="inlineStr">
        <is>
          <t>Слой</t>
        </is>
      </c>
      <c r="AK78" s="68" t="n">
        <v>37.8</v>
      </c>
      <c r="BB78" s="134" t="inlineStr">
        <is>
          <t>КИ</t>
        </is>
      </c>
      <c r="BM78" s="64">
        <f>IFERROR(X78*I78/H78,"0")</f>
        <v/>
      </c>
      <c r="BN78" s="64">
        <f>IFERROR(Y78*I78/H78,"0")</f>
        <v/>
      </c>
      <c r="BO78" s="64">
        <f>IFERROR(1/J78*(X78/H78),"0")</f>
        <v/>
      </c>
      <c r="BP78" s="64">
        <f>IFERROR(1/J78*(Y78/H78),"0")</f>
        <v/>
      </c>
    </row>
    <row r="79">
      <c r="A79" s="801" t="n"/>
      <c r="B79" s="800" t="n"/>
      <c r="C79" s="800" t="n"/>
      <c r="D79" s="800" t="n"/>
      <c r="E79" s="800" t="n"/>
      <c r="F79" s="800" t="n"/>
      <c r="G79" s="800" t="n"/>
      <c r="H79" s="800" t="n"/>
      <c r="I79" s="800" t="n"/>
      <c r="J79" s="800" t="n"/>
      <c r="K79" s="800" t="n"/>
      <c r="L79" s="800" t="n"/>
      <c r="M79" s="800" t="n"/>
      <c r="N79" s="800" t="n"/>
      <c r="O79" s="802" t="n"/>
      <c r="P79" s="796" t="inlineStr">
        <is>
          <t>Итого</t>
        </is>
      </c>
      <c r="Q79" s="793" t="n"/>
      <c r="R79" s="793" t="n"/>
      <c r="S79" s="793" t="n"/>
      <c r="T79" s="793" t="n"/>
      <c r="U79" s="793" t="n"/>
      <c r="V79" s="794" t="n"/>
      <c r="W79" s="37" t="inlineStr">
        <is>
          <t>кор</t>
        </is>
      </c>
      <c r="X79" s="1223">
        <f>IFERROR(X75/H75,"0")+IFERROR(X76/H76,"0")+IFERROR(X77/H77,"0")+IFERROR(X78/H78,"0")</f>
        <v/>
      </c>
      <c r="Y79" s="1223">
        <f>IFERROR(Y75/H75,"0")+IFERROR(Y76/H76,"0")+IFERROR(Y77/H77,"0")+IFERROR(Y78/H78,"0")</f>
        <v/>
      </c>
      <c r="Z79" s="1223">
        <f>IFERROR(IF(Z75="",0,Z75),"0")+IFERROR(IF(Z76="",0,Z76),"0")+IFERROR(IF(Z77="",0,Z77),"0")+IFERROR(IF(Z78="",0,Z78),"0")</f>
        <v/>
      </c>
      <c r="AA79" s="1224" t="n"/>
      <c r="AB79" s="1224" t="n"/>
      <c r="AC79" s="1224" t="n"/>
    </row>
    <row r="80">
      <c r="A80" s="800" t="n"/>
      <c r="B80" s="800" t="n"/>
      <c r="C80" s="800" t="n"/>
      <c r="D80" s="800" t="n"/>
      <c r="E80" s="800" t="n"/>
      <c r="F80" s="800" t="n"/>
      <c r="G80" s="800" t="n"/>
      <c r="H80" s="800" t="n"/>
      <c r="I80" s="800" t="n"/>
      <c r="J80" s="800" t="n"/>
      <c r="K80" s="800" t="n"/>
      <c r="L80" s="800" t="n"/>
      <c r="M80" s="800" t="n"/>
      <c r="N80" s="800" t="n"/>
      <c r="O80" s="802" t="n"/>
      <c r="P80" s="796" t="inlineStr">
        <is>
          <t>Итого</t>
        </is>
      </c>
      <c r="Q80" s="793" t="n"/>
      <c r="R80" s="793" t="n"/>
      <c r="S80" s="793" t="n"/>
      <c r="T80" s="793" t="n"/>
      <c r="U80" s="793" t="n"/>
      <c r="V80" s="794" t="n"/>
      <c r="W80" s="37" t="inlineStr">
        <is>
          <t>кг</t>
        </is>
      </c>
      <c r="X80" s="1223">
        <f>IFERROR(SUM(X75:X78),"0")</f>
        <v/>
      </c>
      <c r="Y80" s="1223">
        <f>IFERROR(SUM(Y75:Y78),"0")</f>
        <v/>
      </c>
      <c r="Z80" s="37" t="n"/>
      <c r="AA80" s="1224" t="n"/>
      <c r="AB80" s="1224" t="n"/>
      <c r="AC80" s="1224" t="n"/>
    </row>
    <row r="81" ht="14.25" customHeight="1">
      <c r="A81" s="799" t="inlineStr">
        <is>
          <t>Копченые колбасы</t>
        </is>
      </c>
      <c r="B81" s="800" t="n"/>
      <c r="C81" s="800" t="n"/>
      <c r="D81" s="800" t="n"/>
      <c r="E81" s="800" t="n"/>
      <c r="F81" s="800" t="n"/>
      <c r="G81" s="800" t="n"/>
      <c r="H81" s="800" t="n"/>
      <c r="I81" s="800" t="n"/>
      <c r="J81" s="800" t="n"/>
      <c r="K81" s="800" t="n"/>
      <c r="L81" s="800" t="n"/>
      <c r="M81" s="800" t="n"/>
      <c r="N81" s="800" t="n"/>
      <c r="O81" s="800" t="n"/>
      <c r="P81" s="800" t="n"/>
      <c r="Q81" s="800" t="n"/>
      <c r="R81" s="800" t="n"/>
      <c r="S81" s="800" t="n"/>
      <c r="T81" s="800" t="n"/>
      <c r="U81" s="800" t="n"/>
      <c r="V81" s="800" t="n"/>
      <c r="W81" s="800" t="n"/>
      <c r="X81" s="800" t="n"/>
      <c r="Y81" s="800" t="n"/>
      <c r="Z81" s="800" t="n"/>
      <c r="AA81" s="799" t="n"/>
      <c r="AB81" s="799" t="n"/>
      <c r="AC81" s="799" t="n"/>
    </row>
    <row r="82" ht="16.5" customHeight="1">
      <c r="A82" s="54" t="inlineStr">
        <is>
          <t>SU003028</t>
        </is>
      </c>
      <c r="B82" s="54" t="inlineStr">
        <is>
          <t>P003572</t>
        </is>
      </c>
      <c r="C82" s="31" t="n">
        <v>4301031242</v>
      </c>
      <c r="D82" s="782" t="n">
        <v>4680115885066</v>
      </c>
      <c r="E82" s="783" t="n"/>
      <c r="F82" s="1220" t="n">
        <v>0.7</v>
      </c>
      <c r="G82" s="32" t="n">
        <v>6</v>
      </c>
      <c r="H82" s="1220" t="n">
        <v>4.2</v>
      </c>
      <c r="I82" s="1220" t="n">
        <v>4.41</v>
      </c>
      <c r="J82" s="32" t="n">
        <v>132</v>
      </c>
      <c r="K82" s="32" t="inlineStr">
        <is>
          <t>12</t>
        </is>
      </c>
      <c r="L82" s="32" t="n"/>
      <c r="M82" s="33" t="inlineStr">
        <is>
          <t>СК2</t>
        </is>
      </c>
      <c r="N82" s="33" t="n"/>
      <c r="O82" s="32" t="n">
        <v>40</v>
      </c>
      <c r="P82" s="891">
        <f>HYPERLINK("https://abi.ru/products/Охлажденные/Вязанка/Филейская/Копченые колбасы/P003572/","В/к колбасы «Салями Филейская» вес фиброуз ТМ «Вязанка»")</f>
        <v/>
      </c>
      <c r="Q82" s="785" t="n"/>
      <c r="R82" s="785" t="n"/>
      <c r="S82" s="785" t="n"/>
      <c r="T82" s="786" t="n"/>
      <c r="U82" s="34" t="n"/>
      <c r="V82" s="34" t="n"/>
      <c r="W82" s="35" t="inlineStr">
        <is>
          <t>кг</t>
        </is>
      </c>
      <c r="X82" s="1221" t="n">
        <v>0</v>
      </c>
      <c r="Y82" s="1222">
        <f>IFERROR(IF(X82="",0,CEILING((X82/$H82),1)*$H82),"")</f>
        <v/>
      </c>
      <c r="Z82" s="36">
        <f>IFERROR(IF(Y82=0,"",ROUNDUP(Y82/H82,0)*0.00902),"")</f>
        <v/>
      </c>
      <c r="AA82" s="56" t="n"/>
      <c r="AB82" s="57" t="n"/>
      <c r="AC82" s="135" t="inlineStr">
        <is>
          <t>ЕАЭС N RU Д-RU.РА11.В.18821/23</t>
        </is>
      </c>
      <c r="AG82" s="64" t="n"/>
      <c r="AJ82" s="68" t="n"/>
      <c r="AK82" s="68" t="n">
        <v>0</v>
      </c>
      <c r="BB82" s="136" t="inlineStr">
        <is>
          <t>КИ</t>
        </is>
      </c>
      <c r="BM82" s="64">
        <f>IFERROR(X82*I82/H82,"0")</f>
        <v/>
      </c>
      <c r="BN82" s="64">
        <f>IFERROR(Y82*I82/H82,"0")</f>
        <v/>
      </c>
      <c r="BO82" s="64">
        <f>IFERROR(1/J82*(X82/H82),"0")</f>
        <v/>
      </c>
      <c r="BP82" s="64">
        <f>IFERROR(1/J82*(Y82/H82),"0")</f>
        <v/>
      </c>
    </row>
    <row r="83" ht="16.5" customHeight="1">
      <c r="A83" s="54" t="inlineStr">
        <is>
          <t>SU003030</t>
        </is>
      </c>
      <c r="B83" s="54" t="inlineStr">
        <is>
          <t>P003567</t>
        </is>
      </c>
      <c r="C83" s="31" t="n">
        <v>4301031240</v>
      </c>
      <c r="D83" s="782" t="n">
        <v>4680115885042</v>
      </c>
      <c r="E83" s="783" t="n"/>
      <c r="F83" s="1220" t="n">
        <v>0.7</v>
      </c>
      <c r="G83" s="32" t="n">
        <v>6</v>
      </c>
      <c r="H83" s="1220" t="n">
        <v>4.2</v>
      </c>
      <c r="I83" s="1220" t="n">
        <v>4.41</v>
      </c>
      <c r="J83" s="32" t="n">
        <v>132</v>
      </c>
      <c r="K83" s="32" t="inlineStr">
        <is>
          <t>12</t>
        </is>
      </c>
      <c r="L83" s="32" t="n"/>
      <c r="M83" s="33" t="inlineStr">
        <is>
          <t>СК2</t>
        </is>
      </c>
      <c r="N83" s="33" t="n"/>
      <c r="O83" s="32" t="n">
        <v>40</v>
      </c>
      <c r="P83" s="809">
        <f>HYPERLINK("https://abi.ru/products/Охлажденные/Вязанка/Филейская/Копченые колбасы/P003567/","В/к колбасы «Сервелат Филейский» Вес фиброуз ТМ «Вязанка»")</f>
        <v/>
      </c>
      <c r="Q83" s="785" t="n"/>
      <c r="R83" s="785" t="n"/>
      <c r="S83" s="785" t="n"/>
      <c r="T83" s="786" t="n"/>
      <c r="U83" s="34" t="n"/>
      <c r="V83" s="34" t="n"/>
      <c r="W83" s="35" t="inlineStr">
        <is>
          <t>кг</t>
        </is>
      </c>
      <c r="X83" s="1221" t="n">
        <v>0</v>
      </c>
      <c r="Y83" s="1222">
        <f>IFERROR(IF(X83="",0,CEILING((X83/$H83),1)*$H83),"")</f>
        <v/>
      </c>
      <c r="Z83" s="36">
        <f>IFERROR(IF(Y83=0,"",ROUNDUP(Y83/H83,0)*0.00902),"")</f>
        <v/>
      </c>
      <c r="AA83" s="56" t="n"/>
      <c r="AB83" s="57" t="n"/>
      <c r="AC83" s="137" t="inlineStr">
        <is>
          <t>ЕАЭС N RU Д-RU.РА11.В.17299/23</t>
        </is>
      </c>
      <c r="AG83" s="64" t="n"/>
      <c r="AJ83" s="68" t="n"/>
      <c r="AK83" s="68" t="n">
        <v>0</v>
      </c>
      <c r="BB83" s="138" t="inlineStr">
        <is>
          <t>КИ</t>
        </is>
      </c>
      <c r="BM83" s="64">
        <f>IFERROR(X83*I83/H83,"0")</f>
        <v/>
      </c>
      <c r="BN83" s="64">
        <f>IFERROR(Y83*I83/H83,"0")</f>
        <v/>
      </c>
      <c r="BO83" s="64">
        <f>IFERROR(1/J83*(X83/H83),"0")</f>
        <v/>
      </c>
      <c r="BP83" s="64">
        <f>IFERROR(1/J83*(Y83/H83),"0")</f>
        <v/>
      </c>
    </row>
    <row r="84" ht="16.5" customHeight="1">
      <c r="A84" s="54" t="inlineStr">
        <is>
          <t>SU003032</t>
        </is>
      </c>
      <c r="B84" s="54" t="inlineStr">
        <is>
          <t>P003562</t>
        </is>
      </c>
      <c r="C84" s="31" t="n">
        <v>4301031315</v>
      </c>
      <c r="D84" s="782" t="n">
        <v>4680115885080</v>
      </c>
      <c r="E84" s="783" t="n"/>
      <c r="F84" s="1220" t="n">
        <v>0.7</v>
      </c>
      <c r="G84" s="32" t="n">
        <v>6</v>
      </c>
      <c r="H84" s="1220" t="n">
        <v>4.2</v>
      </c>
      <c r="I84" s="1220" t="n">
        <v>4.41</v>
      </c>
      <c r="J84" s="32" t="n">
        <v>132</v>
      </c>
      <c r="K84" s="32" t="inlineStr">
        <is>
          <t>12</t>
        </is>
      </c>
      <c r="L84" s="32" t="n"/>
      <c r="M84" s="33" t="inlineStr">
        <is>
          <t>СК2</t>
        </is>
      </c>
      <c r="N84" s="33" t="n"/>
      <c r="O84" s="32" t="n">
        <v>40</v>
      </c>
      <c r="P84" s="957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/>
      </c>
      <c r="Q84" s="785" t="n"/>
      <c r="R84" s="785" t="n"/>
      <c r="S84" s="785" t="n"/>
      <c r="T84" s="786" t="n"/>
      <c r="U84" s="34" t="n"/>
      <c r="V84" s="34" t="n"/>
      <c r="W84" s="35" t="inlineStr">
        <is>
          <t>кг</t>
        </is>
      </c>
      <c r="X84" s="1221" t="n">
        <v>0</v>
      </c>
      <c r="Y84" s="1222">
        <f>IFERROR(IF(X84="",0,CEILING((X84/$H84),1)*$H84),"")</f>
        <v/>
      </c>
      <c r="Z84" s="36">
        <f>IFERROR(IF(Y84=0,"",ROUNDUP(Y84/H84,0)*0.00902),"")</f>
        <v/>
      </c>
      <c r="AA84" s="56" t="n"/>
      <c r="AB84" s="57" t="n"/>
      <c r="AC84" s="139" t="inlineStr">
        <is>
          <t>ЕАЭС N RU Д-RU.РА11.В.17985/23</t>
        </is>
      </c>
      <c r="AG84" s="64" t="n"/>
      <c r="AJ84" s="68" t="n"/>
      <c r="AK84" s="68" t="n">
        <v>0</v>
      </c>
      <c r="BB84" s="140" t="inlineStr">
        <is>
          <t>КИ</t>
        </is>
      </c>
      <c r="BM84" s="64">
        <f>IFERROR(X84*I84/H84,"0")</f>
        <v/>
      </c>
      <c r="BN84" s="64">
        <f>IFERROR(Y84*I84/H84,"0")</f>
        <v/>
      </c>
      <c r="BO84" s="64">
        <f>IFERROR(1/J84*(X84/H84),"0")</f>
        <v/>
      </c>
      <c r="BP84" s="64">
        <f>IFERROR(1/J84*(Y84/H84),"0")</f>
        <v/>
      </c>
    </row>
    <row r="85" ht="27" customHeight="1">
      <c r="A85" s="54" t="inlineStr">
        <is>
          <t>SU003027</t>
        </is>
      </c>
      <c r="B85" s="54" t="inlineStr">
        <is>
          <t>P003573</t>
        </is>
      </c>
      <c r="C85" s="31" t="n">
        <v>4301031243</v>
      </c>
      <c r="D85" s="782" t="n">
        <v>4680115885073</v>
      </c>
      <c r="E85" s="783" t="n"/>
      <c r="F85" s="1220" t="n">
        <v>0.3</v>
      </c>
      <c r="G85" s="32" t="n">
        <v>6</v>
      </c>
      <c r="H85" s="1220" t="n">
        <v>1.8</v>
      </c>
      <c r="I85" s="1220" t="n">
        <v>1.9</v>
      </c>
      <c r="J85" s="32" t="n">
        <v>234</v>
      </c>
      <c r="K85" s="32" t="inlineStr">
        <is>
          <t>18</t>
        </is>
      </c>
      <c r="L85" s="32" t="n"/>
      <c r="M85" s="33" t="inlineStr">
        <is>
          <t>СК2</t>
        </is>
      </c>
      <c r="N85" s="33" t="n"/>
      <c r="O85" s="32" t="n">
        <v>40</v>
      </c>
      <c r="P85" s="813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/>
      </c>
      <c r="Q85" s="785" t="n"/>
      <c r="R85" s="785" t="n"/>
      <c r="S85" s="785" t="n"/>
      <c r="T85" s="786" t="n"/>
      <c r="U85" s="34" t="n"/>
      <c r="V85" s="34" t="n"/>
      <c r="W85" s="35" t="inlineStr">
        <is>
          <t>кг</t>
        </is>
      </c>
      <c r="X85" s="1221" t="n">
        <v>0</v>
      </c>
      <c r="Y85" s="1222">
        <f>IFERROR(IF(X85="",0,CEILING((X85/$H85),1)*$H85),"")</f>
        <v/>
      </c>
      <c r="Z85" s="36">
        <f>IFERROR(IF(Y85=0,"",ROUNDUP(Y85/H85,0)*0.00502),"")</f>
        <v/>
      </c>
      <c r="AA85" s="56" t="n"/>
      <c r="AB85" s="57" t="n"/>
      <c r="AC85" s="141" t="inlineStr">
        <is>
          <t>ЕАЭС N RU Д-RU.РА11.В.18821/23</t>
        </is>
      </c>
      <c r="AG85" s="64" t="n"/>
      <c r="AJ85" s="68" t="n"/>
      <c r="AK85" s="68" t="n">
        <v>0</v>
      </c>
      <c r="BB85" s="142" t="inlineStr">
        <is>
          <t>КИ</t>
        </is>
      </c>
      <c r="BM85" s="64">
        <f>IFERROR(X85*I85/H85,"0")</f>
        <v/>
      </c>
      <c r="BN85" s="64">
        <f>IFERROR(Y85*I85/H85,"0")</f>
        <v/>
      </c>
      <c r="BO85" s="64">
        <f>IFERROR(1/J85*(X85/H85),"0")</f>
        <v/>
      </c>
      <c r="BP85" s="64">
        <f>IFERROR(1/J85*(Y85/H85),"0")</f>
        <v/>
      </c>
    </row>
    <row r="86" ht="27" customHeight="1">
      <c r="A86" s="54" t="inlineStr">
        <is>
          <t>SU003029</t>
        </is>
      </c>
      <c r="B86" s="54" t="inlineStr">
        <is>
          <t>P003569</t>
        </is>
      </c>
      <c r="C86" s="31" t="n">
        <v>4301031241</v>
      </c>
      <c r="D86" s="782" t="n">
        <v>4680115885059</v>
      </c>
      <c r="E86" s="783" t="n"/>
      <c r="F86" s="1220" t="n">
        <v>0.3</v>
      </c>
      <c r="G86" s="32" t="n">
        <v>6</v>
      </c>
      <c r="H86" s="1220" t="n">
        <v>1.8</v>
      </c>
      <c r="I86" s="1220" t="n">
        <v>1.9</v>
      </c>
      <c r="J86" s="32" t="n">
        <v>234</v>
      </c>
      <c r="K86" s="32" t="inlineStr">
        <is>
          <t>18</t>
        </is>
      </c>
      <c r="L86" s="32" t="n"/>
      <c r="M86" s="33" t="inlineStr">
        <is>
          <t>СК2</t>
        </is>
      </c>
      <c r="N86" s="33" t="n"/>
      <c r="O86" s="32" t="n">
        <v>40</v>
      </c>
      <c r="P86" s="1185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/>
      </c>
      <c r="Q86" s="785" t="n"/>
      <c r="R86" s="785" t="n"/>
      <c r="S86" s="785" t="n"/>
      <c r="T86" s="786" t="n"/>
      <c r="U86" s="34" t="n"/>
      <c r="V86" s="34" t="n"/>
      <c r="W86" s="35" t="inlineStr">
        <is>
          <t>кг</t>
        </is>
      </c>
      <c r="X86" s="1221" t="n">
        <v>0</v>
      </c>
      <c r="Y86" s="1222">
        <f>IFERROR(IF(X86="",0,CEILING((X86/$H86),1)*$H86),"")</f>
        <v/>
      </c>
      <c r="Z86" s="36">
        <f>IFERROR(IF(Y86=0,"",ROUNDUP(Y86/H86,0)*0.00502),"")</f>
        <v/>
      </c>
      <c r="AA86" s="56" t="n"/>
      <c r="AB86" s="57" t="n"/>
      <c r="AC86" s="143" t="inlineStr">
        <is>
          <t>ЕАЭС N RU Д-RU.РА11.В.17299/23</t>
        </is>
      </c>
      <c r="AG86" s="64" t="n"/>
      <c r="AJ86" s="68" t="n"/>
      <c r="AK86" s="68" t="n">
        <v>0</v>
      </c>
      <c r="BB86" s="144" t="inlineStr">
        <is>
          <t>КИ</t>
        </is>
      </c>
      <c r="BM86" s="64">
        <f>IFERROR(X86*I86/H86,"0")</f>
        <v/>
      </c>
      <c r="BN86" s="64">
        <f>IFERROR(Y86*I86/H86,"0")</f>
        <v/>
      </c>
      <c r="BO86" s="64">
        <f>IFERROR(1/J86*(X86/H86),"0")</f>
        <v/>
      </c>
      <c r="BP86" s="64">
        <f>IFERROR(1/J86*(Y86/H86),"0")</f>
        <v/>
      </c>
    </row>
    <row r="87" ht="27" customHeight="1">
      <c r="A87" s="54" t="inlineStr">
        <is>
          <t>SU003031</t>
        </is>
      </c>
      <c r="B87" s="54" t="inlineStr">
        <is>
          <t>P003566</t>
        </is>
      </c>
      <c r="C87" s="31" t="n">
        <v>4301031316</v>
      </c>
      <c r="D87" s="782" t="n">
        <v>4680115885097</v>
      </c>
      <c r="E87" s="783" t="n"/>
      <c r="F87" s="1220" t="n">
        <v>0.3</v>
      </c>
      <c r="G87" s="32" t="n">
        <v>6</v>
      </c>
      <c r="H87" s="1220" t="n">
        <v>1.8</v>
      </c>
      <c r="I87" s="1220" t="n">
        <v>1.9</v>
      </c>
      <c r="J87" s="32" t="n">
        <v>234</v>
      </c>
      <c r="K87" s="32" t="inlineStr">
        <is>
          <t>18</t>
        </is>
      </c>
      <c r="L87" s="32" t="n"/>
      <c r="M87" s="33" t="inlineStr">
        <is>
          <t>СК2</t>
        </is>
      </c>
      <c r="N87" s="33" t="n"/>
      <c r="O87" s="32" t="n">
        <v>40</v>
      </c>
      <c r="P87" s="1043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/>
      </c>
      <c r="Q87" s="785" t="n"/>
      <c r="R87" s="785" t="n"/>
      <c r="S87" s="785" t="n"/>
      <c r="T87" s="786" t="n"/>
      <c r="U87" s="34" t="n"/>
      <c r="V87" s="34" t="n"/>
      <c r="W87" s="35" t="inlineStr">
        <is>
          <t>кг</t>
        </is>
      </c>
      <c r="X87" s="1221" t="n">
        <v>0</v>
      </c>
      <c r="Y87" s="1222">
        <f>IFERROR(IF(X87="",0,CEILING((X87/$H87),1)*$H87),"")</f>
        <v/>
      </c>
      <c r="Z87" s="36">
        <f>IFERROR(IF(Y87=0,"",ROUNDUP(Y87/H87,0)*0.00502),"")</f>
        <v/>
      </c>
      <c r="AA87" s="56" t="n"/>
      <c r="AB87" s="57" t="n"/>
      <c r="AC87" s="145" t="inlineStr">
        <is>
          <t>ЕАЭС N RU Д-RU.РА11.В.17985/23</t>
        </is>
      </c>
      <c r="AG87" s="64" t="n"/>
      <c r="AJ87" s="68" t="n"/>
      <c r="AK87" s="68" t="n">
        <v>0</v>
      </c>
      <c r="BB87" s="146" t="inlineStr">
        <is>
          <t>КИ</t>
        </is>
      </c>
      <c r="BM87" s="64">
        <f>IFERROR(X87*I87/H87,"0")</f>
        <v/>
      </c>
      <c r="BN87" s="64">
        <f>IFERROR(Y87*I87/H87,"0")</f>
        <v/>
      </c>
      <c r="BO87" s="64">
        <f>IFERROR(1/J87*(X87/H87),"0")</f>
        <v/>
      </c>
      <c r="BP87" s="64">
        <f>IFERROR(1/J87*(Y87/H87),"0")</f>
        <v/>
      </c>
    </row>
    <row r="88">
      <c r="A88" s="801" t="n"/>
      <c r="B88" s="800" t="n"/>
      <c r="C88" s="800" t="n"/>
      <c r="D88" s="800" t="n"/>
      <c r="E88" s="800" t="n"/>
      <c r="F88" s="800" t="n"/>
      <c r="G88" s="800" t="n"/>
      <c r="H88" s="800" t="n"/>
      <c r="I88" s="800" t="n"/>
      <c r="J88" s="800" t="n"/>
      <c r="K88" s="800" t="n"/>
      <c r="L88" s="800" t="n"/>
      <c r="M88" s="800" t="n"/>
      <c r="N88" s="800" t="n"/>
      <c r="O88" s="802" t="n"/>
      <c r="P88" s="796" t="inlineStr">
        <is>
          <t>Итого</t>
        </is>
      </c>
      <c r="Q88" s="793" t="n"/>
      <c r="R88" s="793" t="n"/>
      <c r="S88" s="793" t="n"/>
      <c r="T88" s="793" t="n"/>
      <c r="U88" s="793" t="n"/>
      <c r="V88" s="794" t="n"/>
      <c r="W88" s="37" t="inlineStr">
        <is>
          <t>кор</t>
        </is>
      </c>
      <c r="X88" s="1223">
        <f>IFERROR(X82/H82,"0")+IFERROR(X83/H83,"0")+IFERROR(X84/H84,"0")+IFERROR(X85/H85,"0")+IFERROR(X86/H86,"0")+IFERROR(X87/H87,"0")</f>
        <v/>
      </c>
      <c r="Y88" s="1223">
        <f>IFERROR(Y82/H82,"0")+IFERROR(Y83/H83,"0")+IFERROR(Y84/H84,"0")+IFERROR(Y85/H85,"0")+IFERROR(Y86/H86,"0")+IFERROR(Y87/H87,"0")</f>
        <v/>
      </c>
      <c r="Z88" s="1223">
        <f>IFERROR(IF(Z82="",0,Z82),"0")+IFERROR(IF(Z83="",0,Z83),"0")+IFERROR(IF(Z84="",0,Z84),"0")+IFERROR(IF(Z85="",0,Z85),"0")+IFERROR(IF(Z86="",0,Z86),"0")+IFERROR(IF(Z87="",0,Z87),"0")</f>
        <v/>
      </c>
      <c r="AA88" s="1224" t="n"/>
      <c r="AB88" s="1224" t="n"/>
      <c r="AC88" s="1224" t="n"/>
    </row>
    <row r="89">
      <c r="A89" s="800" t="n"/>
      <c r="B89" s="800" t="n"/>
      <c r="C89" s="800" t="n"/>
      <c r="D89" s="800" t="n"/>
      <c r="E89" s="800" t="n"/>
      <c r="F89" s="800" t="n"/>
      <c r="G89" s="800" t="n"/>
      <c r="H89" s="800" t="n"/>
      <c r="I89" s="800" t="n"/>
      <c r="J89" s="800" t="n"/>
      <c r="K89" s="800" t="n"/>
      <c r="L89" s="800" t="n"/>
      <c r="M89" s="800" t="n"/>
      <c r="N89" s="800" t="n"/>
      <c r="O89" s="802" t="n"/>
      <c r="P89" s="796" t="inlineStr">
        <is>
          <t>Итого</t>
        </is>
      </c>
      <c r="Q89" s="793" t="n"/>
      <c r="R89" s="793" t="n"/>
      <c r="S89" s="793" t="n"/>
      <c r="T89" s="793" t="n"/>
      <c r="U89" s="793" t="n"/>
      <c r="V89" s="794" t="n"/>
      <c r="W89" s="37" t="inlineStr">
        <is>
          <t>кг</t>
        </is>
      </c>
      <c r="X89" s="1223">
        <f>IFERROR(SUM(X82:X87),"0")</f>
        <v/>
      </c>
      <c r="Y89" s="1223">
        <f>IFERROR(SUM(Y82:Y87),"0")</f>
        <v/>
      </c>
      <c r="Z89" s="37" t="n"/>
      <c r="AA89" s="1224" t="n"/>
      <c r="AB89" s="1224" t="n"/>
      <c r="AC89" s="1224" t="n"/>
    </row>
    <row r="90" ht="14.25" customHeight="1">
      <c r="A90" s="799" t="inlineStr">
        <is>
          <t>Сосиски</t>
        </is>
      </c>
      <c r="B90" s="800" t="n"/>
      <c r="C90" s="800" t="n"/>
      <c r="D90" s="800" t="n"/>
      <c r="E90" s="800" t="n"/>
      <c r="F90" s="800" t="n"/>
      <c r="G90" s="800" t="n"/>
      <c r="H90" s="800" t="n"/>
      <c r="I90" s="800" t="n"/>
      <c r="J90" s="800" t="n"/>
      <c r="K90" s="800" t="n"/>
      <c r="L90" s="800" t="n"/>
      <c r="M90" s="800" t="n"/>
      <c r="N90" s="800" t="n"/>
      <c r="O90" s="800" t="n"/>
      <c r="P90" s="800" t="n"/>
      <c r="Q90" s="800" t="n"/>
      <c r="R90" s="800" t="n"/>
      <c r="S90" s="800" t="n"/>
      <c r="T90" s="800" t="n"/>
      <c r="U90" s="800" t="n"/>
      <c r="V90" s="800" t="n"/>
      <c r="W90" s="800" t="n"/>
      <c r="X90" s="800" t="n"/>
      <c r="Y90" s="800" t="n"/>
      <c r="Z90" s="800" t="n"/>
      <c r="AA90" s="799" t="n"/>
      <c r="AB90" s="799" t="n"/>
      <c r="AC90" s="799" t="n"/>
    </row>
    <row r="91" ht="27" customHeight="1">
      <c r="A91" s="54" t="inlineStr">
        <is>
          <t>SU002887</t>
        </is>
      </c>
      <c r="B91" s="54" t="inlineStr">
        <is>
          <t>P004553</t>
        </is>
      </c>
      <c r="C91" s="31" t="n">
        <v>4301051823</v>
      </c>
      <c r="D91" s="782" t="n">
        <v>4680115881891</v>
      </c>
      <c r="E91" s="783" t="n"/>
      <c r="F91" s="1220" t="n">
        <v>1.4</v>
      </c>
      <c r="G91" s="32" t="n">
        <v>6</v>
      </c>
      <c r="H91" s="1220" t="n">
        <v>8.4</v>
      </c>
      <c r="I91" s="1220" t="n">
        <v>8.964</v>
      </c>
      <c r="J91" s="32" t="n">
        <v>56</v>
      </c>
      <c r="K91" s="32" t="inlineStr">
        <is>
          <t>8</t>
        </is>
      </c>
      <c r="L91" s="32" t="n"/>
      <c r="M91" s="33" t="inlineStr">
        <is>
          <t>СК2</t>
        </is>
      </c>
      <c r="N91" s="33" t="n"/>
      <c r="O91" s="32" t="n">
        <v>40</v>
      </c>
      <c r="P91" s="976">
        <f>HYPERLINK("https://abi.ru/products/Охлажденные/Вязанка/Филейская/Сосиски/P004553/","Сосиски «Филейские» Вес ц/о мгс ТМ «Вязанка»")</f>
        <v/>
      </c>
      <c r="Q91" s="785" t="n"/>
      <c r="R91" s="785" t="n"/>
      <c r="S91" s="785" t="n"/>
      <c r="T91" s="786" t="n"/>
      <c r="U91" s="34" t="n"/>
      <c r="V91" s="34" t="n"/>
      <c r="W91" s="35" t="inlineStr">
        <is>
          <t>кг</t>
        </is>
      </c>
      <c r="X91" s="1221" t="n">
        <v>0</v>
      </c>
      <c r="Y91" s="1222">
        <f>IFERROR(IF(X91="",0,CEILING((X91/$H91),1)*$H91),"")</f>
        <v/>
      </c>
      <c r="Z91" s="36">
        <f>IFERROR(IF(Y91=0,"",ROUNDUP(Y91/H91,0)*0.02175),"")</f>
        <v/>
      </c>
      <c r="AA91" s="56" t="n"/>
      <c r="AB91" s="57" t="n"/>
      <c r="AC91" s="147" t="inlineStr">
        <is>
          <t>ЕАЭС N RU Д-RU.РА01.В.62645/23, ЕАЭС N RU Д-RU.РА09.В.49308/23</t>
        </is>
      </c>
      <c r="AG91" s="64" t="n"/>
      <c r="AJ91" s="68" t="n"/>
      <c r="AK91" s="68" t="n">
        <v>0</v>
      </c>
      <c r="BB91" s="148" t="inlineStr">
        <is>
          <t>КИ</t>
        </is>
      </c>
      <c r="BM91" s="64">
        <f>IFERROR(X91*I91/H91,"0")</f>
        <v/>
      </c>
      <c r="BN91" s="64">
        <f>IFERROR(Y91*I91/H91,"0")</f>
        <v/>
      </c>
      <c r="BO91" s="64">
        <f>IFERROR(1/J91*(X91/H91),"0")</f>
        <v/>
      </c>
      <c r="BP91" s="64">
        <f>IFERROR(1/J91*(Y91/H91),"0")</f>
        <v/>
      </c>
    </row>
    <row r="92" ht="37.5" customHeight="1">
      <c r="A92" s="54" t="inlineStr">
        <is>
          <t>SU003616</t>
        </is>
      </c>
      <c r="B92" s="54" t="inlineStr">
        <is>
          <t>P004555</t>
        </is>
      </c>
      <c r="C92" s="31" t="n">
        <v>4301051846</v>
      </c>
      <c r="D92" s="782" t="n">
        <v>4680115885769</v>
      </c>
      <c r="E92" s="783" t="n"/>
      <c r="F92" s="1220" t="n">
        <v>1.4</v>
      </c>
      <c r="G92" s="32" t="n">
        <v>6</v>
      </c>
      <c r="H92" s="1220" t="n">
        <v>8.4</v>
      </c>
      <c r="I92" s="1220" t="n">
        <v>8.880000000000001</v>
      </c>
      <c r="J92" s="32" t="n">
        <v>56</v>
      </c>
      <c r="K92" s="32" t="inlineStr">
        <is>
          <t>8</t>
        </is>
      </c>
      <c r="L92" s="32" t="n"/>
      <c r="M92" s="33" t="inlineStr">
        <is>
          <t>СК3</t>
        </is>
      </c>
      <c r="N92" s="33" t="n"/>
      <c r="O92" s="32" t="n">
        <v>45</v>
      </c>
      <c r="P92" s="1162">
        <f>HYPERLINK("https://abi.ru/products/Охлажденные/Вязанка/Филейская/Сосиски/P004555/","Сосиски «Филейские по-ганноверски» Весовой амицел ТМ «Вязанка»")</f>
        <v/>
      </c>
      <c r="Q92" s="785" t="n"/>
      <c r="R92" s="785" t="n"/>
      <c r="S92" s="785" t="n"/>
      <c r="T92" s="786" t="n"/>
      <c r="U92" s="34" t="n"/>
      <c r="V92" s="34" t="n"/>
      <c r="W92" s="35" t="inlineStr">
        <is>
          <t>кг</t>
        </is>
      </c>
      <c r="X92" s="1221" t="n">
        <v>0</v>
      </c>
      <c r="Y92" s="1222">
        <f>IFERROR(IF(X92="",0,CEILING((X92/$H92),1)*$H92),"")</f>
        <v/>
      </c>
      <c r="Z92" s="36">
        <f>IFERROR(IF(Y92=0,"",ROUNDUP(Y92/H92,0)*0.02175),"")</f>
        <v/>
      </c>
      <c r="AA92" s="56" t="n"/>
      <c r="AB92" s="57" t="n"/>
      <c r="AC92" s="149" t="inlineStr">
        <is>
          <t>ЕАЭС N RU Д-RU.РА04.В.95390/24, ЕАЭС N RU Д-RU.РА04.В.95586/24, ЕАЭС N RU Д-RU.РА04.В.95798/24</t>
        </is>
      </c>
      <c r="AG92" s="64" t="n"/>
      <c r="AJ92" s="68" t="n"/>
      <c r="AK92" s="68" t="n">
        <v>0</v>
      </c>
      <c r="BB92" s="150" t="inlineStr">
        <is>
          <t>КИ</t>
        </is>
      </c>
      <c r="BM92" s="64">
        <f>IFERROR(X92*I92/H92,"0")</f>
        <v/>
      </c>
      <c r="BN92" s="64">
        <f>IFERROR(Y92*I92/H92,"0")</f>
        <v/>
      </c>
      <c r="BO92" s="64">
        <f>IFERROR(1/J92*(X92/H92),"0")</f>
        <v/>
      </c>
      <c r="BP92" s="64">
        <f>IFERROR(1/J92*(Y92/H92),"0")</f>
        <v/>
      </c>
    </row>
    <row r="93" ht="37.5" customHeight="1">
      <c r="A93" s="54" t="inlineStr">
        <is>
          <t>SU003287</t>
        </is>
      </c>
      <c r="B93" s="54" t="inlineStr">
        <is>
          <t>P004552</t>
        </is>
      </c>
      <c r="C93" s="31" t="n">
        <v>4301051822</v>
      </c>
      <c r="D93" s="782" t="n">
        <v>4680115884410</v>
      </c>
      <c r="E93" s="783" t="n"/>
      <c r="F93" s="1220" t="n">
        <v>1.4</v>
      </c>
      <c r="G93" s="32" t="n">
        <v>6</v>
      </c>
      <c r="H93" s="1220" t="n">
        <v>8.4</v>
      </c>
      <c r="I93" s="1220" t="n">
        <v>8.952</v>
      </c>
      <c r="J93" s="32" t="n">
        <v>56</v>
      </c>
      <c r="K93" s="32" t="inlineStr">
        <is>
          <t>8</t>
        </is>
      </c>
      <c r="L93" s="32" t="n"/>
      <c r="M93" s="33" t="inlineStr">
        <is>
          <t>СК2</t>
        </is>
      </c>
      <c r="N93" s="33" t="n"/>
      <c r="O93" s="32" t="n">
        <v>40</v>
      </c>
      <c r="P93" s="849">
        <f>HYPERLINK("https://abi.ru/products/Охлажденные/Вязанка/Филейская/Сосиски/P004552/","Сосиски «Филейские рубленые» Весовой целлофан ТМ «Вязанка»")</f>
        <v/>
      </c>
      <c r="Q93" s="785" t="n"/>
      <c r="R93" s="785" t="n"/>
      <c r="S93" s="785" t="n"/>
      <c r="T93" s="786" t="n"/>
      <c r="U93" s="34" t="n"/>
      <c r="V93" s="34" t="n"/>
      <c r="W93" s="35" t="inlineStr">
        <is>
          <t>кг</t>
        </is>
      </c>
      <c r="X93" s="1221" t="n">
        <v>0</v>
      </c>
      <c r="Y93" s="1222">
        <f>IFERROR(IF(X93="",0,CEILING((X93/$H93),1)*$H93),"")</f>
        <v/>
      </c>
      <c r="Z93" s="36">
        <f>IFERROR(IF(Y93=0,"",ROUNDUP(Y93/H93,0)*0.02175),"")</f>
        <v/>
      </c>
      <c r="AA93" s="56" t="n"/>
      <c r="AB93" s="57" t="n"/>
      <c r="AC93" s="151" t="inlineStr">
        <is>
          <t>ЕАЭС N RU Д-RU.РА01.В.58241/24, ЕАЭС N RU Д-RU.РА01.В.58575/24, ЕАЭС N RU Д-RU.РА01.В.58627/24</t>
        </is>
      </c>
      <c r="AG93" s="64" t="n"/>
      <c r="AJ93" s="68" t="n"/>
      <c r="AK93" s="68" t="n">
        <v>0</v>
      </c>
      <c r="BB93" s="152" t="inlineStr">
        <is>
          <t>КИ</t>
        </is>
      </c>
      <c r="BM93" s="64">
        <f>IFERROR(X93*I93/H93,"0")</f>
        <v/>
      </c>
      <c r="BN93" s="64">
        <f>IFERROR(Y93*I93/H93,"0")</f>
        <v/>
      </c>
      <c r="BO93" s="64">
        <f>IFERROR(1/J93*(X93/H93),"0")</f>
        <v/>
      </c>
      <c r="BP93" s="64">
        <f>IFERROR(1/J93*(Y93/H93),"0")</f>
        <v/>
      </c>
    </row>
    <row r="94" ht="27" customHeight="1">
      <c r="A94" s="54" t="inlineStr">
        <is>
          <t>SU002825</t>
        </is>
      </c>
      <c r="B94" s="54" t="inlineStr">
        <is>
          <t>P004554</t>
        </is>
      </c>
      <c r="C94" s="31" t="n">
        <v>4301051837</v>
      </c>
      <c r="D94" s="782" t="n">
        <v>4680115884311</v>
      </c>
      <c r="E94" s="783" t="n"/>
      <c r="F94" s="1220" t="n">
        <v>0.3</v>
      </c>
      <c r="G94" s="32" t="n">
        <v>6</v>
      </c>
      <c r="H94" s="1220" t="n">
        <v>1.8</v>
      </c>
      <c r="I94" s="1220" t="n">
        <v>2.046</v>
      </c>
      <c r="J94" s="32" t="n">
        <v>182</v>
      </c>
      <c r="K94" s="32" t="inlineStr">
        <is>
          <t>14</t>
        </is>
      </c>
      <c r="L94" s="32" t="n"/>
      <c r="M94" s="33" t="inlineStr">
        <is>
          <t>СК3</t>
        </is>
      </c>
      <c r="N94" s="33" t="n"/>
      <c r="O94" s="32" t="n">
        <v>40</v>
      </c>
      <c r="P94" s="1168">
        <f>HYPERLINK("https://abi.ru/products/Охлажденные/Вязанка/Филейская/Сосиски/P004554/","Сосиски «Филейские» Фикс.вес 0,3 ц/о мгс ТМ «Вязанка»")</f>
        <v/>
      </c>
      <c r="Q94" s="785" t="n"/>
      <c r="R94" s="785" t="n"/>
      <c r="S94" s="785" t="n"/>
      <c r="T94" s="786" t="n"/>
      <c r="U94" s="34" t="n"/>
      <c r="V94" s="34" t="n"/>
      <c r="W94" s="35" t="inlineStr">
        <is>
          <t>кг</t>
        </is>
      </c>
      <c r="X94" s="1221" t="n">
        <v>0</v>
      </c>
      <c r="Y94" s="1222">
        <f>IFERROR(IF(X94="",0,CEILING((X94/$H94),1)*$H94),"")</f>
        <v/>
      </c>
      <c r="Z94" s="36">
        <f>IFERROR(IF(Y94=0,"",ROUNDUP(Y94/H94,0)*0.00651),"")</f>
        <v/>
      </c>
      <c r="AA94" s="56" t="n"/>
      <c r="AB94" s="57" t="n"/>
      <c r="AC94" s="153" t="inlineStr">
        <is>
          <t>ЕАЭС N RU Д-RU.РА01.В.62645/23, ЕАЭС N RU Д-RU.РА09.В.49308/23</t>
        </is>
      </c>
      <c r="AG94" s="64" t="n"/>
      <c r="AJ94" s="68" t="n"/>
      <c r="AK94" s="68" t="n">
        <v>0</v>
      </c>
      <c r="BB94" s="154" t="inlineStr">
        <is>
          <t>КИ</t>
        </is>
      </c>
      <c r="BM94" s="64">
        <f>IFERROR(X94*I94/H94,"0")</f>
        <v/>
      </c>
      <c r="BN94" s="64">
        <f>IFERROR(Y94*I94/H94,"0")</f>
        <v/>
      </c>
      <c r="BO94" s="64">
        <f>IFERROR(1/J94*(X94/H94),"0")</f>
        <v/>
      </c>
      <c r="BP94" s="64">
        <f>IFERROR(1/J94*(Y94/H94),"0")</f>
        <v/>
      </c>
    </row>
    <row r="95" ht="37.5" customHeight="1">
      <c r="A95" s="54" t="inlineStr">
        <is>
          <t>SU003617</t>
        </is>
      </c>
      <c r="B95" s="54" t="inlineStr">
        <is>
          <t>P004558</t>
        </is>
      </c>
      <c r="C95" s="31" t="n">
        <v>4301051844</v>
      </c>
      <c r="D95" s="782" t="n">
        <v>4680115885929</v>
      </c>
      <c r="E95" s="783" t="n"/>
      <c r="F95" s="1220" t="n">
        <v>0.42</v>
      </c>
      <c r="G95" s="32" t="n">
        <v>6</v>
      </c>
      <c r="H95" s="1220" t="n">
        <v>2.52</v>
      </c>
      <c r="I95" s="1220" t="n">
        <v>2.7</v>
      </c>
      <c r="J95" s="32" t="n">
        <v>182</v>
      </c>
      <c r="K95" s="32" t="inlineStr">
        <is>
          <t>14</t>
        </is>
      </c>
      <c r="L95" s="32" t="n"/>
      <c r="M95" s="33" t="inlineStr">
        <is>
          <t>СК3</t>
        </is>
      </c>
      <c r="N95" s="33" t="n"/>
      <c r="O95" s="32" t="n">
        <v>45</v>
      </c>
      <c r="P95" s="1156">
        <f>HYPERLINK("https://abi.ru/products/Охлажденные/Вязанка/Филейская/Сосиски/P004558/","Сосиски «Филейские по-ганноверски» ф/в 0,42 п/а ТМ «Вязанка»")</f>
        <v/>
      </c>
      <c r="Q95" s="785" t="n"/>
      <c r="R95" s="785" t="n"/>
      <c r="S95" s="785" t="n"/>
      <c r="T95" s="786" t="n"/>
      <c r="U95" s="34" t="n"/>
      <c r="V95" s="34" t="n"/>
      <c r="W95" s="35" t="inlineStr">
        <is>
          <t>кг</t>
        </is>
      </c>
      <c r="X95" s="1221" t="n">
        <v>0</v>
      </c>
      <c r="Y95" s="1222">
        <f>IFERROR(IF(X95="",0,CEILING((X95/$H95),1)*$H95),"")</f>
        <v/>
      </c>
      <c r="Z95" s="36">
        <f>IFERROR(IF(Y95=0,"",ROUNDUP(Y95/H95,0)*0.00651),"")</f>
        <v/>
      </c>
      <c r="AA95" s="56" t="n"/>
      <c r="AB95" s="57" t="n"/>
      <c r="AC95" s="155" t="inlineStr">
        <is>
          <t>ЕАЭС N RU Д-RU.РА04.В.95390/24, ЕАЭС N RU Д-RU.РА04.В.95586/24, ЕАЭС N RU Д-RU.РА04.В.95798/24</t>
        </is>
      </c>
      <c r="AG95" s="64" t="n"/>
      <c r="AJ95" s="68" t="n"/>
      <c r="AK95" s="68" t="n">
        <v>0</v>
      </c>
      <c r="BB95" s="156" t="inlineStr">
        <is>
          <t>КИ</t>
        </is>
      </c>
      <c r="BM95" s="64">
        <f>IFERROR(X95*I95/H95,"0")</f>
        <v/>
      </c>
      <c r="BN95" s="64">
        <f>IFERROR(Y95*I95/H95,"0")</f>
        <v/>
      </c>
      <c r="BO95" s="64">
        <f>IFERROR(1/J95*(X95/H95),"0")</f>
        <v/>
      </c>
      <c r="BP95" s="64">
        <f>IFERROR(1/J95*(Y95/H95),"0")</f>
        <v/>
      </c>
    </row>
    <row r="96" ht="37.5" customHeight="1">
      <c r="A96" s="54" t="inlineStr">
        <is>
          <t>SU003288</t>
        </is>
      </c>
      <c r="B96" s="54" t="inlineStr">
        <is>
          <t>P004557</t>
        </is>
      </c>
      <c r="C96" s="31" t="n">
        <v>4301051827</v>
      </c>
      <c r="D96" s="782" t="n">
        <v>4680115884403</v>
      </c>
      <c r="E96" s="783" t="n"/>
      <c r="F96" s="1220" t="n">
        <v>0.3</v>
      </c>
      <c r="G96" s="32" t="n">
        <v>6</v>
      </c>
      <c r="H96" s="1220" t="n">
        <v>1.8</v>
      </c>
      <c r="I96" s="1220" t="n">
        <v>1.98</v>
      </c>
      <c r="J96" s="32" t="n">
        <v>182</v>
      </c>
      <c r="K96" s="32" t="inlineStr">
        <is>
          <t>14</t>
        </is>
      </c>
      <c r="L96" s="32" t="n"/>
      <c r="M96" s="33" t="inlineStr">
        <is>
          <t>СК2</t>
        </is>
      </c>
      <c r="N96" s="33" t="n"/>
      <c r="O96" s="32" t="n">
        <v>40</v>
      </c>
      <c r="P96" s="986">
        <f>HYPERLINK("https://abi.ru/products/Охлажденные/Вязанка/Филейская/Сосиски/P004557/","Сосиски «Филейские рубленые» ф/в 0,3 ц/о ТМ «Вязанка»")</f>
        <v/>
      </c>
      <c r="Q96" s="785" t="n"/>
      <c r="R96" s="785" t="n"/>
      <c r="S96" s="785" t="n"/>
      <c r="T96" s="786" t="n"/>
      <c r="U96" s="34" t="n"/>
      <c r="V96" s="34" t="n"/>
      <c r="W96" s="35" t="inlineStr">
        <is>
          <t>кг</t>
        </is>
      </c>
      <c r="X96" s="1221" t="n">
        <v>0</v>
      </c>
      <c r="Y96" s="1222">
        <f>IFERROR(IF(X96="",0,CEILING((X96/$H96),1)*$H96),"")</f>
        <v/>
      </c>
      <c r="Z96" s="36">
        <f>IFERROR(IF(Y96=0,"",ROUNDUP(Y96/H96,0)*0.00651),"")</f>
        <v/>
      </c>
      <c r="AA96" s="56" t="n"/>
      <c r="AB96" s="57" t="n"/>
      <c r="AC96" s="157" t="inlineStr">
        <is>
          <t>ЕАЭС N RU Д-RU.РА01.В.58241/24, ЕАЭС N RU Д-RU.РА01.В.58575/24, ЕАЭС N RU Д-RU.РА01.В.58627/24</t>
        </is>
      </c>
      <c r="AG96" s="64" t="n"/>
      <c r="AJ96" s="68" t="n"/>
      <c r="AK96" s="68" t="n">
        <v>0</v>
      </c>
      <c r="BB96" s="158" t="inlineStr">
        <is>
          <t>КИ</t>
        </is>
      </c>
      <c r="BM96" s="64">
        <f>IFERROR(X96*I96/H96,"0")</f>
        <v/>
      </c>
      <c r="BN96" s="64">
        <f>IFERROR(Y96*I96/H96,"0")</f>
        <v/>
      </c>
      <c r="BO96" s="64">
        <f>IFERROR(1/J96*(X96/H96),"0")</f>
        <v/>
      </c>
      <c r="BP96" s="64">
        <f>IFERROR(1/J96*(Y96/H96),"0")</f>
        <v/>
      </c>
    </row>
    <row r="97">
      <c r="A97" s="801" t="n"/>
      <c r="B97" s="800" t="n"/>
      <c r="C97" s="800" t="n"/>
      <c r="D97" s="800" t="n"/>
      <c r="E97" s="800" t="n"/>
      <c r="F97" s="800" t="n"/>
      <c r="G97" s="800" t="n"/>
      <c r="H97" s="800" t="n"/>
      <c r="I97" s="800" t="n"/>
      <c r="J97" s="800" t="n"/>
      <c r="K97" s="800" t="n"/>
      <c r="L97" s="800" t="n"/>
      <c r="M97" s="800" t="n"/>
      <c r="N97" s="800" t="n"/>
      <c r="O97" s="802" t="n"/>
      <c r="P97" s="796" t="inlineStr">
        <is>
          <t>Итого</t>
        </is>
      </c>
      <c r="Q97" s="793" t="n"/>
      <c r="R97" s="793" t="n"/>
      <c r="S97" s="793" t="n"/>
      <c r="T97" s="793" t="n"/>
      <c r="U97" s="793" t="n"/>
      <c r="V97" s="794" t="n"/>
      <c r="W97" s="37" t="inlineStr">
        <is>
          <t>кор</t>
        </is>
      </c>
      <c r="X97" s="1223">
        <f>IFERROR(X91/H91,"0")+IFERROR(X92/H92,"0")+IFERROR(X93/H93,"0")+IFERROR(X94/H94,"0")+IFERROR(X95/H95,"0")+IFERROR(X96/H96,"0")</f>
        <v/>
      </c>
      <c r="Y97" s="1223">
        <f>IFERROR(Y91/H91,"0")+IFERROR(Y92/H92,"0")+IFERROR(Y93/H93,"0")+IFERROR(Y94/H94,"0")+IFERROR(Y95/H95,"0")+IFERROR(Y96/H96,"0")</f>
        <v/>
      </c>
      <c r="Z97" s="1223">
        <f>IFERROR(IF(Z91="",0,Z91),"0")+IFERROR(IF(Z92="",0,Z92),"0")+IFERROR(IF(Z93="",0,Z93),"0")+IFERROR(IF(Z94="",0,Z94),"0")+IFERROR(IF(Z95="",0,Z95),"0")+IFERROR(IF(Z96="",0,Z96),"0")</f>
        <v/>
      </c>
      <c r="AA97" s="1224" t="n"/>
      <c r="AB97" s="1224" t="n"/>
      <c r="AC97" s="1224" t="n"/>
    </row>
    <row r="98">
      <c r="A98" s="800" t="n"/>
      <c r="B98" s="800" t="n"/>
      <c r="C98" s="800" t="n"/>
      <c r="D98" s="800" t="n"/>
      <c r="E98" s="800" t="n"/>
      <c r="F98" s="800" t="n"/>
      <c r="G98" s="800" t="n"/>
      <c r="H98" s="800" t="n"/>
      <c r="I98" s="800" t="n"/>
      <c r="J98" s="800" t="n"/>
      <c r="K98" s="800" t="n"/>
      <c r="L98" s="800" t="n"/>
      <c r="M98" s="800" t="n"/>
      <c r="N98" s="800" t="n"/>
      <c r="O98" s="802" t="n"/>
      <c r="P98" s="796" t="inlineStr">
        <is>
          <t>Итого</t>
        </is>
      </c>
      <c r="Q98" s="793" t="n"/>
      <c r="R98" s="793" t="n"/>
      <c r="S98" s="793" t="n"/>
      <c r="T98" s="793" t="n"/>
      <c r="U98" s="793" t="n"/>
      <c r="V98" s="794" t="n"/>
      <c r="W98" s="37" t="inlineStr">
        <is>
          <t>кг</t>
        </is>
      </c>
      <c r="X98" s="1223">
        <f>IFERROR(SUM(X91:X96),"0")</f>
        <v/>
      </c>
      <c r="Y98" s="1223">
        <f>IFERROR(SUM(Y91:Y96),"0")</f>
        <v/>
      </c>
      <c r="Z98" s="37" t="n"/>
      <c r="AA98" s="1224" t="n"/>
      <c r="AB98" s="1224" t="n"/>
      <c r="AC98" s="1224" t="n"/>
    </row>
    <row r="99" ht="14.25" customHeight="1">
      <c r="A99" s="799" t="inlineStr">
        <is>
          <t>Сардельки</t>
        </is>
      </c>
      <c r="B99" s="800" t="n"/>
      <c r="C99" s="800" t="n"/>
      <c r="D99" s="800" t="n"/>
      <c r="E99" s="800" t="n"/>
      <c r="F99" s="800" t="n"/>
      <c r="G99" s="800" t="n"/>
      <c r="H99" s="800" t="n"/>
      <c r="I99" s="800" t="n"/>
      <c r="J99" s="800" t="n"/>
      <c r="K99" s="800" t="n"/>
      <c r="L99" s="800" t="n"/>
      <c r="M99" s="800" t="n"/>
      <c r="N99" s="800" t="n"/>
      <c r="O99" s="800" t="n"/>
      <c r="P99" s="800" t="n"/>
      <c r="Q99" s="800" t="n"/>
      <c r="R99" s="800" t="n"/>
      <c r="S99" s="800" t="n"/>
      <c r="T99" s="800" t="n"/>
      <c r="U99" s="800" t="n"/>
      <c r="V99" s="800" t="n"/>
      <c r="W99" s="800" t="n"/>
      <c r="X99" s="800" t="n"/>
      <c r="Y99" s="800" t="n"/>
      <c r="Z99" s="800" t="n"/>
      <c r="AA99" s="799" t="n"/>
      <c r="AB99" s="799" t="n"/>
      <c r="AC99" s="799" t="n"/>
    </row>
    <row r="100" ht="37.5" customHeight="1">
      <c r="A100" s="54" t="inlineStr">
        <is>
          <t>SU002835</t>
        </is>
      </c>
      <c r="B100" s="54" t="inlineStr">
        <is>
          <t>P003883</t>
        </is>
      </c>
      <c r="C100" s="31" t="n">
        <v>4301060366</v>
      </c>
      <c r="D100" s="782" t="n">
        <v>4680115881532</v>
      </c>
      <c r="E100" s="783" t="n"/>
      <c r="F100" s="1220" t="n">
        <v>1.3</v>
      </c>
      <c r="G100" s="32" t="n">
        <v>6</v>
      </c>
      <c r="H100" s="1220" t="n">
        <v>7.8</v>
      </c>
      <c r="I100" s="1220" t="n">
        <v>8.279999999999999</v>
      </c>
      <c r="J100" s="32" t="n">
        <v>56</v>
      </c>
      <c r="K100" s="32" t="inlineStr">
        <is>
          <t>8</t>
        </is>
      </c>
      <c r="L100" s="32" t="n"/>
      <c r="M100" s="33" t="inlineStr">
        <is>
          <t>СК2</t>
        </is>
      </c>
      <c r="N100" s="33" t="n"/>
      <c r="O100" s="32" t="n">
        <v>30</v>
      </c>
      <c r="P100" s="1166">
        <f>HYPERLINK("https://abi.ru/products/Охлажденные/Вязанка/Филейская/Сардельки/P003883/","Сардельки «Филейские» Весовые н/о мгс ТМ «Вязанка»")</f>
        <v/>
      </c>
      <c r="Q100" s="785" t="n"/>
      <c r="R100" s="785" t="n"/>
      <c r="S100" s="785" t="n"/>
      <c r="T100" s="786" t="n"/>
      <c r="U100" s="34" t="n"/>
      <c r="V100" s="34" t="n"/>
      <c r="W100" s="35" t="inlineStr">
        <is>
          <t>кг</t>
        </is>
      </c>
      <c r="X100" s="1221" t="n">
        <v>0</v>
      </c>
      <c r="Y100" s="1222">
        <f>IFERROR(IF(X100="",0,CEILING((X100/$H100),1)*$H100),"")</f>
        <v/>
      </c>
      <c r="Z100" s="36">
        <f>IFERROR(IF(Y100=0,"",ROUNDUP(Y100/H100,0)*0.02175),"")</f>
        <v/>
      </c>
      <c r="AA100" s="56" t="n"/>
      <c r="AB100" s="57" t="n"/>
      <c r="AC100" s="159" t="inlineStr">
        <is>
          <t>ЕАЭС N RU Д-RU.РА01.В.62825/23, ЕАЭС N RU Д-RU.РА01.В.62909/23, ЕАЭС N RU Д-RU.РА01.В.63000/23</t>
        </is>
      </c>
      <c r="AG100" s="64" t="n"/>
      <c r="AJ100" s="68" t="n"/>
      <c r="AK100" s="68" t="n">
        <v>0</v>
      </c>
      <c r="BB100" s="160" t="inlineStr">
        <is>
          <t>КИ</t>
        </is>
      </c>
      <c r="BM100" s="64">
        <f>IFERROR(X100*I100/H100,"0")</f>
        <v/>
      </c>
      <c r="BN100" s="64">
        <f>IFERROR(Y100*I100/H100,"0")</f>
        <v/>
      </c>
      <c r="BO100" s="64">
        <f>IFERROR(1/J100*(X100/H100),"0")</f>
        <v/>
      </c>
      <c r="BP100" s="64">
        <f>IFERROR(1/J100*(Y100/H100),"0")</f>
        <v/>
      </c>
    </row>
    <row r="101" ht="37.5" customHeight="1">
      <c r="A101" s="54" t="inlineStr">
        <is>
          <t>SU002835</t>
        </is>
      </c>
      <c r="B101" s="54" t="inlineStr">
        <is>
          <t>P003906</t>
        </is>
      </c>
      <c r="C101" s="31" t="n">
        <v>4301060371</v>
      </c>
      <c r="D101" s="782" t="n">
        <v>4680115881532</v>
      </c>
      <c r="E101" s="783" t="n"/>
      <c r="F101" s="1220" t="n">
        <v>1.4</v>
      </c>
      <c r="G101" s="32" t="n">
        <v>6</v>
      </c>
      <c r="H101" s="1220" t="n">
        <v>8.4</v>
      </c>
      <c r="I101" s="1220" t="n">
        <v>8.964</v>
      </c>
      <c r="J101" s="32" t="n">
        <v>56</v>
      </c>
      <c r="K101" s="32" t="inlineStr">
        <is>
          <t>8</t>
        </is>
      </c>
      <c r="L101" s="32" t="n"/>
      <c r="M101" s="33" t="inlineStr">
        <is>
          <t>СК2</t>
        </is>
      </c>
      <c r="N101" s="33" t="n"/>
      <c r="O101" s="32" t="n">
        <v>30</v>
      </c>
      <c r="P101" s="893">
        <f>HYPERLINK("https://abi.ru/products/Охлажденные/Вязанка/Филейская/Сардельки/P003906/","Сардельки «Филейские» Весовые н/о ТМ «Вязанка»")</f>
        <v/>
      </c>
      <c r="Q101" s="785" t="n"/>
      <c r="R101" s="785" t="n"/>
      <c r="S101" s="785" t="n"/>
      <c r="T101" s="786" t="n"/>
      <c r="U101" s="34" t="n"/>
      <c r="V101" s="34" t="n"/>
      <c r="W101" s="35" t="inlineStr">
        <is>
          <t>кг</t>
        </is>
      </c>
      <c r="X101" s="1221" t="n">
        <v>0</v>
      </c>
      <c r="Y101" s="1222">
        <f>IFERROR(IF(X101="",0,CEILING((X101/$H101),1)*$H101),"")</f>
        <v/>
      </c>
      <c r="Z101" s="36">
        <f>IFERROR(IF(Y101=0,"",ROUNDUP(Y101/H101,0)*0.02175),"")</f>
        <v/>
      </c>
      <c r="AA101" s="56" t="n"/>
      <c r="AB101" s="57" t="n"/>
      <c r="AC101" s="161" t="inlineStr">
        <is>
          <t>ЕАЭС N RU Д-RU.РА01.В.62825/23, ЕАЭС N RU Д-RU.РА01.В.62909/23, ЕАЭС N RU Д-RU.РА01.В.63000/23</t>
        </is>
      </c>
      <c r="AG101" s="64" t="n"/>
      <c r="AJ101" s="68" t="n"/>
      <c r="AK101" s="68" t="n">
        <v>0</v>
      </c>
      <c r="BB101" s="162" t="inlineStr">
        <is>
          <t>КИ</t>
        </is>
      </c>
      <c r="BM101" s="64">
        <f>IFERROR(X101*I101/H101,"0")</f>
        <v/>
      </c>
      <c r="BN101" s="64">
        <f>IFERROR(Y101*I101/H101,"0")</f>
        <v/>
      </c>
      <c r="BO101" s="64">
        <f>IFERROR(1/J101*(X101/H101),"0")</f>
        <v/>
      </c>
      <c r="BP101" s="64">
        <f>IFERROR(1/J101*(Y101/H101),"0")</f>
        <v/>
      </c>
    </row>
    <row r="102" ht="27" customHeight="1">
      <c r="A102" s="54" t="inlineStr">
        <is>
          <t>SU002834</t>
        </is>
      </c>
      <c r="B102" s="54" t="inlineStr">
        <is>
          <t>P003238</t>
        </is>
      </c>
      <c r="C102" s="31" t="n">
        <v>4301060351</v>
      </c>
      <c r="D102" s="782" t="n">
        <v>4680115881464</v>
      </c>
      <c r="E102" s="783" t="n"/>
      <c r="F102" s="1220" t="n">
        <v>0.4</v>
      </c>
      <c r="G102" s="32" t="n">
        <v>6</v>
      </c>
      <c r="H102" s="1220" t="n">
        <v>2.4</v>
      </c>
      <c r="I102" s="1220" t="n">
        <v>2.61</v>
      </c>
      <c r="J102" s="32" t="n">
        <v>132</v>
      </c>
      <c r="K102" s="32" t="inlineStr">
        <is>
          <t>12</t>
        </is>
      </c>
      <c r="L102" s="32" t="n"/>
      <c r="M102" s="33" t="inlineStr">
        <is>
          <t>СК3</t>
        </is>
      </c>
      <c r="N102" s="33" t="n"/>
      <c r="O102" s="32" t="n">
        <v>30</v>
      </c>
      <c r="P102" s="897">
        <f>HYPERLINK("https://abi.ru/products/Охлажденные/Вязанка/Филейская/Сардельки/P003238/","Сардельки «Филейские» Фикс.вес 0,4 NDX ТМ «Вязанка»")</f>
        <v/>
      </c>
      <c r="Q102" s="785" t="n"/>
      <c r="R102" s="785" t="n"/>
      <c r="S102" s="785" t="n"/>
      <c r="T102" s="786" t="n"/>
      <c r="U102" s="34" t="n"/>
      <c r="V102" s="34" t="n"/>
      <c r="W102" s="35" t="inlineStr">
        <is>
          <t>кг</t>
        </is>
      </c>
      <c r="X102" s="1221" t="n">
        <v>0</v>
      </c>
      <c r="Y102" s="1222">
        <f>IFERROR(IF(X102="",0,CEILING((X102/$H102),1)*$H102),"")</f>
        <v/>
      </c>
      <c r="Z102" s="36">
        <f>IFERROR(IF(Y102=0,"",ROUNDUP(Y102/H102,0)*0.00902),"")</f>
        <v/>
      </c>
      <c r="AA102" s="56" t="n"/>
      <c r="AB102" s="57" t="n"/>
      <c r="AC102" s="163" t="inlineStr">
        <is>
          <t>ЕАЭС N RU Д-RU.РА01.В.62909/23, ЕАЭС N RU Д-RU.РА01.В.63000/23</t>
        </is>
      </c>
      <c r="AG102" s="64" t="n"/>
      <c r="AJ102" s="68" t="n"/>
      <c r="AK102" s="68" t="n">
        <v>0</v>
      </c>
      <c r="BB102" s="164" t="inlineStr">
        <is>
          <t>КИ</t>
        </is>
      </c>
      <c r="BM102" s="64">
        <f>IFERROR(X102*I102/H102,"0")</f>
        <v/>
      </c>
      <c r="BN102" s="64">
        <f>IFERROR(Y102*I102/H102,"0")</f>
        <v/>
      </c>
      <c r="BO102" s="64">
        <f>IFERROR(1/J102*(X102/H102),"0")</f>
        <v/>
      </c>
      <c r="BP102" s="64">
        <f>IFERROR(1/J102*(Y102/H102),"0")</f>
        <v/>
      </c>
    </row>
    <row r="103">
      <c r="A103" s="801" t="n"/>
      <c r="B103" s="800" t="n"/>
      <c r="C103" s="800" t="n"/>
      <c r="D103" s="800" t="n"/>
      <c r="E103" s="800" t="n"/>
      <c r="F103" s="800" t="n"/>
      <c r="G103" s="800" t="n"/>
      <c r="H103" s="800" t="n"/>
      <c r="I103" s="800" t="n"/>
      <c r="J103" s="800" t="n"/>
      <c r="K103" s="800" t="n"/>
      <c r="L103" s="800" t="n"/>
      <c r="M103" s="800" t="n"/>
      <c r="N103" s="800" t="n"/>
      <c r="O103" s="802" t="n"/>
      <c r="P103" s="796" t="inlineStr">
        <is>
          <t>Итого</t>
        </is>
      </c>
      <c r="Q103" s="793" t="n"/>
      <c r="R103" s="793" t="n"/>
      <c r="S103" s="793" t="n"/>
      <c r="T103" s="793" t="n"/>
      <c r="U103" s="793" t="n"/>
      <c r="V103" s="794" t="n"/>
      <c r="W103" s="37" t="inlineStr">
        <is>
          <t>кор</t>
        </is>
      </c>
      <c r="X103" s="1223">
        <f>IFERROR(X100/H100,"0")+IFERROR(X101/H101,"0")+IFERROR(X102/H102,"0")</f>
        <v/>
      </c>
      <c r="Y103" s="1223">
        <f>IFERROR(Y100/H100,"0")+IFERROR(Y101/H101,"0")+IFERROR(Y102/H102,"0")</f>
        <v/>
      </c>
      <c r="Z103" s="1223">
        <f>IFERROR(IF(Z100="",0,Z100),"0")+IFERROR(IF(Z101="",0,Z101),"0")+IFERROR(IF(Z102="",0,Z102),"0")</f>
        <v/>
      </c>
      <c r="AA103" s="1224" t="n"/>
      <c r="AB103" s="1224" t="n"/>
      <c r="AC103" s="1224" t="n"/>
    </row>
    <row r="104">
      <c r="A104" s="800" t="n"/>
      <c r="B104" s="800" t="n"/>
      <c r="C104" s="800" t="n"/>
      <c r="D104" s="800" t="n"/>
      <c r="E104" s="800" t="n"/>
      <c r="F104" s="800" t="n"/>
      <c r="G104" s="800" t="n"/>
      <c r="H104" s="800" t="n"/>
      <c r="I104" s="800" t="n"/>
      <c r="J104" s="800" t="n"/>
      <c r="K104" s="800" t="n"/>
      <c r="L104" s="800" t="n"/>
      <c r="M104" s="800" t="n"/>
      <c r="N104" s="800" t="n"/>
      <c r="O104" s="802" t="n"/>
      <c r="P104" s="796" t="inlineStr">
        <is>
          <t>Итого</t>
        </is>
      </c>
      <c r="Q104" s="793" t="n"/>
      <c r="R104" s="793" t="n"/>
      <c r="S104" s="793" t="n"/>
      <c r="T104" s="793" t="n"/>
      <c r="U104" s="793" t="n"/>
      <c r="V104" s="794" t="n"/>
      <c r="W104" s="37" t="inlineStr">
        <is>
          <t>кг</t>
        </is>
      </c>
      <c r="X104" s="1223">
        <f>IFERROR(SUM(X100:X102),"0")</f>
        <v/>
      </c>
      <c r="Y104" s="1223">
        <f>IFERROR(SUM(Y100:Y102),"0")</f>
        <v/>
      </c>
      <c r="Z104" s="37" t="n"/>
      <c r="AA104" s="1224" t="n"/>
      <c r="AB104" s="1224" t="n"/>
      <c r="AC104" s="1224" t="n"/>
    </row>
    <row r="105" ht="16.5" customHeight="1">
      <c r="A105" s="807" t="inlineStr">
        <is>
          <t>Молокуша</t>
        </is>
      </c>
      <c r="B105" s="800" t="n"/>
      <c r="C105" s="800" t="n"/>
      <c r="D105" s="800" t="n"/>
      <c r="E105" s="800" t="n"/>
      <c r="F105" s="800" t="n"/>
      <c r="G105" s="800" t="n"/>
      <c r="H105" s="800" t="n"/>
      <c r="I105" s="800" t="n"/>
      <c r="J105" s="800" t="n"/>
      <c r="K105" s="800" t="n"/>
      <c r="L105" s="800" t="n"/>
      <c r="M105" s="800" t="n"/>
      <c r="N105" s="800" t="n"/>
      <c r="O105" s="800" t="n"/>
      <c r="P105" s="800" t="n"/>
      <c r="Q105" s="800" t="n"/>
      <c r="R105" s="800" t="n"/>
      <c r="S105" s="800" t="n"/>
      <c r="T105" s="800" t="n"/>
      <c r="U105" s="800" t="n"/>
      <c r="V105" s="800" t="n"/>
      <c r="W105" s="800" t="n"/>
      <c r="X105" s="800" t="n"/>
      <c r="Y105" s="800" t="n"/>
      <c r="Z105" s="800" t="n"/>
      <c r="AA105" s="807" t="n"/>
      <c r="AB105" s="807" t="n"/>
      <c r="AC105" s="807" t="n"/>
    </row>
    <row r="106" ht="14.25" customHeight="1">
      <c r="A106" s="799" t="inlineStr">
        <is>
          <t>Вареные колбасы</t>
        </is>
      </c>
      <c r="B106" s="800" t="n"/>
      <c r="C106" s="800" t="n"/>
      <c r="D106" s="800" t="n"/>
      <c r="E106" s="800" t="n"/>
      <c r="F106" s="800" t="n"/>
      <c r="G106" s="800" t="n"/>
      <c r="H106" s="800" t="n"/>
      <c r="I106" s="800" t="n"/>
      <c r="J106" s="800" t="n"/>
      <c r="K106" s="800" t="n"/>
      <c r="L106" s="800" t="n"/>
      <c r="M106" s="800" t="n"/>
      <c r="N106" s="800" t="n"/>
      <c r="O106" s="800" t="n"/>
      <c r="P106" s="800" t="n"/>
      <c r="Q106" s="800" t="n"/>
      <c r="R106" s="800" t="n"/>
      <c r="S106" s="800" t="n"/>
      <c r="T106" s="800" t="n"/>
      <c r="U106" s="800" t="n"/>
      <c r="V106" s="800" t="n"/>
      <c r="W106" s="800" t="n"/>
      <c r="X106" s="800" t="n"/>
      <c r="Y106" s="800" t="n"/>
      <c r="Z106" s="800" t="n"/>
      <c r="AA106" s="799" t="n"/>
      <c r="AB106" s="799" t="n"/>
      <c r="AC106" s="799" t="n"/>
    </row>
    <row r="107" ht="27" customHeight="1">
      <c r="A107" s="54" t="inlineStr">
        <is>
          <t>SU002830</t>
        </is>
      </c>
      <c r="B107" s="54" t="inlineStr">
        <is>
          <t>P003239</t>
        </is>
      </c>
      <c r="C107" s="31" t="n">
        <v>4301011468</v>
      </c>
      <c r="D107" s="782" t="n">
        <v>4680115881327</v>
      </c>
      <c r="E107" s="783" t="n"/>
      <c r="F107" s="1220" t="n">
        <v>1.35</v>
      </c>
      <c r="G107" s="32" t="n">
        <v>8</v>
      </c>
      <c r="H107" s="1220" t="n">
        <v>10.8</v>
      </c>
      <c r="I107" s="1220" t="n">
        <v>11.28</v>
      </c>
      <c r="J107" s="32" t="n">
        <v>56</v>
      </c>
      <c r="K107" s="32" t="inlineStr">
        <is>
          <t>8</t>
        </is>
      </c>
      <c r="L107" s="32" t="n"/>
      <c r="M107" s="33" t="inlineStr">
        <is>
          <t>СК4</t>
        </is>
      </c>
      <c r="N107" s="33" t="n"/>
      <c r="O107" s="32" t="n">
        <v>50</v>
      </c>
      <c r="P107" s="996">
        <f>HYPERLINK("https://abi.ru/products/Охлажденные/Вязанка/Молокуша/Вареные колбасы/P003239/","Вареные колбасы Молокуша Вязанка Вес п/а Вязанка")</f>
        <v/>
      </c>
      <c r="Q107" s="785" t="n"/>
      <c r="R107" s="785" t="n"/>
      <c r="S107" s="785" t="n"/>
      <c r="T107" s="786" t="n"/>
      <c r="U107" s="34" t="n"/>
      <c r="V107" s="34" t="n"/>
      <c r="W107" s="35" t="inlineStr">
        <is>
          <t>кг</t>
        </is>
      </c>
      <c r="X107" s="1221" t="n">
        <v>0</v>
      </c>
      <c r="Y107" s="1222">
        <f>IFERROR(IF(X107="",0,CEILING((X107/$H107),1)*$H107),"")</f>
        <v/>
      </c>
      <c r="Z107" s="36">
        <f>IFERROR(IF(Y107=0,"",ROUNDUP(Y107/H107,0)*0.02175),"")</f>
        <v/>
      </c>
      <c r="AA107" s="56" t="n"/>
      <c r="AB107" s="57" t="n"/>
      <c r="AC107" s="165" t="inlineStr">
        <is>
          <t>ЕАЭС N RU Д-RU.РА04.В.70946/22</t>
        </is>
      </c>
      <c r="AG107" s="64" t="n"/>
      <c r="AJ107" s="68" t="n"/>
      <c r="AK107" s="68" t="n">
        <v>0</v>
      </c>
      <c r="BB107" s="166" t="inlineStr">
        <is>
          <t>КИ</t>
        </is>
      </c>
      <c r="BM107" s="64">
        <f>IFERROR(X107*I107/H107,"0")</f>
        <v/>
      </c>
      <c r="BN107" s="64">
        <f>IFERROR(Y107*I107/H107,"0")</f>
        <v/>
      </c>
      <c r="BO107" s="64">
        <f>IFERROR(1/J107*(X107/H107),"0")</f>
        <v/>
      </c>
      <c r="BP107" s="64">
        <f>IFERROR(1/J107*(Y107/H107),"0")</f>
        <v/>
      </c>
    </row>
    <row r="108" ht="27" customHeight="1">
      <c r="A108" s="54" t="inlineStr">
        <is>
          <t>SU002832</t>
        </is>
      </c>
      <c r="B108" s="54" t="inlineStr">
        <is>
          <t>P003245</t>
        </is>
      </c>
      <c r="C108" s="31" t="n">
        <v>4301011476</v>
      </c>
      <c r="D108" s="782" t="n">
        <v>4680115881518</v>
      </c>
      <c r="E108" s="783" t="n"/>
      <c r="F108" s="1220" t="n">
        <v>0.4</v>
      </c>
      <c r="G108" s="32" t="n">
        <v>10</v>
      </c>
      <c r="H108" s="1220" t="n">
        <v>4</v>
      </c>
      <c r="I108" s="1220" t="n">
        <v>4.21</v>
      </c>
      <c r="J108" s="32" t="n">
        <v>132</v>
      </c>
      <c r="K108" s="32" t="inlineStr">
        <is>
          <t>12</t>
        </is>
      </c>
      <c r="L108" s="32" t="n"/>
      <c r="M108" s="33" t="inlineStr">
        <is>
          <t>СК3</t>
        </is>
      </c>
      <c r="N108" s="33" t="n"/>
      <c r="O108" s="32" t="n">
        <v>50</v>
      </c>
      <c r="P108" s="968">
        <f>HYPERLINK("https://abi.ru/products/Охлажденные/Вязанка/Молокуша/Вареные колбасы/P003245/","Вареные колбасы Молокуша Вязанка Фикс.вес 0,4 п/а Вязанка")</f>
        <v/>
      </c>
      <c r="Q108" s="785" t="n"/>
      <c r="R108" s="785" t="n"/>
      <c r="S108" s="785" t="n"/>
      <c r="T108" s="786" t="n"/>
      <c r="U108" s="34" t="n"/>
      <c r="V108" s="34" t="n"/>
      <c r="W108" s="35" t="inlineStr">
        <is>
          <t>кг</t>
        </is>
      </c>
      <c r="X108" s="1221" t="n">
        <v>0</v>
      </c>
      <c r="Y108" s="1222">
        <f>IFERROR(IF(X108="",0,CEILING((X108/$H108),1)*$H108),"")</f>
        <v/>
      </c>
      <c r="Z108" s="36">
        <f>IFERROR(IF(Y108=0,"",ROUNDUP(Y108/H108,0)*0.00902),"")</f>
        <v/>
      </c>
      <c r="AA108" s="56" t="n"/>
      <c r="AB108" s="57" t="n"/>
      <c r="AC108" s="167" t="inlineStr">
        <is>
          <t>ЕАЭС N RU Д-RU.РА04.В.69716/22, ЕАЭС N RU Д-RU.РА04.В.70946/22</t>
        </is>
      </c>
      <c r="AG108" s="64" t="n"/>
      <c r="AJ108" s="68" t="n"/>
      <c r="AK108" s="68" t="n">
        <v>0</v>
      </c>
      <c r="BB108" s="168" t="inlineStr">
        <is>
          <t>КИ</t>
        </is>
      </c>
      <c r="BM108" s="64">
        <f>IFERROR(X108*I108/H108,"0")</f>
        <v/>
      </c>
      <c r="BN108" s="64">
        <f>IFERROR(Y108*I108/H108,"0")</f>
        <v/>
      </c>
      <c r="BO108" s="64">
        <f>IFERROR(1/J108*(X108/H108),"0")</f>
        <v/>
      </c>
      <c r="BP108" s="64">
        <f>IFERROR(1/J108*(Y108/H108),"0")</f>
        <v/>
      </c>
    </row>
    <row r="109" ht="27" customHeight="1">
      <c r="A109" s="54" t="inlineStr">
        <is>
          <t>SU002816</t>
        </is>
      </c>
      <c r="B109" s="54" t="inlineStr">
        <is>
          <t>P003228</t>
        </is>
      </c>
      <c r="C109" s="31" t="n">
        <v>4301011443</v>
      </c>
      <c r="D109" s="782" t="n">
        <v>4680115881303</v>
      </c>
      <c r="E109" s="783" t="n"/>
      <c r="F109" s="1220" t="n">
        <v>0.45</v>
      </c>
      <c r="G109" s="32" t="n">
        <v>10</v>
      </c>
      <c r="H109" s="1220" t="n">
        <v>4.5</v>
      </c>
      <c r="I109" s="1220" t="n">
        <v>4.71</v>
      </c>
      <c r="J109" s="32" t="n">
        <v>132</v>
      </c>
      <c r="K109" s="32" t="inlineStr">
        <is>
          <t>12</t>
        </is>
      </c>
      <c r="L109" s="32" t="inlineStr">
        <is>
          <t>Слой, мин. 1</t>
        </is>
      </c>
      <c r="M109" s="33" t="inlineStr">
        <is>
          <t>СК4</t>
        </is>
      </c>
      <c r="N109" s="33" t="n"/>
      <c r="O109" s="32" t="n">
        <v>50</v>
      </c>
      <c r="P109" s="954">
        <f>HYPERLINK("https://abi.ru/products/Охлажденные/Вязанка/Молокуша/Вареные колбасы/P003228/","Вареные колбасы Молокуша Вязанка Фикс.вес 0,45 п/а Вязанка")</f>
        <v/>
      </c>
      <c r="Q109" s="785" t="n"/>
      <c r="R109" s="785" t="n"/>
      <c r="S109" s="785" t="n"/>
      <c r="T109" s="786" t="n"/>
      <c r="U109" s="34" t="n"/>
      <c r="V109" s="34" t="n"/>
      <c r="W109" s="35" t="inlineStr">
        <is>
          <t>кг</t>
        </is>
      </c>
      <c r="X109" s="1221" t="n">
        <v>0</v>
      </c>
      <c r="Y109" s="1222">
        <f>IFERROR(IF(X109="",0,CEILING((X109/$H109),1)*$H109),"")</f>
        <v/>
      </c>
      <c r="Z109" s="36">
        <f>IFERROR(IF(Y109=0,"",ROUNDUP(Y109/H109,0)*0.00902),"")</f>
        <v/>
      </c>
      <c r="AA109" s="56" t="n"/>
      <c r="AB109" s="57" t="n"/>
      <c r="AC109" s="169" t="inlineStr">
        <is>
          <t>ЕАЭС N RU Д-RU.РА04.В.69716/22, ЕАЭС N RU Д-RU.РА04.В.70946/22</t>
        </is>
      </c>
      <c r="AG109" s="64" t="n"/>
      <c r="AJ109" s="68" t="inlineStr">
        <is>
          <t>Слой</t>
        </is>
      </c>
      <c r="AK109" s="68" t="n">
        <v>54</v>
      </c>
      <c r="BB109" s="170" t="inlineStr">
        <is>
          <t>КИ</t>
        </is>
      </c>
      <c r="BM109" s="64">
        <f>IFERROR(X109*I109/H109,"0")</f>
        <v/>
      </c>
      <c r="BN109" s="64">
        <f>IFERROR(Y109*I109/H109,"0")</f>
        <v/>
      </c>
      <c r="BO109" s="64">
        <f>IFERROR(1/J109*(X109/H109),"0")</f>
        <v/>
      </c>
      <c r="BP109" s="64">
        <f>IFERROR(1/J109*(Y109/H109),"0")</f>
        <v/>
      </c>
    </row>
    <row r="110">
      <c r="A110" s="801" t="n"/>
      <c r="B110" s="800" t="n"/>
      <c r="C110" s="800" t="n"/>
      <c r="D110" s="800" t="n"/>
      <c r="E110" s="800" t="n"/>
      <c r="F110" s="800" t="n"/>
      <c r="G110" s="800" t="n"/>
      <c r="H110" s="800" t="n"/>
      <c r="I110" s="800" t="n"/>
      <c r="J110" s="800" t="n"/>
      <c r="K110" s="800" t="n"/>
      <c r="L110" s="800" t="n"/>
      <c r="M110" s="800" t="n"/>
      <c r="N110" s="800" t="n"/>
      <c r="O110" s="802" t="n"/>
      <c r="P110" s="796" t="inlineStr">
        <is>
          <t>Итого</t>
        </is>
      </c>
      <c r="Q110" s="793" t="n"/>
      <c r="R110" s="793" t="n"/>
      <c r="S110" s="793" t="n"/>
      <c r="T110" s="793" t="n"/>
      <c r="U110" s="793" t="n"/>
      <c r="V110" s="794" t="n"/>
      <c r="W110" s="37" t="inlineStr">
        <is>
          <t>кор</t>
        </is>
      </c>
      <c r="X110" s="1223">
        <f>IFERROR(X107/H107,"0")+IFERROR(X108/H108,"0")+IFERROR(X109/H109,"0")</f>
        <v/>
      </c>
      <c r="Y110" s="1223">
        <f>IFERROR(Y107/H107,"0")+IFERROR(Y108/H108,"0")+IFERROR(Y109/H109,"0")</f>
        <v/>
      </c>
      <c r="Z110" s="1223">
        <f>IFERROR(IF(Z107="",0,Z107),"0")+IFERROR(IF(Z108="",0,Z108),"0")+IFERROR(IF(Z109="",0,Z109),"0")</f>
        <v/>
      </c>
      <c r="AA110" s="1224" t="n"/>
      <c r="AB110" s="1224" t="n"/>
      <c r="AC110" s="1224" t="n"/>
    </row>
    <row r="111">
      <c r="A111" s="800" t="n"/>
      <c r="B111" s="800" t="n"/>
      <c r="C111" s="800" t="n"/>
      <c r="D111" s="800" t="n"/>
      <c r="E111" s="800" t="n"/>
      <c r="F111" s="800" t="n"/>
      <c r="G111" s="800" t="n"/>
      <c r="H111" s="800" t="n"/>
      <c r="I111" s="800" t="n"/>
      <c r="J111" s="800" t="n"/>
      <c r="K111" s="800" t="n"/>
      <c r="L111" s="800" t="n"/>
      <c r="M111" s="800" t="n"/>
      <c r="N111" s="800" t="n"/>
      <c r="O111" s="802" t="n"/>
      <c r="P111" s="796" t="inlineStr">
        <is>
          <t>Итого</t>
        </is>
      </c>
      <c r="Q111" s="793" t="n"/>
      <c r="R111" s="793" t="n"/>
      <c r="S111" s="793" t="n"/>
      <c r="T111" s="793" t="n"/>
      <c r="U111" s="793" t="n"/>
      <c r="V111" s="794" t="n"/>
      <c r="W111" s="37" t="inlineStr">
        <is>
          <t>кг</t>
        </is>
      </c>
      <c r="X111" s="1223">
        <f>IFERROR(SUM(X107:X109),"0")</f>
        <v/>
      </c>
      <c r="Y111" s="1223">
        <f>IFERROR(SUM(Y107:Y109),"0")</f>
        <v/>
      </c>
      <c r="Z111" s="37" t="n"/>
      <c r="AA111" s="1224" t="n"/>
      <c r="AB111" s="1224" t="n"/>
      <c r="AC111" s="1224" t="n"/>
    </row>
    <row r="112" ht="14.25" customHeight="1">
      <c r="A112" s="799" t="inlineStr">
        <is>
          <t>Сосиски</t>
        </is>
      </c>
      <c r="B112" s="800" t="n"/>
      <c r="C112" s="800" t="n"/>
      <c r="D112" s="800" t="n"/>
      <c r="E112" s="800" t="n"/>
      <c r="F112" s="800" t="n"/>
      <c r="G112" s="800" t="n"/>
      <c r="H112" s="800" t="n"/>
      <c r="I112" s="800" t="n"/>
      <c r="J112" s="800" t="n"/>
      <c r="K112" s="800" t="n"/>
      <c r="L112" s="800" t="n"/>
      <c r="M112" s="800" t="n"/>
      <c r="N112" s="800" t="n"/>
      <c r="O112" s="800" t="n"/>
      <c r="P112" s="800" t="n"/>
      <c r="Q112" s="800" t="n"/>
      <c r="R112" s="800" t="n"/>
      <c r="S112" s="800" t="n"/>
      <c r="T112" s="800" t="n"/>
      <c r="U112" s="800" t="n"/>
      <c r="V112" s="800" t="n"/>
      <c r="W112" s="800" t="n"/>
      <c r="X112" s="800" t="n"/>
      <c r="Y112" s="800" t="n"/>
      <c r="Z112" s="800" t="n"/>
      <c r="AA112" s="799" t="n"/>
      <c r="AB112" s="799" t="n"/>
      <c r="AC112" s="799" t="n"/>
    </row>
    <row r="113" ht="27" customHeight="1">
      <c r="A113" s="54" t="inlineStr">
        <is>
          <t>SU001523</t>
        </is>
      </c>
      <c r="B113" s="54" t="inlineStr">
        <is>
          <t>P003328</t>
        </is>
      </c>
      <c r="C113" s="31" t="n">
        <v>4301051437</v>
      </c>
      <c r="D113" s="782" t="n">
        <v>4607091386967</v>
      </c>
      <c r="E113" s="783" t="n"/>
      <c r="F113" s="1220" t="n">
        <v>1.35</v>
      </c>
      <c r="G113" s="32" t="n">
        <v>6</v>
      </c>
      <c r="H113" s="1220" t="n">
        <v>8.1</v>
      </c>
      <c r="I113" s="1220" t="n">
        <v>8.664</v>
      </c>
      <c r="J113" s="32" t="n">
        <v>56</v>
      </c>
      <c r="K113" s="32" t="inlineStr">
        <is>
          <t>8</t>
        </is>
      </c>
      <c r="L113" s="32" t="n"/>
      <c r="M113" s="33" t="inlineStr">
        <is>
          <t>СК3</t>
        </is>
      </c>
      <c r="N113" s="33" t="n"/>
      <c r="O113" s="32" t="n">
        <v>45</v>
      </c>
      <c r="P113" s="1127">
        <f>HYPERLINK("https://abi.ru/products/Охлажденные/Вязанка/Молокуша/Сосиски/P003328/","Сосиски «Вязанка Молочные» Весовые П/а мгс ТМ «Вязанка»")</f>
        <v/>
      </c>
      <c r="Q113" s="785" t="n"/>
      <c r="R113" s="785" t="n"/>
      <c r="S113" s="785" t="n"/>
      <c r="T113" s="786" t="n"/>
      <c r="U113" s="34" t="n"/>
      <c r="V113" s="34" t="n"/>
      <c r="W113" s="35" t="inlineStr">
        <is>
          <t>кг</t>
        </is>
      </c>
      <c r="X113" s="1221" t="n">
        <v>0</v>
      </c>
      <c r="Y113" s="1222">
        <f>IFERROR(IF(X113="",0,CEILING((X113/$H113),1)*$H113),"")</f>
        <v/>
      </c>
      <c r="Z113" s="36">
        <f>IFERROR(IF(Y113=0,"",ROUNDUP(Y113/H113,0)*0.02175),"")</f>
        <v/>
      </c>
      <c r="AA113" s="56" t="n"/>
      <c r="AB113" s="57" t="n"/>
      <c r="AC113" s="171" t="inlineStr">
        <is>
          <t>ЕАЭС N RU Д-RU.РА01.В.20899/23, ЕАЭС N RU Д-RU.РА03.В.39392/23</t>
        </is>
      </c>
      <c r="AG113" s="64" t="n"/>
      <c r="AJ113" s="68" t="n"/>
      <c r="AK113" s="68" t="n">
        <v>0</v>
      </c>
      <c r="BB113" s="172" t="inlineStr">
        <is>
          <t>КИ</t>
        </is>
      </c>
      <c r="BM113" s="64">
        <f>IFERROR(X113*I113/H113,"0")</f>
        <v/>
      </c>
      <c r="BN113" s="64">
        <f>IFERROR(Y113*I113/H113,"0")</f>
        <v/>
      </c>
      <c r="BO113" s="64">
        <f>IFERROR(1/J113*(X113/H113),"0")</f>
        <v/>
      </c>
      <c r="BP113" s="64">
        <f>IFERROR(1/J113*(Y113/H113),"0")</f>
        <v/>
      </c>
    </row>
    <row r="114" ht="27" customHeight="1">
      <c r="A114" s="54" t="inlineStr">
        <is>
          <t>SU001523</t>
        </is>
      </c>
      <c r="B114" s="54" t="inlineStr">
        <is>
          <t>P003691</t>
        </is>
      </c>
      <c r="C114" s="31" t="n">
        <v>4301051546</v>
      </c>
      <c r="D114" s="782" t="n">
        <v>4607091386967</v>
      </c>
      <c r="E114" s="783" t="n"/>
      <c r="F114" s="1220" t="n">
        <v>1.4</v>
      </c>
      <c r="G114" s="32" t="n">
        <v>6</v>
      </c>
      <c r="H114" s="1220" t="n">
        <v>8.4</v>
      </c>
      <c r="I114" s="1220" t="n">
        <v>8.964</v>
      </c>
      <c r="J114" s="32" t="n">
        <v>56</v>
      </c>
      <c r="K114" s="32" t="inlineStr">
        <is>
          <t>8</t>
        </is>
      </c>
      <c r="L114" s="32" t="n"/>
      <c r="M114" s="33" t="inlineStr">
        <is>
          <t>СК3</t>
        </is>
      </c>
      <c r="N114" s="33" t="n"/>
      <c r="O114" s="32" t="n">
        <v>45</v>
      </c>
      <c r="P114" s="909">
        <f>HYPERLINK("https://abi.ru/products/Охлажденные/Вязанка/Молокуша/Сосиски/P003691/","Сосиски «Молокуши (Вязанка Молочные)» Весовые П/а мгс УВВ ТМ «Вязанка»")</f>
        <v/>
      </c>
      <c r="Q114" s="785" t="n"/>
      <c r="R114" s="785" t="n"/>
      <c r="S114" s="785" t="n"/>
      <c r="T114" s="786" t="n"/>
      <c r="U114" s="34" t="n"/>
      <c r="V114" s="34" t="n"/>
      <c r="W114" s="35" t="inlineStr">
        <is>
          <t>кг</t>
        </is>
      </c>
      <c r="X114" s="1221" t="n">
        <v>0</v>
      </c>
      <c r="Y114" s="1222">
        <f>IFERROR(IF(X114="",0,CEILING((X114/$H114),1)*$H114),"")</f>
        <v/>
      </c>
      <c r="Z114" s="36">
        <f>IFERROR(IF(Y114=0,"",ROUNDUP(Y114/H114,0)*0.02175),"")</f>
        <v/>
      </c>
      <c r="AA114" s="56" t="n"/>
      <c r="AB114" s="57" t="n"/>
      <c r="AC114" s="173" t="inlineStr">
        <is>
          <t>ЕАЭС N RU Д-RU.РА01.В.20899/23, ЕАЭС N RU Д-RU.РА03.В.39392/23</t>
        </is>
      </c>
      <c r="AG114" s="64" t="n"/>
      <c r="AJ114" s="68" t="n"/>
      <c r="AK114" s="68" t="n">
        <v>0</v>
      </c>
      <c r="BB114" s="174" t="inlineStr">
        <is>
          <t>КИ</t>
        </is>
      </c>
      <c r="BM114" s="64">
        <f>IFERROR(X114*I114/H114,"0")</f>
        <v/>
      </c>
      <c r="BN114" s="64">
        <f>IFERROR(Y114*I114/H114,"0")</f>
        <v/>
      </c>
      <c r="BO114" s="64">
        <f>IFERROR(1/J114*(X114/H114),"0")</f>
        <v/>
      </c>
      <c r="BP114" s="64">
        <f>IFERROR(1/J114*(Y114/H114),"0")</f>
        <v/>
      </c>
    </row>
    <row r="115" ht="27" customHeight="1">
      <c r="A115" s="54" t="inlineStr">
        <is>
          <t>SU001718</t>
        </is>
      </c>
      <c r="B115" s="54" t="inlineStr">
        <is>
          <t>P003327</t>
        </is>
      </c>
      <c r="C115" s="31" t="n">
        <v>4301051436</v>
      </c>
      <c r="D115" s="782" t="n">
        <v>4607091385731</v>
      </c>
      <c r="E115" s="783" t="n"/>
      <c r="F115" s="1220" t="n">
        <v>0.45</v>
      </c>
      <c r="G115" s="32" t="n">
        <v>6</v>
      </c>
      <c r="H115" s="1220" t="n">
        <v>2.7</v>
      </c>
      <c r="I115" s="1220" t="n">
        <v>2.952</v>
      </c>
      <c r="J115" s="32" t="n">
        <v>182</v>
      </c>
      <c r="K115" s="32" t="inlineStr">
        <is>
          <t>14</t>
        </is>
      </c>
      <c r="L115" s="32" t="inlineStr">
        <is>
          <t>Палетта, мин. 1</t>
        </is>
      </c>
      <c r="M115" s="33" t="inlineStr">
        <is>
          <t>СК3</t>
        </is>
      </c>
      <c r="N115" s="33" t="n"/>
      <c r="O115" s="32" t="n">
        <v>45</v>
      </c>
      <c r="P115" s="1027">
        <f>HYPERLINK("https://abi.ru/products/Охлажденные/Вязанка/Молокуша/Сосиски/P003327/","Сосиски «Вязанка Молочные» Фикс.вес 0,45 П/а мгс ТМ «Вязанка»")</f>
        <v/>
      </c>
      <c r="Q115" s="785" t="n"/>
      <c r="R115" s="785" t="n"/>
      <c r="S115" s="785" t="n"/>
      <c r="T115" s="786" t="n"/>
      <c r="U115" s="34" t="n"/>
      <c r="V115" s="34" t="n"/>
      <c r="W115" s="35" t="inlineStr">
        <is>
          <t>кг</t>
        </is>
      </c>
      <c r="X115" s="1221" t="n">
        <v>0</v>
      </c>
      <c r="Y115" s="1222">
        <f>IFERROR(IF(X115="",0,CEILING((X115/$H115),1)*$H115),"")</f>
        <v/>
      </c>
      <c r="Z115" s="36">
        <f>IFERROR(IF(Y115=0,"",ROUNDUP(Y115/H115,0)*0.00651),"")</f>
        <v/>
      </c>
      <c r="AA115" s="56" t="n"/>
      <c r="AB115" s="57" t="n"/>
      <c r="AC115" s="175" t="inlineStr">
        <is>
          <t>ЕАЭС N RU Д-RU.РА01.В.20899/23, ЕАЭС N RU Д-RU.РА03.В.39392/23</t>
        </is>
      </c>
      <c r="AG115" s="64" t="n"/>
      <c r="AJ115" s="68" t="inlineStr">
        <is>
          <t>Палетта</t>
        </is>
      </c>
      <c r="AK115" s="68" t="n">
        <v>491.4</v>
      </c>
      <c r="BB115" s="176" t="inlineStr">
        <is>
          <t>КИ</t>
        </is>
      </c>
      <c r="BM115" s="64">
        <f>IFERROR(X115*I115/H115,"0")</f>
        <v/>
      </c>
      <c r="BN115" s="64">
        <f>IFERROR(Y115*I115/H115,"0")</f>
        <v/>
      </c>
      <c r="BO115" s="64">
        <f>IFERROR(1/J115*(X115/H115),"0")</f>
        <v/>
      </c>
      <c r="BP115" s="64">
        <f>IFERROR(1/J115*(Y115/H115),"0")</f>
        <v/>
      </c>
    </row>
    <row r="116" ht="27" customHeight="1">
      <c r="A116" s="54" t="inlineStr">
        <is>
          <t>SU002769</t>
        </is>
      </c>
      <c r="B116" s="54" t="inlineStr">
        <is>
          <t>P003324</t>
        </is>
      </c>
      <c r="C116" s="31" t="n">
        <v>4301051438</v>
      </c>
      <c r="D116" s="782" t="n">
        <v>4680115880894</v>
      </c>
      <c r="E116" s="783" t="n"/>
      <c r="F116" s="1220" t="n">
        <v>0.33</v>
      </c>
      <c r="G116" s="32" t="n">
        <v>6</v>
      </c>
      <c r="H116" s="1220" t="n">
        <v>1.98</v>
      </c>
      <c r="I116" s="1220" t="n">
        <v>2.238</v>
      </c>
      <c r="J116" s="32" t="n">
        <v>182</v>
      </c>
      <c r="K116" s="32" t="inlineStr">
        <is>
          <t>14</t>
        </is>
      </c>
      <c r="L116" s="32" t="n"/>
      <c r="M116" s="33" t="inlineStr">
        <is>
          <t>СК3</t>
        </is>
      </c>
      <c r="N116" s="33" t="n"/>
      <c r="O116" s="32" t="n">
        <v>45</v>
      </c>
      <c r="P116" s="1172">
        <f>HYPERLINK("https://abi.ru/products/Охлажденные/Вязанка/Молокуша/Сосиски/P003324/","Сосиски Молокуши Миникушай Вязанка фикс.вес 0,33 п/а Вязанка")</f>
        <v/>
      </c>
      <c r="Q116" s="785" t="n"/>
      <c r="R116" s="785" t="n"/>
      <c r="S116" s="785" t="n"/>
      <c r="T116" s="786" t="n"/>
      <c r="U116" s="34" t="n"/>
      <c r="V116" s="34" t="n"/>
      <c r="W116" s="35" t="inlineStr">
        <is>
          <t>кг</t>
        </is>
      </c>
      <c r="X116" s="1221" t="n">
        <v>0</v>
      </c>
      <c r="Y116" s="1222">
        <f>IFERROR(IF(X116="",0,CEILING((X116/$H116),1)*$H116),"")</f>
        <v/>
      </c>
      <c r="Z116" s="36">
        <f>IFERROR(IF(Y116=0,"",ROUNDUP(Y116/H116,0)*0.00651),"")</f>
        <v/>
      </c>
      <c r="AA116" s="56" t="n"/>
      <c r="AB116" s="57" t="n"/>
      <c r="AC116" s="177" t="inlineStr">
        <is>
          <t>ЕАЭС N RU Д-RU.РА06.В.12617/22, ЕАЭС N RU Д-RU.РА06.В.12679/22</t>
        </is>
      </c>
      <c r="AG116" s="64" t="n"/>
      <c r="AJ116" s="68" t="n"/>
      <c r="AK116" s="68" t="n">
        <v>0</v>
      </c>
      <c r="BB116" s="178" t="inlineStr">
        <is>
          <t>КИ</t>
        </is>
      </c>
      <c r="BM116" s="64">
        <f>IFERROR(X116*I116/H116,"0")</f>
        <v/>
      </c>
      <c r="BN116" s="64">
        <f>IFERROR(Y116*I116/H116,"0")</f>
        <v/>
      </c>
      <c r="BO116" s="64">
        <f>IFERROR(1/J116*(X116/H116),"0")</f>
        <v/>
      </c>
      <c r="BP116" s="64">
        <f>IFERROR(1/J116*(Y116/H116),"0")</f>
        <v/>
      </c>
    </row>
    <row r="117" ht="27" customHeight="1">
      <c r="A117" s="54" t="inlineStr">
        <is>
          <t>SU002658</t>
        </is>
      </c>
      <c r="B117" s="54" t="inlineStr">
        <is>
          <t>P003326</t>
        </is>
      </c>
      <c r="C117" s="31" t="n">
        <v>4301051439</v>
      </c>
      <c r="D117" s="782" t="n">
        <v>4680115880214</v>
      </c>
      <c r="E117" s="783" t="n"/>
      <c r="F117" s="1220" t="n">
        <v>0.45</v>
      </c>
      <c r="G117" s="32" t="n">
        <v>6</v>
      </c>
      <c r="H117" s="1220" t="n">
        <v>2.7</v>
      </c>
      <c r="I117" s="1220" t="n">
        <v>2.988</v>
      </c>
      <c r="J117" s="32" t="n">
        <v>132</v>
      </c>
      <c r="K117" s="32" t="inlineStr">
        <is>
          <t>12</t>
        </is>
      </c>
      <c r="L117" s="32" t="n"/>
      <c r="M117" s="33" t="inlineStr">
        <is>
          <t>СК3</t>
        </is>
      </c>
      <c r="N117" s="33" t="n"/>
      <c r="O117" s="32" t="n">
        <v>45</v>
      </c>
      <c r="P117" s="1089">
        <f>HYPERLINK("https://abi.ru/products/Охлажденные/Вязанка/Молокуша/Сосиски/P003326/","Сосиски Молокуши миникушай Вязанка Ф/в 0,45 амилюкс мгс Вязанка")</f>
        <v/>
      </c>
      <c r="Q117" s="785" t="n"/>
      <c r="R117" s="785" t="n"/>
      <c r="S117" s="785" t="n"/>
      <c r="T117" s="786" t="n"/>
      <c r="U117" s="34" t="n"/>
      <c r="V117" s="34" t="n"/>
      <c r="W117" s="35" t="inlineStr">
        <is>
          <t>кг</t>
        </is>
      </c>
      <c r="X117" s="1221" t="n">
        <v>0</v>
      </c>
      <c r="Y117" s="1222">
        <f>IFERROR(IF(X117="",0,CEILING((X117/$H117),1)*$H117),"")</f>
        <v/>
      </c>
      <c r="Z117" s="36">
        <f>IFERROR(IF(Y117=0,"",ROUNDUP(Y117/H117,0)*0.00902),"")</f>
        <v/>
      </c>
      <c r="AA117" s="56" t="n"/>
      <c r="AB117" s="57" t="n"/>
      <c r="AC117" s="179" t="inlineStr">
        <is>
          <t>ЕАЭС N RU Д-RU.РА05.В.34361/22, ЕАЭС N RU Д-RU.РА06.В.12617/22</t>
        </is>
      </c>
      <c r="AG117" s="64" t="n"/>
      <c r="AJ117" s="68" t="n"/>
      <c r="AK117" s="68" t="n">
        <v>0</v>
      </c>
      <c r="BB117" s="180" t="inlineStr">
        <is>
          <t>КИ</t>
        </is>
      </c>
      <c r="BM117" s="64">
        <f>IFERROR(X117*I117/H117,"0")</f>
        <v/>
      </c>
      <c r="BN117" s="64">
        <f>IFERROR(Y117*I117/H117,"0")</f>
        <v/>
      </c>
      <c r="BO117" s="64">
        <f>IFERROR(1/J117*(X117/H117),"0")</f>
        <v/>
      </c>
      <c r="BP117" s="64">
        <f>IFERROR(1/J117*(Y117/H117),"0")</f>
        <v/>
      </c>
    </row>
    <row r="118" ht="27" customHeight="1">
      <c r="A118" s="54" t="inlineStr">
        <is>
          <t>SU002658</t>
        </is>
      </c>
      <c r="B118" s="54" t="inlineStr">
        <is>
          <t>P003998</t>
        </is>
      </c>
      <c r="C118" s="31" t="n">
        <v>4301051687</v>
      </c>
      <c r="D118" s="782" t="n">
        <v>4680115880214</v>
      </c>
      <c r="E118" s="783" t="n"/>
      <c r="F118" s="1220" t="n">
        <v>0.45</v>
      </c>
      <c r="G118" s="32" t="n">
        <v>4</v>
      </c>
      <c r="H118" s="1220" t="n">
        <v>1.8</v>
      </c>
      <c r="I118" s="1220" t="n">
        <v>2.032</v>
      </c>
      <c r="J118" s="32" t="n">
        <v>182</v>
      </c>
      <c r="K118" s="32" t="inlineStr">
        <is>
          <t>14</t>
        </is>
      </c>
      <c r="L118" s="32" t="n"/>
      <c r="M118" s="33" t="inlineStr">
        <is>
          <t>СК3</t>
        </is>
      </c>
      <c r="N118" s="33" t="n"/>
      <c r="O118" s="32" t="n">
        <v>45</v>
      </c>
      <c r="P118" s="1086" t="inlineStr">
        <is>
          <t>Сосиски «Молокуши миникушай» Фикс.вес 0,45 амицел ТМ «Вязанка»</t>
        </is>
      </c>
      <c r="Q118" s="785" t="n"/>
      <c r="R118" s="785" t="n"/>
      <c r="S118" s="785" t="n"/>
      <c r="T118" s="786" t="n"/>
      <c r="U118" s="34" t="n"/>
      <c r="V118" s="34" t="n"/>
      <c r="W118" s="35" t="inlineStr">
        <is>
          <t>кг</t>
        </is>
      </c>
      <c r="X118" s="1221" t="n">
        <v>0</v>
      </c>
      <c r="Y118" s="1222">
        <f>IFERROR(IF(X118="",0,CEILING((X118/$H118),1)*$H118),"")</f>
        <v/>
      </c>
      <c r="Z118" s="36">
        <f>IFERROR(IF(Y118=0,"",ROUNDUP(Y118/H118,0)*0.00651),"")</f>
        <v/>
      </c>
      <c r="AA118" s="56" t="n"/>
      <c r="AB118" s="57" t="n"/>
      <c r="AC118" s="181" t="inlineStr">
        <is>
          <t>ЕАЭС N RU Д-RU.РА06.В.12617/22</t>
        </is>
      </c>
      <c r="AG118" s="64" t="n"/>
      <c r="AJ118" s="68" t="n"/>
      <c r="AK118" s="68" t="n">
        <v>0</v>
      </c>
      <c r="BB118" s="182" t="inlineStr">
        <is>
          <t>КИ</t>
        </is>
      </c>
      <c r="BM118" s="64">
        <f>IFERROR(X118*I118/H118,"0")</f>
        <v/>
      </c>
      <c r="BN118" s="64">
        <f>IFERROR(Y118*I118/H118,"0")</f>
        <v/>
      </c>
      <c r="BO118" s="64">
        <f>IFERROR(1/J118*(X118/H118),"0")</f>
        <v/>
      </c>
      <c r="BP118" s="64">
        <f>IFERROR(1/J118*(Y118/H118),"0")</f>
        <v/>
      </c>
    </row>
    <row r="119">
      <c r="A119" s="801" t="n"/>
      <c r="B119" s="800" t="n"/>
      <c r="C119" s="800" t="n"/>
      <c r="D119" s="800" t="n"/>
      <c r="E119" s="800" t="n"/>
      <c r="F119" s="800" t="n"/>
      <c r="G119" s="800" t="n"/>
      <c r="H119" s="800" t="n"/>
      <c r="I119" s="800" t="n"/>
      <c r="J119" s="800" t="n"/>
      <c r="K119" s="800" t="n"/>
      <c r="L119" s="800" t="n"/>
      <c r="M119" s="800" t="n"/>
      <c r="N119" s="800" t="n"/>
      <c r="O119" s="802" t="n"/>
      <c r="P119" s="796" t="inlineStr">
        <is>
          <t>Итого</t>
        </is>
      </c>
      <c r="Q119" s="793" t="n"/>
      <c r="R119" s="793" t="n"/>
      <c r="S119" s="793" t="n"/>
      <c r="T119" s="793" t="n"/>
      <c r="U119" s="793" t="n"/>
      <c r="V119" s="794" t="n"/>
      <c r="W119" s="37" t="inlineStr">
        <is>
          <t>кор</t>
        </is>
      </c>
      <c r="X119" s="1223">
        <f>IFERROR(X113/H113,"0")+IFERROR(X114/H114,"0")+IFERROR(X115/H115,"0")+IFERROR(X116/H116,"0")+IFERROR(X117/H117,"0")+IFERROR(X118/H118,"0")</f>
        <v/>
      </c>
      <c r="Y119" s="1223">
        <f>IFERROR(Y113/H113,"0")+IFERROR(Y114/H114,"0")+IFERROR(Y115/H115,"0")+IFERROR(Y116/H116,"0")+IFERROR(Y117/H117,"0")+IFERROR(Y118/H118,"0")</f>
        <v/>
      </c>
      <c r="Z119" s="1223">
        <f>IFERROR(IF(Z113="",0,Z113),"0")+IFERROR(IF(Z114="",0,Z114),"0")+IFERROR(IF(Z115="",0,Z115),"0")+IFERROR(IF(Z116="",0,Z116),"0")+IFERROR(IF(Z117="",0,Z117),"0")+IFERROR(IF(Z118="",0,Z118),"0")</f>
        <v/>
      </c>
      <c r="AA119" s="1224" t="n"/>
      <c r="AB119" s="1224" t="n"/>
      <c r="AC119" s="1224" t="n"/>
    </row>
    <row r="120">
      <c r="A120" s="800" t="n"/>
      <c r="B120" s="800" t="n"/>
      <c r="C120" s="800" t="n"/>
      <c r="D120" s="800" t="n"/>
      <c r="E120" s="800" t="n"/>
      <c r="F120" s="800" t="n"/>
      <c r="G120" s="800" t="n"/>
      <c r="H120" s="800" t="n"/>
      <c r="I120" s="800" t="n"/>
      <c r="J120" s="800" t="n"/>
      <c r="K120" s="800" t="n"/>
      <c r="L120" s="800" t="n"/>
      <c r="M120" s="800" t="n"/>
      <c r="N120" s="800" t="n"/>
      <c r="O120" s="802" t="n"/>
      <c r="P120" s="796" t="inlineStr">
        <is>
          <t>Итого</t>
        </is>
      </c>
      <c r="Q120" s="793" t="n"/>
      <c r="R120" s="793" t="n"/>
      <c r="S120" s="793" t="n"/>
      <c r="T120" s="793" t="n"/>
      <c r="U120" s="793" t="n"/>
      <c r="V120" s="794" t="n"/>
      <c r="W120" s="37" t="inlineStr">
        <is>
          <t>кг</t>
        </is>
      </c>
      <c r="X120" s="1223">
        <f>IFERROR(SUM(X113:X118),"0")</f>
        <v/>
      </c>
      <c r="Y120" s="1223">
        <f>IFERROR(SUM(Y113:Y118),"0")</f>
        <v/>
      </c>
      <c r="Z120" s="37" t="n"/>
      <c r="AA120" s="1224" t="n"/>
      <c r="AB120" s="1224" t="n"/>
      <c r="AC120" s="1224" t="n"/>
    </row>
    <row r="121" ht="16.5" customHeight="1">
      <c r="A121" s="807" t="inlineStr">
        <is>
          <t>Сливушка</t>
        </is>
      </c>
      <c r="B121" s="800" t="n"/>
      <c r="C121" s="800" t="n"/>
      <c r="D121" s="800" t="n"/>
      <c r="E121" s="800" t="n"/>
      <c r="F121" s="800" t="n"/>
      <c r="G121" s="800" t="n"/>
      <c r="H121" s="800" t="n"/>
      <c r="I121" s="800" t="n"/>
      <c r="J121" s="800" t="n"/>
      <c r="K121" s="800" t="n"/>
      <c r="L121" s="800" t="n"/>
      <c r="M121" s="800" t="n"/>
      <c r="N121" s="800" t="n"/>
      <c r="O121" s="800" t="n"/>
      <c r="P121" s="800" t="n"/>
      <c r="Q121" s="800" t="n"/>
      <c r="R121" s="800" t="n"/>
      <c r="S121" s="800" t="n"/>
      <c r="T121" s="800" t="n"/>
      <c r="U121" s="800" t="n"/>
      <c r="V121" s="800" t="n"/>
      <c r="W121" s="800" t="n"/>
      <c r="X121" s="800" t="n"/>
      <c r="Y121" s="800" t="n"/>
      <c r="Z121" s="800" t="n"/>
      <c r="AA121" s="807" t="n"/>
      <c r="AB121" s="807" t="n"/>
      <c r="AC121" s="807" t="n"/>
    </row>
    <row r="122" ht="14.25" customHeight="1">
      <c r="A122" s="799" t="inlineStr">
        <is>
          <t>Вареные колбасы</t>
        </is>
      </c>
      <c r="B122" s="800" t="n"/>
      <c r="C122" s="800" t="n"/>
      <c r="D122" s="800" t="n"/>
      <c r="E122" s="800" t="n"/>
      <c r="F122" s="800" t="n"/>
      <c r="G122" s="800" t="n"/>
      <c r="H122" s="800" t="n"/>
      <c r="I122" s="800" t="n"/>
      <c r="J122" s="800" t="n"/>
      <c r="K122" s="800" t="n"/>
      <c r="L122" s="800" t="n"/>
      <c r="M122" s="800" t="n"/>
      <c r="N122" s="800" t="n"/>
      <c r="O122" s="800" t="n"/>
      <c r="P122" s="800" t="n"/>
      <c r="Q122" s="800" t="n"/>
      <c r="R122" s="800" t="n"/>
      <c r="S122" s="800" t="n"/>
      <c r="T122" s="800" t="n"/>
      <c r="U122" s="800" t="n"/>
      <c r="V122" s="800" t="n"/>
      <c r="W122" s="800" t="n"/>
      <c r="X122" s="800" t="n"/>
      <c r="Y122" s="800" t="n"/>
      <c r="Z122" s="800" t="n"/>
      <c r="AA122" s="799" t="n"/>
      <c r="AB122" s="799" t="n"/>
      <c r="AC122" s="799" t="n"/>
    </row>
    <row r="123" ht="27" customHeight="1">
      <c r="A123" s="54" t="inlineStr">
        <is>
          <t>SU002928</t>
        </is>
      </c>
      <c r="B123" s="54" t="inlineStr">
        <is>
          <t>P003357</t>
        </is>
      </c>
      <c r="C123" s="31" t="n">
        <v>4301011514</v>
      </c>
      <c r="D123" s="782" t="n">
        <v>4680115882133</v>
      </c>
      <c r="E123" s="783" t="n"/>
      <c r="F123" s="1220" t="n">
        <v>1.35</v>
      </c>
      <c r="G123" s="32" t="n">
        <v>8</v>
      </c>
      <c r="H123" s="1220" t="n">
        <v>10.8</v>
      </c>
      <c r="I123" s="1220" t="n">
        <v>11.28</v>
      </c>
      <c r="J123" s="32" t="n">
        <v>56</v>
      </c>
      <c r="K123" s="32" t="inlineStr">
        <is>
          <t>8</t>
        </is>
      </c>
      <c r="L123" s="32" t="n"/>
      <c r="M123" s="33" t="inlineStr">
        <is>
          <t>СК1</t>
        </is>
      </c>
      <c r="N123" s="33" t="n"/>
      <c r="O123" s="32" t="n">
        <v>50</v>
      </c>
      <c r="P123" s="861">
        <f>HYPERLINK("https://abi.ru/products/Охлажденные/Вязанка/Сливушка/Вареные колбасы/P003357/","Вареные колбасы «Сливушка» Вес П/а ТМ «Вязанка»")</f>
        <v/>
      </c>
      <c r="Q123" s="785" t="n"/>
      <c r="R123" s="785" t="n"/>
      <c r="S123" s="785" t="n"/>
      <c r="T123" s="786" t="n"/>
      <c r="U123" s="34" t="n"/>
      <c r="V123" s="34" t="n"/>
      <c r="W123" s="35" t="inlineStr">
        <is>
          <t>кг</t>
        </is>
      </c>
      <c r="X123" s="1221" t="n">
        <v>400</v>
      </c>
      <c r="Y123" s="1222">
        <f>IFERROR(IF(X123="",0,CEILING((X123/$H123),1)*$H123),"")</f>
        <v/>
      </c>
      <c r="Z123" s="36">
        <f>IFERROR(IF(Y123=0,"",ROUNDUP(Y123/H123,0)*0.02175),"")</f>
        <v/>
      </c>
      <c r="AA123" s="56" t="n"/>
      <c r="AB123" s="57" t="n"/>
      <c r="AC123" s="183" t="inlineStr">
        <is>
          <t>ЕАЭС N RU Д-RU.РА06.В.04803/22, ЕАЭС N RU Д-RU.РА06.В.04922/22</t>
        </is>
      </c>
      <c r="AG123" s="64" t="n"/>
      <c r="AJ123" s="68" t="n"/>
      <c r="AK123" s="68" t="n">
        <v>0</v>
      </c>
      <c r="BB123" s="184" t="inlineStr">
        <is>
          <t>КИ</t>
        </is>
      </c>
      <c r="BM123" s="64">
        <f>IFERROR(X123*I123/H123,"0")</f>
        <v/>
      </c>
      <c r="BN123" s="64">
        <f>IFERROR(Y123*I123/H123,"0")</f>
        <v/>
      </c>
      <c r="BO123" s="64">
        <f>IFERROR(1/J123*(X123/H123),"0")</f>
        <v/>
      </c>
      <c r="BP123" s="64">
        <f>IFERROR(1/J123*(Y123/H123),"0")</f>
        <v/>
      </c>
    </row>
    <row r="124" ht="16.5" customHeight="1">
      <c r="A124" s="54" t="inlineStr">
        <is>
          <t>SU002928</t>
        </is>
      </c>
      <c r="B124" s="54" t="inlineStr">
        <is>
          <t>P003902</t>
        </is>
      </c>
      <c r="C124" s="31" t="n">
        <v>4301011703</v>
      </c>
      <c r="D124" s="782" t="n">
        <v>4680115882133</v>
      </c>
      <c r="E124" s="783" t="n"/>
      <c r="F124" s="1220" t="n">
        <v>1.4</v>
      </c>
      <c r="G124" s="32" t="n">
        <v>8</v>
      </c>
      <c r="H124" s="1220" t="n">
        <v>11.2</v>
      </c>
      <c r="I124" s="1220" t="n">
        <v>11.68</v>
      </c>
      <c r="J124" s="32" t="n">
        <v>56</v>
      </c>
      <c r="K124" s="32" t="inlineStr">
        <is>
          <t>8</t>
        </is>
      </c>
      <c r="L124" s="32" t="n"/>
      <c r="M124" s="33" t="inlineStr">
        <is>
          <t>СК1</t>
        </is>
      </c>
      <c r="N124" s="33" t="n"/>
      <c r="O124" s="32" t="n">
        <v>50</v>
      </c>
      <c r="P124" s="797">
        <f>HYPERLINK("https://abi.ru/products/Охлажденные/Вязанка/Сливушка/Вареные колбасы/P003902/","Вареные колбасы «Сливушка» Вес П/а ТМ «Вязанка»")</f>
        <v/>
      </c>
      <c r="Q124" s="785" t="n"/>
      <c r="R124" s="785" t="n"/>
      <c r="S124" s="785" t="n"/>
      <c r="T124" s="786" t="n"/>
      <c r="U124" s="34" t="n"/>
      <c r="V124" s="34" t="n"/>
      <c r="W124" s="35" t="inlineStr">
        <is>
          <t>кг</t>
        </is>
      </c>
      <c r="X124" s="1221" t="n">
        <v>0</v>
      </c>
      <c r="Y124" s="1222">
        <f>IFERROR(IF(X124="",0,CEILING((X124/$H124),1)*$H124),"")</f>
        <v/>
      </c>
      <c r="Z124" s="36">
        <f>IFERROR(IF(Y124=0,"",ROUNDUP(Y124/H124,0)*0.02175),"")</f>
        <v/>
      </c>
      <c r="AA124" s="56" t="n"/>
      <c r="AB124" s="57" t="n"/>
      <c r="AC124" s="185" t="inlineStr">
        <is>
          <t>ЕАЭС N RU Д-RU.РА06.В.04803/22</t>
        </is>
      </c>
      <c r="AG124" s="64" t="n"/>
      <c r="AJ124" s="68" t="n"/>
      <c r="AK124" s="68" t="n">
        <v>0</v>
      </c>
      <c r="BB124" s="186" t="inlineStr">
        <is>
          <t>КИ</t>
        </is>
      </c>
      <c r="BM124" s="64">
        <f>IFERROR(X124*I124/H124,"0")</f>
        <v/>
      </c>
      <c r="BN124" s="64">
        <f>IFERROR(Y124*I124/H124,"0")</f>
        <v/>
      </c>
      <c r="BO124" s="64">
        <f>IFERROR(1/J124*(X124/H124),"0")</f>
        <v/>
      </c>
      <c r="BP124" s="64">
        <f>IFERROR(1/J124*(Y124/H124),"0")</f>
        <v/>
      </c>
    </row>
    <row r="125" ht="27" customHeight="1">
      <c r="A125" s="54" t="inlineStr">
        <is>
          <t>SU002733</t>
        </is>
      </c>
      <c r="B125" s="54" t="inlineStr">
        <is>
          <t>P003102</t>
        </is>
      </c>
      <c r="C125" s="31" t="n">
        <v>4301011417</v>
      </c>
      <c r="D125" s="782" t="n">
        <v>4680115880269</v>
      </c>
      <c r="E125" s="783" t="n"/>
      <c r="F125" s="1220" t="n">
        <v>0.375</v>
      </c>
      <c r="G125" s="32" t="n">
        <v>10</v>
      </c>
      <c r="H125" s="1220" t="n">
        <v>3.75</v>
      </c>
      <c r="I125" s="1220" t="n">
        <v>3.96</v>
      </c>
      <c r="J125" s="32" t="n">
        <v>132</v>
      </c>
      <c r="K125" s="32" t="inlineStr">
        <is>
          <t>12</t>
        </is>
      </c>
      <c r="L125" s="32" t="inlineStr">
        <is>
          <t>Слой, мин. 1</t>
        </is>
      </c>
      <c r="M125" s="33" t="inlineStr">
        <is>
          <t>СК3</t>
        </is>
      </c>
      <c r="N125" s="33" t="n"/>
      <c r="O125" s="32" t="n">
        <v>50</v>
      </c>
      <c r="P125" s="902">
        <f>HYPERLINK("https://abi.ru/products/Охлажденные/Вязанка/Сливушка/Вареные колбасы/P003102/","Вареные колбасы Сливушка Вязанка Фикс.вес 0,375 П/а Вязанка")</f>
        <v/>
      </c>
      <c r="Q125" s="785" t="n"/>
      <c r="R125" s="785" t="n"/>
      <c r="S125" s="785" t="n"/>
      <c r="T125" s="786" t="n"/>
      <c r="U125" s="34" t="n"/>
      <c r="V125" s="34" t="n"/>
      <c r="W125" s="35" t="inlineStr">
        <is>
          <t>кг</t>
        </is>
      </c>
      <c r="X125" s="1221" t="n">
        <v>0</v>
      </c>
      <c r="Y125" s="1222">
        <f>IFERROR(IF(X125="",0,CEILING((X125/$H125),1)*$H125),"")</f>
        <v/>
      </c>
      <c r="Z125" s="36">
        <f>IFERROR(IF(Y125=0,"",ROUNDUP(Y125/H125,0)*0.00902),"")</f>
        <v/>
      </c>
      <c r="AA125" s="56" t="n"/>
      <c r="AB125" s="57" t="n"/>
      <c r="AC125" s="187" t="inlineStr">
        <is>
          <t>ЕАЭС N RU Д-RU.РА06.В.04803/22, ЕАЭС N RU Д-RU.РА06.В.04922/22</t>
        </is>
      </c>
      <c r="AG125" s="64" t="n"/>
      <c r="AJ125" s="68" t="inlineStr">
        <is>
          <t>Слой</t>
        </is>
      </c>
      <c r="AK125" s="68" t="n">
        <v>45</v>
      </c>
      <c r="BB125" s="188" t="inlineStr">
        <is>
          <t>КИ</t>
        </is>
      </c>
      <c r="BM125" s="64">
        <f>IFERROR(X125*I125/H125,"0")</f>
        <v/>
      </c>
      <c r="BN125" s="64">
        <f>IFERROR(Y125*I125/H125,"0")</f>
        <v/>
      </c>
      <c r="BO125" s="64">
        <f>IFERROR(1/J125*(X125/H125),"0")</f>
        <v/>
      </c>
      <c r="BP125" s="64">
        <f>IFERROR(1/J125*(Y125/H125),"0")</f>
        <v/>
      </c>
    </row>
    <row r="126" ht="27" customHeight="1">
      <c r="A126" s="54" t="inlineStr">
        <is>
          <t>SU002734</t>
        </is>
      </c>
      <c r="B126" s="54" t="inlineStr">
        <is>
          <t>P003103</t>
        </is>
      </c>
      <c r="C126" s="31" t="n">
        <v>4301011415</v>
      </c>
      <c r="D126" s="782" t="n">
        <v>4680115880429</v>
      </c>
      <c r="E126" s="783" t="n"/>
      <c r="F126" s="1220" t="n">
        <v>0.45</v>
      </c>
      <c r="G126" s="32" t="n">
        <v>10</v>
      </c>
      <c r="H126" s="1220" t="n">
        <v>4.5</v>
      </c>
      <c r="I126" s="1220" t="n">
        <v>4.71</v>
      </c>
      <c r="J126" s="32" t="n">
        <v>132</v>
      </c>
      <c r="K126" s="32" t="inlineStr">
        <is>
          <t>12</t>
        </is>
      </c>
      <c r="L126" s="32" t="n"/>
      <c r="M126" s="33" t="inlineStr">
        <is>
          <t>СК3</t>
        </is>
      </c>
      <c r="N126" s="33" t="n"/>
      <c r="O126" s="32" t="n">
        <v>50</v>
      </c>
      <c r="P126" s="805">
        <f>HYPERLINK("https://abi.ru/products/Охлажденные/Вязанка/Сливушка/Вареные колбасы/P003103/","Вареные колбасы Сливушка Вязанка Фикс.вес 0,45 П/а Вязанка")</f>
        <v/>
      </c>
      <c r="Q126" s="785" t="n"/>
      <c r="R126" s="785" t="n"/>
      <c r="S126" s="785" t="n"/>
      <c r="T126" s="786" t="n"/>
      <c r="U126" s="34" t="n"/>
      <c r="V126" s="34" t="n"/>
      <c r="W126" s="35" t="inlineStr">
        <is>
          <t>кг</t>
        </is>
      </c>
      <c r="X126" s="1221" t="n">
        <v>0</v>
      </c>
      <c r="Y126" s="1222">
        <f>IFERROR(IF(X126="",0,CEILING((X126/$H126),1)*$H126),"")</f>
        <v/>
      </c>
      <c r="Z126" s="36">
        <f>IFERROR(IF(Y126=0,"",ROUNDUP(Y126/H126,0)*0.00902),"")</f>
        <v/>
      </c>
      <c r="AA126" s="56" t="n"/>
      <c r="AB126" s="57" t="n"/>
      <c r="AC126" s="189" t="inlineStr">
        <is>
          <t>ЕАЭС N RU Д-RU.РА06.В.04803/22, ЕАЭС N RU Д-RU.РА06.В.04922/22</t>
        </is>
      </c>
      <c r="AG126" s="64" t="n"/>
      <c r="AJ126" s="68" t="n"/>
      <c r="AK126" s="68" t="n">
        <v>0</v>
      </c>
      <c r="BB126" s="190" t="inlineStr">
        <is>
          <t>КИ</t>
        </is>
      </c>
      <c r="BM126" s="64">
        <f>IFERROR(X126*I126/H126,"0")</f>
        <v/>
      </c>
      <c r="BN126" s="64">
        <f>IFERROR(Y126*I126/H126,"0")</f>
        <v/>
      </c>
      <c r="BO126" s="64">
        <f>IFERROR(1/J126*(X126/H126),"0")</f>
        <v/>
      </c>
      <c r="BP126" s="64">
        <f>IFERROR(1/J126*(Y126/H126),"0")</f>
        <v/>
      </c>
    </row>
    <row r="127" ht="27" customHeight="1">
      <c r="A127" s="54" t="inlineStr">
        <is>
          <t>SU002827</t>
        </is>
      </c>
      <c r="B127" s="54" t="inlineStr">
        <is>
          <t>P003233</t>
        </is>
      </c>
      <c r="C127" s="31" t="n">
        <v>4301011462</v>
      </c>
      <c r="D127" s="782" t="n">
        <v>4680115881457</v>
      </c>
      <c r="E127" s="783" t="n"/>
      <c r="F127" s="1220" t="n">
        <v>0.75</v>
      </c>
      <c r="G127" s="32" t="n">
        <v>6</v>
      </c>
      <c r="H127" s="1220" t="n">
        <v>4.5</v>
      </c>
      <c r="I127" s="1220" t="n">
        <v>4.71</v>
      </c>
      <c r="J127" s="32" t="n">
        <v>132</v>
      </c>
      <c r="K127" s="32" t="inlineStr">
        <is>
          <t>12</t>
        </is>
      </c>
      <c r="L127" s="32" t="n"/>
      <c r="M127" s="33" t="inlineStr">
        <is>
          <t>СК3</t>
        </is>
      </c>
      <c r="N127" s="33" t="n"/>
      <c r="O127" s="32" t="n">
        <v>50</v>
      </c>
      <c r="P127" s="879">
        <f>HYPERLINK("https://abi.ru/products/Охлажденные/Вязанка/Сливушка/Вареные колбасы/P003233/","Вареные колбасы Сливушка Вязанка Фикс.вес 0,75 П/а Вязанка")</f>
        <v/>
      </c>
      <c r="Q127" s="785" t="n"/>
      <c r="R127" s="785" t="n"/>
      <c r="S127" s="785" t="n"/>
      <c r="T127" s="786" t="n"/>
      <c r="U127" s="34" t="n"/>
      <c r="V127" s="34" t="n"/>
      <c r="W127" s="35" t="inlineStr">
        <is>
          <t>кг</t>
        </is>
      </c>
      <c r="X127" s="1221" t="n">
        <v>0</v>
      </c>
      <c r="Y127" s="1222">
        <f>IFERROR(IF(X127="",0,CEILING((X127/$H127),1)*$H127),"")</f>
        <v/>
      </c>
      <c r="Z127" s="36">
        <f>IFERROR(IF(Y127=0,"",ROUNDUP(Y127/H127,0)*0.00902),"")</f>
        <v/>
      </c>
      <c r="AA127" s="56" t="n"/>
      <c r="AB127" s="57" t="n"/>
      <c r="AC127" s="191" t="inlineStr">
        <is>
          <t>ЕАЭС N RU Д-RU.РА06.В.04803/22, ЕАЭС N RU Д-RU.РА06.В.04922/22</t>
        </is>
      </c>
      <c r="AG127" s="64" t="n"/>
      <c r="AJ127" s="68" t="n"/>
      <c r="AK127" s="68" t="n">
        <v>0</v>
      </c>
      <c r="BB127" s="192" t="inlineStr">
        <is>
          <t>КИ</t>
        </is>
      </c>
      <c r="BM127" s="64">
        <f>IFERROR(X127*I127/H127,"0")</f>
        <v/>
      </c>
      <c r="BN127" s="64">
        <f>IFERROR(Y127*I127/H127,"0")</f>
        <v/>
      </c>
      <c r="BO127" s="64">
        <f>IFERROR(1/J127*(X127/H127),"0")</f>
        <v/>
      </c>
      <c r="BP127" s="64">
        <f>IFERROR(1/J127*(Y127/H127),"0")</f>
        <v/>
      </c>
    </row>
    <row r="128">
      <c r="A128" s="801" t="n"/>
      <c r="B128" s="800" t="n"/>
      <c r="C128" s="800" t="n"/>
      <c r="D128" s="800" t="n"/>
      <c r="E128" s="800" t="n"/>
      <c r="F128" s="800" t="n"/>
      <c r="G128" s="800" t="n"/>
      <c r="H128" s="800" t="n"/>
      <c r="I128" s="800" t="n"/>
      <c r="J128" s="800" t="n"/>
      <c r="K128" s="800" t="n"/>
      <c r="L128" s="800" t="n"/>
      <c r="M128" s="800" t="n"/>
      <c r="N128" s="800" t="n"/>
      <c r="O128" s="802" t="n"/>
      <c r="P128" s="796" t="inlineStr">
        <is>
          <t>Итого</t>
        </is>
      </c>
      <c r="Q128" s="793" t="n"/>
      <c r="R128" s="793" t="n"/>
      <c r="S128" s="793" t="n"/>
      <c r="T128" s="793" t="n"/>
      <c r="U128" s="793" t="n"/>
      <c r="V128" s="794" t="n"/>
      <c r="W128" s="37" t="inlineStr">
        <is>
          <t>кор</t>
        </is>
      </c>
      <c r="X128" s="1223">
        <f>IFERROR(X123/H123,"0")+IFERROR(X124/H124,"0")+IFERROR(X125/H125,"0")+IFERROR(X126/H126,"0")+IFERROR(X127/H127,"0")</f>
        <v/>
      </c>
      <c r="Y128" s="1223">
        <f>IFERROR(Y123/H123,"0")+IFERROR(Y124/H124,"0")+IFERROR(Y125/H125,"0")+IFERROR(Y126/H126,"0")+IFERROR(Y127/H127,"0")</f>
        <v/>
      </c>
      <c r="Z128" s="1223">
        <f>IFERROR(IF(Z123="",0,Z123),"0")+IFERROR(IF(Z124="",0,Z124),"0")+IFERROR(IF(Z125="",0,Z125),"0")+IFERROR(IF(Z126="",0,Z126),"0")+IFERROR(IF(Z127="",0,Z127),"0")</f>
        <v/>
      </c>
      <c r="AA128" s="1224" t="n"/>
      <c r="AB128" s="1224" t="n"/>
      <c r="AC128" s="1224" t="n"/>
    </row>
    <row r="129">
      <c r="A129" s="800" t="n"/>
      <c r="B129" s="800" t="n"/>
      <c r="C129" s="800" t="n"/>
      <c r="D129" s="800" t="n"/>
      <c r="E129" s="800" t="n"/>
      <c r="F129" s="800" t="n"/>
      <c r="G129" s="800" t="n"/>
      <c r="H129" s="800" t="n"/>
      <c r="I129" s="800" t="n"/>
      <c r="J129" s="800" t="n"/>
      <c r="K129" s="800" t="n"/>
      <c r="L129" s="800" t="n"/>
      <c r="M129" s="800" t="n"/>
      <c r="N129" s="800" t="n"/>
      <c r="O129" s="802" t="n"/>
      <c r="P129" s="796" t="inlineStr">
        <is>
          <t>Итого</t>
        </is>
      </c>
      <c r="Q129" s="793" t="n"/>
      <c r="R129" s="793" t="n"/>
      <c r="S129" s="793" t="n"/>
      <c r="T129" s="793" t="n"/>
      <c r="U129" s="793" t="n"/>
      <c r="V129" s="794" t="n"/>
      <c r="W129" s="37" t="inlineStr">
        <is>
          <t>кг</t>
        </is>
      </c>
      <c r="X129" s="1223">
        <f>IFERROR(SUM(X123:X127),"0")</f>
        <v/>
      </c>
      <c r="Y129" s="1223">
        <f>IFERROR(SUM(Y123:Y127),"0")</f>
        <v/>
      </c>
      <c r="Z129" s="37" t="n"/>
      <c r="AA129" s="1224" t="n"/>
      <c r="AB129" s="1224" t="n"/>
      <c r="AC129" s="1224" t="n"/>
    </row>
    <row r="130" ht="14.25" customHeight="1">
      <c r="A130" s="799" t="inlineStr">
        <is>
          <t>Ветчины</t>
        </is>
      </c>
      <c r="B130" s="800" t="n"/>
      <c r="C130" s="800" t="n"/>
      <c r="D130" s="800" t="n"/>
      <c r="E130" s="800" t="n"/>
      <c r="F130" s="800" t="n"/>
      <c r="G130" s="800" t="n"/>
      <c r="H130" s="800" t="n"/>
      <c r="I130" s="800" t="n"/>
      <c r="J130" s="800" t="n"/>
      <c r="K130" s="800" t="n"/>
      <c r="L130" s="800" t="n"/>
      <c r="M130" s="800" t="n"/>
      <c r="N130" s="800" t="n"/>
      <c r="O130" s="800" t="n"/>
      <c r="P130" s="800" t="n"/>
      <c r="Q130" s="800" t="n"/>
      <c r="R130" s="800" t="n"/>
      <c r="S130" s="800" t="n"/>
      <c r="T130" s="800" t="n"/>
      <c r="U130" s="800" t="n"/>
      <c r="V130" s="800" t="n"/>
      <c r="W130" s="800" t="n"/>
      <c r="X130" s="800" t="n"/>
      <c r="Y130" s="800" t="n"/>
      <c r="Z130" s="800" t="n"/>
      <c r="AA130" s="799" t="n"/>
      <c r="AB130" s="799" t="n"/>
      <c r="AC130" s="799" t="n"/>
    </row>
    <row r="131" ht="16.5" customHeight="1">
      <c r="A131" s="54" t="inlineStr">
        <is>
          <t>SU002833</t>
        </is>
      </c>
      <c r="B131" s="54" t="inlineStr">
        <is>
          <t>P004607</t>
        </is>
      </c>
      <c r="C131" s="31" t="n">
        <v>4301020345</v>
      </c>
      <c r="D131" s="782" t="n">
        <v>4680115881488</v>
      </c>
      <c r="E131" s="783" t="n"/>
      <c r="F131" s="1220" t="n">
        <v>1.35</v>
      </c>
      <c r="G131" s="32" t="n">
        <v>8</v>
      </c>
      <c r="H131" s="1220" t="n">
        <v>10.8</v>
      </c>
      <c r="I131" s="1220" t="n">
        <v>11.28</v>
      </c>
      <c r="J131" s="32" t="n">
        <v>56</v>
      </c>
      <c r="K131" s="32" t="inlineStr">
        <is>
          <t>8</t>
        </is>
      </c>
      <c r="L131" s="32" t="n"/>
      <c r="M131" s="33" t="inlineStr">
        <is>
          <t>СК1</t>
        </is>
      </c>
      <c r="N131" s="33" t="n"/>
      <c r="O131" s="32" t="n">
        <v>55</v>
      </c>
      <c r="P131" s="1179">
        <f>HYPERLINK("https://abi.ru/products/Охлажденные/Вязанка/Сливушка/Ветчины/P004607/","Ветчины «Сливушка с индейкой» вес п/а ТМ «Вязанка»")</f>
        <v/>
      </c>
      <c r="Q131" s="785" t="n"/>
      <c r="R131" s="785" t="n"/>
      <c r="S131" s="785" t="n"/>
      <c r="T131" s="786" t="n"/>
      <c r="U131" s="34" t="n"/>
      <c r="V131" s="34" t="n"/>
      <c r="W131" s="35" t="inlineStr">
        <is>
          <t>кг</t>
        </is>
      </c>
      <c r="X131" s="1221" t="n">
        <v>0</v>
      </c>
      <c r="Y131" s="1222">
        <f>IFERROR(IF(X131="",0,CEILING((X131/$H131),1)*$H131),"")</f>
        <v/>
      </c>
      <c r="Z131" s="36">
        <f>IFERROR(IF(Y131=0,"",ROUNDUP(Y131/H131,0)*0.02175),"")</f>
        <v/>
      </c>
      <c r="AA131" s="56" t="n"/>
      <c r="AB131" s="57" t="n"/>
      <c r="AC131" s="193" t="inlineStr">
        <is>
          <t>ЕАЭС N RU Д-RU.РА06.В.97082/24</t>
        </is>
      </c>
      <c r="AG131" s="64" t="n"/>
      <c r="AJ131" s="68" t="n"/>
      <c r="AK131" s="68" t="n">
        <v>0</v>
      </c>
      <c r="BB131" s="194" t="inlineStr">
        <is>
          <t>КИ</t>
        </is>
      </c>
      <c r="BM131" s="64">
        <f>IFERROR(X131*I131/H131,"0")</f>
        <v/>
      </c>
      <c r="BN131" s="64">
        <f>IFERROR(Y131*I131/H131,"0")</f>
        <v/>
      </c>
      <c r="BO131" s="64">
        <f>IFERROR(1/J131*(X131/H131),"0")</f>
        <v/>
      </c>
      <c r="BP131" s="64">
        <f>IFERROR(1/J131*(Y131/H131),"0")</f>
        <v/>
      </c>
    </row>
    <row r="132" ht="16.5" customHeight="1">
      <c r="A132" s="54" t="inlineStr">
        <is>
          <t>SU003037</t>
        </is>
      </c>
      <c r="B132" s="54" t="inlineStr">
        <is>
          <t>P003575</t>
        </is>
      </c>
      <c r="C132" s="31" t="n">
        <v>4301020258</v>
      </c>
      <c r="D132" s="782" t="n">
        <v>4680115882775</v>
      </c>
      <c r="E132" s="783" t="n"/>
      <c r="F132" s="1220" t="n">
        <v>0.3</v>
      </c>
      <c r="G132" s="32" t="n">
        <v>8</v>
      </c>
      <c r="H132" s="1220" t="n">
        <v>2.4</v>
      </c>
      <c r="I132" s="1220" t="n">
        <v>2.5</v>
      </c>
      <c r="J132" s="32" t="n">
        <v>234</v>
      </c>
      <c r="K132" s="32" t="inlineStr">
        <is>
          <t>18</t>
        </is>
      </c>
      <c r="L132" s="32" t="n"/>
      <c r="M132" s="33" t="inlineStr">
        <is>
          <t>СК3</t>
        </is>
      </c>
      <c r="N132" s="33" t="n"/>
      <c r="O132" s="32" t="n">
        <v>50</v>
      </c>
      <c r="P132" s="1111">
        <f>HYPERLINK("https://abi.ru/products/Охлажденные/Вязанка/Сливушка/Ветчины/P003575/","Ветчины «Сливушка с индейкой» Фикс.вес 0,3 П/а ТМ «Вязанка»")</f>
        <v/>
      </c>
      <c r="Q132" s="785" t="n"/>
      <c r="R132" s="785" t="n"/>
      <c r="S132" s="785" t="n"/>
      <c r="T132" s="786" t="n"/>
      <c r="U132" s="34" t="n"/>
      <c r="V132" s="34" t="n"/>
      <c r="W132" s="35" t="inlineStr">
        <is>
          <t>кг</t>
        </is>
      </c>
      <c r="X132" s="1221" t="n">
        <v>0</v>
      </c>
      <c r="Y132" s="1222">
        <f>IFERROR(IF(X132="",0,CEILING((X132/$H132),1)*$H132),"")</f>
        <v/>
      </c>
      <c r="Z132" s="36">
        <f>IFERROR(IF(Y132=0,"",ROUNDUP(Y132/H132,0)*0.00502),"")</f>
        <v/>
      </c>
      <c r="AA132" s="56" t="n"/>
      <c r="AB132" s="57" t="n"/>
      <c r="AC132" s="195" t="inlineStr">
        <is>
          <t>ЕАЭС N RU Д-RU.РА06.В.80711/22</t>
        </is>
      </c>
      <c r="AG132" s="64" t="n"/>
      <c r="AJ132" s="68" t="n"/>
      <c r="AK132" s="68" t="n">
        <v>0</v>
      </c>
      <c r="BB132" s="196" t="inlineStr">
        <is>
          <t>КИ</t>
        </is>
      </c>
      <c r="BM132" s="64">
        <f>IFERROR(X132*I132/H132,"0")</f>
        <v/>
      </c>
      <c r="BN132" s="64">
        <f>IFERROR(Y132*I132/H132,"0")</f>
        <v/>
      </c>
      <c r="BO132" s="64">
        <f>IFERROR(1/J132*(X132/H132),"0")</f>
        <v/>
      </c>
      <c r="BP132" s="64">
        <f>IFERROR(1/J132*(Y132/H132),"0")</f>
        <v/>
      </c>
    </row>
    <row r="133" ht="16.5" customHeight="1">
      <c r="A133" s="54" t="inlineStr">
        <is>
          <t>SU003037</t>
        </is>
      </c>
      <c r="B133" s="54" t="inlineStr">
        <is>
          <t>P004609</t>
        </is>
      </c>
      <c r="C133" s="31" t="n">
        <v>4301020346</v>
      </c>
      <c r="D133" s="782" t="n">
        <v>4680115882775</v>
      </c>
      <c r="E133" s="783" t="n"/>
      <c r="F133" s="1220" t="n">
        <v>0.3</v>
      </c>
      <c r="G133" s="32" t="n">
        <v>8</v>
      </c>
      <c r="H133" s="1220" t="n">
        <v>2.4</v>
      </c>
      <c r="I133" s="1220" t="n">
        <v>2.5</v>
      </c>
      <c r="J133" s="32" t="n">
        <v>234</v>
      </c>
      <c r="K133" s="32" t="inlineStr">
        <is>
          <t>18</t>
        </is>
      </c>
      <c r="L133" s="32" t="n"/>
      <c r="M133" s="33" t="inlineStr">
        <is>
          <t>СК1</t>
        </is>
      </c>
      <c r="N133" s="33" t="n"/>
      <c r="O133" s="32" t="n">
        <v>55</v>
      </c>
      <c r="P133" s="877">
        <f>HYPERLINK("https://abi.ru/products/Охлажденные/Вязанка/Сливушка/Ветчины/P004609/","Ветчины «Сливушка с индейкой» Фикс.вес 0,3 П/а ТМ «Вязанка»")</f>
        <v/>
      </c>
      <c r="Q133" s="785" t="n"/>
      <c r="R133" s="785" t="n"/>
      <c r="S133" s="785" t="n"/>
      <c r="T133" s="786" t="n"/>
      <c r="U133" s="34" t="n"/>
      <c r="V133" s="34" t="n"/>
      <c r="W133" s="35" t="inlineStr">
        <is>
          <t>кг</t>
        </is>
      </c>
      <c r="X133" s="1221" t="n">
        <v>0</v>
      </c>
      <c r="Y133" s="1222">
        <f>IFERROR(IF(X133="",0,CEILING((X133/$H133),1)*$H133),"")</f>
        <v/>
      </c>
      <c r="Z133" s="36">
        <f>IFERROR(IF(Y133=0,"",ROUNDUP(Y133/H133,0)*0.00502),"")</f>
        <v/>
      </c>
      <c r="AA133" s="56" t="n"/>
      <c r="AB133" s="57" t="n"/>
      <c r="AC133" s="197" t="inlineStr">
        <is>
          <t>ЕАЭС N RU Д-RU.РА06.В.97082/24</t>
        </is>
      </c>
      <c r="AG133" s="64" t="n"/>
      <c r="AJ133" s="68" t="n"/>
      <c r="AK133" s="68" t="n">
        <v>0</v>
      </c>
      <c r="BB133" s="198" t="inlineStr">
        <is>
          <t>КИ</t>
        </is>
      </c>
      <c r="BM133" s="64">
        <f>IFERROR(X133*I133/H133,"0")</f>
        <v/>
      </c>
      <c r="BN133" s="64">
        <f>IFERROR(Y133*I133/H133,"0")</f>
        <v/>
      </c>
      <c r="BO133" s="64">
        <f>IFERROR(1/J133*(X133/H133),"0")</f>
        <v/>
      </c>
      <c r="BP133" s="64">
        <f>IFERROR(1/J133*(Y133/H133),"0")</f>
        <v/>
      </c>
    </row>
    <row r="134" ht="16.5" customHeight="1">
      <c r="A134" s="54" t="inlineStr">
        <is>
          <t>SU002735</t>
        </is>
      </c>
      <c r="B134" s="54" t="inlineStr">
        <is>
          <t>P004586</t>
        </is>
      </c>
      <c r="C134" s="31" t="n">
        <v>4301020344</v>
      </c>
      <c r="D134" s="782" t="n">
        <v>4680115880658</v>
      </c>
      <c r="E134" s="783" t="n"/>
      <c r="F134" s="1220" t="n">
        <v>0.4</v>
      </c>
      <c r="G134" s="32" t="n">
        <v>6</v>
      </c>
      <c r="H134" s="1220" t="n">
        <v>2.4</v>
      </c>
      <c r="I134" s="1220" t="n">
        <v>2.58</v>
      </c>
      <c r="J134" s="32" t="n">
        <v>182</v>
      </c>
      <c r="K134" s="32" t="inlineStr">
        <is>
          <t>14</t>
        </is>
      </c>
      <c r="L134" s="32" t="n"/>
      <c r="M134" s="33" t="inlineStr">
        <is>
          <t>СК1</t>
        </is>
      </c>
      <c r="N134" s="33" t="n"/>
      <c r="O134" s="32" t="n">
        <v>55</v>
      </c>
      <c r="P134" s="846">
        <f>HYPERLINK("https://abi.ru/products/Охлажденные/Вязанка/Сливушка/Ветчины/P004586/","Ветчины «Сливушка с индейкой» Фикс.вес 0,4 П/а ТМ «Вязанка»")</f>
        <v/>
      </c>
      <c r="Q134" s="785" t="n"/>
      <c r="R134" s="785" t="n"/>
      <c r="S134" s="785" t="n"/>
      <c r="T134" s="786" t="n"/>
      <c r="U134" s="34" t="n"/>
      <c r="V134" s="34" t="n"/>
      <c r="W134" s="35" t="inlineStr">
        <is>
          <t>кг</t>
        </is>
      </c>
      <c r="X134" s="1221" t="n">
        <v>0</v>
      </c>
      <c r="Y134" s="1222">
        <f>IFERROR(IF(X134="",0,CEILING((X134/$H134),1)*$H134),"")</f>
        <v/>
      </c>
      <c r="Z134" s="36">
        <f>IFERROR(IF(Y134=0,"",ROUNDUP(Y134/H134,0)*0.00651),"")</f>
        <v/>
      </c>
      <c r="AA134" s="56" t="n"/>
      <c r="AB134" s="57" t="n"/>
      <c r="AC134" s="199" t="inlineStr">
        <is>
          <t>ЕАЭС N RU Д-RU.РА06.В.97082/24</t>
        </is>
      </c>
      <c r="AG134" s="64" t="n"/>
      <c r="AJ134" s="68" t="n"/>
      <c r="AK134" s="68" t="n">
        <v>0</v>
      </c>
      <c r="BB134" s="200" t="inlineStr">
        <is>
          <t>КИ</t>
        </is>
      </c>
      <c r="BM134" s="64">
        <f>IFERROR(X134*I134/H134,"0")</f>
        <v/>
      </c>
      <c r="BN134" s="64">
        <f>IFERROR(Y134*I134/H134,"0")</f>
        <v/>
      </c>
      <c r="BO134" s="64">
        <f>IFERROR(1/J134*(X134/H134),"0")</f>
        <v/>
      </c>
      <c r="BP134" s="64">
        <f>IFERROR(1/J134*(Y134/H134),"0")</f>
        <v/>
      </c>
    </row>
    <row r="135">
      <c r="A135" s="801" t="n"/>
      <c r="B135" s="800" t="n"/>
      <c r="C135" s="800" t="n"/>
      <c r="D135" s="800" t="n"/>
      <c r="E135" s="800" t="n"/>
      <c r="F135" s="800" t="n"/>
      <c r="G135" s="800" t="n"/>
      <c r="H135" s="800" t="n"/>
      <c r="I135" s="800" t="n"/>
      <c r="J135" s="800" t="n"/>
      <c r="K135" s="800" t="n"/>
      <c r="L135" s="800" t="n"/>
      <c r="M135" s="800" t="n"/>
      <c r="N135" s="800" t="n"/>
      <c r="O135" s="802" t="n"/>
      <c r="P135" s="796" t="inlineStr">
        <is>
          <t>Итого</t>
        </is>
      </c>
      <c r="Q135" s="793" t="n"/>
      <c r="R135" s="793" t="n"/>
      <c r="S135" s="793" t="n"/>
      <c r="T135" s="793" t="n"/>
      <c r="U135" s="793" t="n"/>
      <c r="V135" s="794" t="n"/>
      <c r="W135" s="37" t="inlineStr">
        <is>
          <t>кор</t>
        </is>
      </c>
      <c r="X135" s="1223">
        <f>IFERROR(X131/H131,"0")+IFERROR(X132/H132,"0")+IFERROR(X133/H133,"0")+IFERROR(X134/H134,"0")</f>
        <v/>
      </c>
      <c r="Y135" s="1223">
        <f>IFERROR(Y131/H131,"0")+IFERROR(Y132/H132,"0")+IFERROR(Y133/H133,"0")+IFERROR(Y134/H134,"0")</f>
        <v/>
      </c>
      <c r="Z135" s="1223">
        <f>IFERROR(IF(Z131="",0,Z131),"0")+IFERROR(IF(Z132="",0,Z132),"0")+IFERROR(IF(Z133="",0,Z133),"0")+IFERROR(IF(Z134="",0,Z134),"0")</f>
        <v/>
      </c>
      <c r="AA135" s="1224" t="n"/>
      <c r="AB135" s="1224" t="n"/>
      <c r="AC135" s="1224" t="n"/>
    </row>
    <row r="136">
      <c r="A136" s="800" t="n"/>
      <c r="B136" s="800" t="n"/>
      <c r="C136" s="800" t="n"/>
      <c r="D136" s="800" t="n"/>
      <c r="E136" s="800" t="n"/>
      <c r="F136" s="800" t="n"/>
      <c r="G136" s="800" t="n"/>
      <c r="H136" s="800" t="n"/>
      <c r="I136" s="800" t="n"/>
      <c r="J136" s="800" t="n"/>
      <c r="K136" s="800" t="n"/>
      <c r="L136" s="800" t="n"/>
      <c r="M136" s="800" t="n"/>
      <c r="N136" s="800" t="n"/>
      <c r="O136" s="802" t="n"/>
      <c r="P136" s="796" t="inlineStr">
        <is>
          <t>Итого</t>
        </is>
      </c>
      <c r="Q136" s="793" t="n"/>
      <c r="R136" s="793" t="n"/>
      <c r="S136" s="793" t="n"/>
      <c r="T136" s="793" t="n"/>
      <c r="U136" s="793" t="n"/>
      <c r="V136" s="794" t="n"/>
      <c r="W136" s="37" t="inlineStr">
        <is>
          <t>кг</t>
        </is>
      </c>
      <c r="X136" s="1223">
        <f>IFERROR(SUM(X131:X134),"0")</f>
        <v/>
      </c>
      <c r="Y136" s="1223">
        <f>IFERROR(SUM(Y131:Y134),"0")</f>
        <v/>
      </c>
      <c r="Z136" s="37" t="n"/>
      <c r="AA136" s="1224" t="n"/>
      <c r="AB136" s="1224" t="n"/>
      <c r="AC136" s="1224" t="n"/>
    </row>
    <row r="137" ht="14.25" customHeight="1">
      <c r="A137" s="799" t="inlineStr">
        <is>
          <t>Сосиски</t>
        </is>
      </c>
      <c r="B137" s="800" t="n"/>
      <c r="C137" s="800" t="n"/>
      <c r="D137" s="800" t="n"/>
      <c r="E137" s="800" t="n"/>
      <c r="F137" s="800" t="n"/>
      <c r="G137" s="800" t="n"/>
      <c r="H137" s="800" t="n"/>
      <c r="I137" s="800" t="n"/>
      <c r="J137" s="800" t="n"/>
      <c r="K137" s="800" t="n"/>
      <c r="L137" s="800" t="n"/>
      <c r="M137" s="800" t="n"/>
      <c r="N137" s="800" t="n"/>
      <c r="O137" s="800" t="n"/>
      <c r="P137" s="800" t="n"/>
      <c r="Q137" s="800" t="n"/>
      <c r="R137" s="800" t="n"/>
      <c r="S137" s="800" t="n"/>
      <c r="T137" s="800" t="n"/>
      <c r="U137" s="800" t="n"/>
      <c r="V137" s="800" t="n"/>
      <c r="W137" s="800" t="n"/>
      <c r="X137" s="800" t="n"/>
      <c r="Y137" s="800" t="n"/>
      <c r="Z137" s="800" t="n"/>
      <c r="AA137" s="799" t="n"/>
      <c r="AB137" s="799" t="n"/>
      <c r="AC137" s="799" t="n"/>
    </row>
    <row r="138" ht="37.5" customHeight="1">
      <c r="A138" s="54" t="inlineStr">
        <is>
          <t>SU001721</t>
        </is>
      </c>
      <c r="B138" s="54" t="inlineStr">
        <is>
          <t>P003161</t>
        </is>
      </c>
      <c r="C138" s="31" t="n">
        <v>4301051360</v>
      </c>
      <c r="D138" s="782" t="n">
        <v>4607091385168</v>
      </c>
      <c r="E138" s="783" t="n"/>
      <c r="F138" s="1220" t="n">
        <v>1.35</v>
      </c>
      <c r="G138" s="32" t="n">
        <v>6</v>
      </c>
      <c r="H138" s="1220" t="n">
        <v>8.1</v>
      </c>
      <c r="I138" s="1220" t="n">
        <v>8.657999999999999</v>
      </c>
      <c r="J138" s="32" t="n">
        <v>56</v>
      </c>
      <c r="K138" s="32" t="inlineStr">
        <is>
          <t>8</t>
        </is>
      </c>
      <c r="L138" s="32" t="n"/>
      <c r="M138" s="33" t="inlineStr">
        <is>
          <t>СК3</t>
        </is>
      </c>
      <c r="N138" s="33" t="n"/>
      <c r="O138" s="32" t="n">
        <v>45</v>
      </c>
      <c r="P138" s="1049">
        <f>HYPERLINK("https://abi.ru/products/Охлажденные/Вязанка/Сливушка/Сосиски/P003161/","Сосиски Сливочные Вязанка Сливушки Весовые П/а мгс Вязанка")</f>
        <v/>
      </c>
      <c r="Q138" s="785" t="n"/>
      <c r="R138" s="785" t="n"/>
      <c r="S138" s="785" t="n"/>
      <c r="T138" s="786" t="n"/>
      <c r="U138" s="34" t="n"/>
      <c r="V138" s="34" t="n"/>
      <c r="W138" s="35" t="inlineStr">
        <is>
          <t>кг</t>
        </is>
      </c>
      <c r="X138" s="1221" t="n">
        <v>200</v>
      </c>
      <c r="Y138" s="1222">
        <f>IFERROR(IF(X138="",0,CEILING((X138/$H138),1)*$H138),"")</f>
        <v/>
      </c>
      <c r="Z138" s="36">
        <f>IFERROR(IF(Y138=0,"",ROUNDUP(Y138/H138,0)*0.02175),"")</f>
        <v/>
      </c>
      <c r="AA138" s="56" t="n"/>
      <c r="AB138" s="57" t="n"/>
      <c r="AC138" s="201" t="inlineStr">
        <is>
          <t>ЕАЭС N RU Д-RU.РА01.В.20765/23, ЕАЭС N RU Д-RU.РА01.В.61077/20, ЕАЭС N RU Д-RU.РА06.В.77196/22</t>
        </is>
      </c>
      <c r="AG138" s="64" t="n"/>
      <c r="AJ138" s="68" t="n"/>
      <c r="AK138" s="68" t="n">
        <v>0</v>
      </c>
      <c r="BB138" s="202" t="inlineStr">
        <is>
          <t>КИ</t>
        </is>
      </c>
      <c r="BM138" s="64">
        <f>IFERROR(X138*I138/H138,"0")</f>
        <v/>
      </c>
      <c r="BN138" s="64">
        <f>IFERROR(Y138*I138/H138,"0")</f>
        <v/>
      </c>
      <c r="BO138" s="64">
        <f>IFERROR(1/J138*(X138/H138),"0")</f>
        <v/>
      </c>
      <c r="BP138" s="64">
        <f>IFERROR(1/J138*(Y138/H138),"0")</f>
        <v/>
      </c>
    </row>
    <row r="139" ht="27" customHeight="1">
      <c r="A139" s="54" t="inlineStr">
        <is>
          <t>SU001721</t>
        </is>
      </c>
      <c r="B139" s="54" t="inlineStr">
        <is>
          <t>P003905</t>
        </is>
      </c>
      <c r="C139" s="31" t="n">
        <v>4301051625</v>
      </c>
      <c r="D139" s="782" t="n">
        <v>4607091385168</v>
      </c>
      <c r="E139" s="783" t="n"/>
      <c r="F139" s="1220" t="n">
        <v>1.4</v>
      </c>
      <c r="G139" s="32" t="n">
        <v>6</v>
      </c>
      <c r="H139" s="1220" t="n">
        <v>8.4</v>
      </c>
      <c r="I139" s="1220" t="n">
        <v>8.958</v>
      </c>
      <c r="J139" s="32" t="n">
        <v>56</v>
      </c>
      <c r="K139" s="32" t="inlineStr">
        <is>
          <t>8</t>
        </is>
      </c>
      <c r="L139" s="32" t="n"/>
      <c r="M139" s="33" t="inlineStr">
        <is>
          <t>СК3</t>
        </is>
      </c>
      <c r="N139" s="33" t="n"/>
      <c r="O139" s="32" t="n">
        <v>45</v>
      </c>
      <c r="P139" s="906">
        <f>HYPERLINK("https://abi.ru/products/Охлажденные/Вязанка/Сливушка/Сосиски/P003905/","Сосиски «Вязанка Сливочные» Весовые П/а мгс ТМ «Вязанка»")</f>
        <v/>
      </c>
      <c r="Q139" s="785" t="n"/>
      <c r="R139" s="785" t="n"/>
      <c r="S139" s="785" t="n"/>
      <c r="T139" s="786" t="n"/>
      <c r="U139" s="34" t="n"/>
      <c r="V139" s="34" t="n"/>
      <c r="W139" s="35" t="inlineStr">
        <is>
          <t>кг</t>
        </is>
      </c>
      <c r="X139" s="1221" t="n">
        <v>0</v>
      </c>
      <c r="Y139" s="1222">
        <f>IFERROR(IF(X139="",0,CEILING((X139/$H139),1)*$H139),"")</f>
        <v/>
      </c>
      <c r="Z139" s="36">
        <f>IFERROR(IF(Y139=0,"",ROUNDUP(Y139/H139,0)*0.02175),"")</f>
        <v/>
      </c>
      <c r="AA139" s="56" t="n"/>
      <c r="AB139" s="57" t="n"/>
      <c r="AC139" s="203" t="inlineStr">
        <is>
          <t>ЕАЭС N RU Д-RU.РА01.В.20765/23, ЕАЭС N RU Д-RU.РА05.В.31074/23</t>
        </is>
      </c>
      <c r="AG139" s="64" t="n"/>
      <c r="AJ139" s="68" t="n"/>
      <c r="AK139" s="68" t="n">
        <v>0</v>
      </c>
      <c r="BB139" s="204" t="inlineStr">
        <is>
          <t>КИ</t>
        </is>
      </c>
      <c r="BM139" s="64">
        <f>IFERROR(X139*I139/H139,"0")</f>
        <v/>
      </c>
      <c r="BN139" s="64">
        <f>IFERROR(Y139*I139/H139,"0")</f>
        <v/>
      </c>
      <c r="BO139" s="64">
        <f>IFERROR(1/J139*(X139/H139),"0")</f>
        <v/>
      </c>
      <c r="BP139" s="64">
        <f>IFERROR(1/J139*(Y139/H139),"0")</f>
        <v/>
      </c>
    </row>
    <row r="140" ht="37.5" customHeight="1">
      <c r="A140" s="54" t="inlineStr">
        <is>
          <t>SU003337</t>
        </is>
      </c>
      <c r="B140" s="54" t="inlineStr">
        <is>
          <t>P004117</t>
        </is>
      </c>
      <c r="C140" s="31" t="n">
        <v>4301051742</v>
      </c>
      <c r="D140" s="782" t="n">
        <v>4680115884540</v>
      </c>
      <c r="E140" s="783" t="n"/>
      <c r="F140" s="1220" t="n">
        <v>1.4</v>
      </c>
      <c r="G140" s="32" t="n">
        <v>6</v>
      </c>
      <c r="H140" s="1220" t="n">
        <v>8.4</v>
      </c>
      <c r="I140" s="1220" t="n">
        <v>8.880000000000001</v>
      </c>
      <c r="J140" s="32" t="n">
        <v>56</v>
      </c>
      <c r="K140" s="32" t="inlineStr">
        <is>
          <t>8</t>
        </is>
      </c>
      <c r="L140" s="32" t="n"/>
      <c r="M140" s="33" t="inlineStr">
        <is>
          <t>СК3</t>
        </is>
      </c>
      <c r="N140" s="33" t="n"/>
      <c r="O140" s="32" t="n">
        <v>45</v>
      </c>
      <c r="P140" s="1056">
        <f>HYPERLINK("https://abi.ru/products/Охлажденные/Вязанка/Сливушка/Сосиски/P004117/","Сосиски «Сливушки по-венски» Весовой п/а ТМ «Вязанка»")</f>
        <v/>
      </c>
      <c r="Q140" s="785" t="n"/>
      <c r="R140" s="785" t="n"/>
      <c r="S140" s="785" t="n"/>
      <c r="T140" s="786" t="n"/>
      <c r="U140" s="34" t="n"/>
      <c r="V140" s="34" t="n"/>
      <c r="W140" s="35" t="inlineStr">
        <is>
          <t>кг</t>
        </is>
      </c>
      <c r="X140" s="1221" t="n">
        <v>0</v>
      </c>
      <c r="Y140" s="1222">
        <f>IFERROR(IF(X140="",0,CEILING((X140/$H140),1)*$H140),"")</f>
        <v/>
      </c>
      <c r="Z140" s="36">
        <f>IFERROR(IF(Y140=0,"",ROUNDUP(Y140/H140,0)*0.02175),"")</f>
        <v/>
      </c>
      <c r="AA140" s="56" t="n"/>
      <c r="AB140" s="57" t="n"/>
      <c r="AC140" s="205" t="inlineStr">
        <is>
          <t>ЕАЭС N RU Д-RU.РА01.В.81091/24, ЕАЭС N RU Д-RU.РА01.В.81210/24, ЕАЭС N RU Д-RU.РА01.В.81330/24</t>
        </is>
      </c>
      <c r="AG140" s="64" t="n"/>
      <c r="AJ140" s="68" t="n"/>
      <c r="AK140" s="68" t="n">
        <v>0</v>
      </c>
      <c r="BB140" s="206" t="inlineStr">
        <is>
          <t>КИ</t>
        </is>
      </c>
      <c r="BM140" s="64">
        <f>IFERROR(X140*I140/H140,"0")</f>
        <v/>
      </c>
      <c r="BN140" s="64">
        <f>IFERROR(Y140*I140/H140,"0")</f>
        <v/>
      </c>
      <c r="BO140" s="64">
        <f>IFERROR(1/J140*(X140/H140),"0")</f>
        <v/>
      </c>
      <c r="BP140" s="64">
        <f>IFERROR(1/J140*(Y140/H140),"0")</f>
        <v/>
      </c>
    </row>
    <row r="141" ht="48" customHeight="1">
      <c r="A141" s="54" t="inlineStr">
        <is>
          <t>SU002139</t>
        </is>
      </c>
      <c r="B141" s="54" t="inlineStr">
        <is>
          <t>P003162</t>
        </is>
      </c>
      <c r="C141" s="31" t="n">
        <v>4301051362</v>
      </c>
      <c r="D141" s="782" t="n">
        <v>4607091383256</v>
      </c>
      <c r="E141" s="783" t="n"/>
      <c r="F141" s="1220" t="n">
        <v>0.33</v>
      </c>
      <c r="G141" s="32" t="n">
        <v>6</v>
      </c>
      <c r="H141" s="1220" t="n">
        <v>1.98</v>
      </c>
      <c r="I141" s="1220" t="n">
        <v>2.226</v>
      </c>
      <c r="J141" s="32" t="n">
        <v>182</v>
      </c>
      <c r="K141" s="32" t="inlineStr">
        <is>
          <t>14</t>
        </is>
      </c>
      <c r="L141" s="32" t="n"/>
      <c r="M141" s="33" t="inlineStr">
        <is>
          <t>СК3</t>
        </is>
      </c>
      <c r="N141" s="33" t="n"/>
      <c r="O141" s="32" t="n">
        <v>45</v>
      </c>
      <c r="P141" s="1013">
        <f>HYPERLINK("https://abi.ru/products/Охлажденные/Вязанка/Сливушка/Сосиски/P003162/","Сосиски «Вязанка Сливочные» Фикс.вес 0,33 П/а мгс ТМ «Вязанка»")</f>
        <v/>
      </c>
      <c r="Q141" s="785" t="n"/>
      <c r="R141" s="785" t="n"/>
      <c r="S141" s="785" t="n"/>
      <c r="T141" s="786" t="n"/>
      <c r="U141" s="34" t="n"/>
      <c r="V141" s="34" t="n"/>
      <c r="W141" s="35" t="inlineStr">
        <is>
          <t>кг</t>
        </is>
      </c>
      <c r="X141" s="1221" t="n">
        <v>0</v>
      </c>
      <c r="Y141" s="1222">
        <f>IFERROR(IF(X141="",0,CEILING((X141/$H141),1)*$H141),"")</f>
        <v/>
      </c>
      <c r="Z141" s="36">
        <f>IFERROR(IF(Y141=0,"",ROUNDUP(Y141/H141,0)*0.00651),"")</f>
        <v/>
      </c>
      <c r="AA141" s="56" t="n"/>
      <c r="AB141" s="57" t="n"/>
      <c r="AC141" s="207" t="inlineStr">
        <is>
          <t>ЕАЭС N RU Д-RU.PA01.B.61090/20, ЕАЭС N RU Д-RU.РА01.В.20765/23, ЕАЭС N RU Д-RU.РА01.В.61077/20, ЕАЭС N RU Д-RU.РА06.В.77196/22</t>
        </is>
      </c>
      <c r="AG141" s="64" t="n"/>
      <c r="AJ141" s="68" t="n"/>
      <c r="AK141" s="68" t="n">
        <v>0</v>
      </c>
      <c r="BB141" s="208" t="inlineStr">
        <is>
          <t>КИ</t>
        </is>
      </c>
      <c r="BM141" s="64">
        <f>IFERROR(X141*I141/H141,"0")</f>
        <v/>
      </c>
      <c r="BN141" s="64">
        <f>IFERROR(Y141*I141/H141,"0")</f>
        <v/>
      </c>
      <c r="BO141" s="64">
        <f>IFERROR(1/J141*(X141/H141),"0")</f>
        <v/>
      </c>
      <c r="BP141" s="64">
        <f>IFERROR(1/J141*(Y141/H141),"0")</f>
        <v/>
      </c>
    </row>
    <row r="142" ht="48" customHeight="1">
      <c r="A142" s="54" t="inlineStr">
        <is>
          <t>SU001720</t>
        </is>
      </c>
      <c r="B142" s="54" t="inlineStr">
        <is>
          <t>P003160</t>
        </is>
      </c>
      <c r="C142" s="31" t="n">
        <v>4301051358</v>
      </c>
      <c r="D142" s="782" t="n">
        <v>4607091385748</v>
      </c>
      <c r="E142" s="783" t="n"/>
      <c r="F142" s="1220" t="n">
        <v>0.45</v>
      </c>
      <c r="G142" s="32" t="n">
        <v>6</v>
      </c>
      <c r="H142" s="1220" t="n">
        <v>2.7</v>
      </c>
      <c r="I142" s="1220" t="n">
        <v>2.952</v>
      </c>
      <c r="J142" s="32" t="n">
        <v>182</v>
      </c>
      <c r="K142" s="32" t="inlineStr">
        <is>
          <t>14</t>
        </is>
      </c>
      <c r="L142" s="32" t="inlineStr">
        <is>
          <t>Палетта, мин. 1</t>
        </is>
      </c>
      <c r="M142" s="33" t="inlineStr">
        <is>
          <t>СК3</t>
        </is>
      </c>
      <c r="N142" s="33" t="n"/>
      <c r="O142" s="32" t="n">
        <v>45</v>
      </c>
      <c r="P142" s="1087">
        <f>HYPERLINK("https://abi.ru/products/Охлажденные/Вязанка/Сливушка/Сосиски/P003160/","Сосиски Сливочные Сливушки Фикс.вес 0,45 П/а мгс Вязанка")</f>
        <v/>
      </c>
      <c r="Q142" s="785" t="n"/>
      <c r="R142" s="785" t="n"/>
      <c r="S142" s="785" t="n"/>
      <c r="T142" s="786" t="n"/>
      <c r="U142" s="34" t="n"/>
      <c r="V142" s="34" t="n"/>
      <c r="W142" s="35" t="inlineStr">
        <is>
          <t>кг</t>
        </is>
      </c>
      <c r="X142" s="1221" t="n">
        <v>0</v>
      </c>
      <c r="Y142" s="1222">
        <f>IFERROR(IF(X142="",0,CEILING((X142/$H142),1)*$H142),"")</f>
        <v/>
      </c>
      <c r="Z142" s="36">
        <f>IFERROR(IF(Y142=0,"",ROUNDUP(Y142/H142,0)*0.00651),"")</f>
        <v/>
      </c>
      <c r="AA142" s="56" t="n"/>
      <c r="AB142" s="57" t="n"/>
      <c r="AC142" s="209" t="inlineStr">
        <is>
          <t>ЕАЭС N RU Д-RU.PA01.B.61090/20, ЕАЭС N RU Д-RU.РА01.В.20765/23, ЕАЭС N RU Д-RU.РА01.В.61077/20, ЕАЭС N RU Д-RU.РА06.В.77196/22</t>
        </is>
      </c>
      <c r="AG142" s="64" t="n"/>
      <c r="AJ142" s="68" t="inlineStr">
        <is>
          <t>Палетта</t>
        </is>
      </c>
      <c r="AK142" s="68" t="n">
        <v>491.4</v>
      </c>
      <c r="BB142" s="210" t="inlineStr">
        <is>
          <t>КИ</t>
        </is>
      </c>
      <c r="BM142" s="64">
        <f>IFERROR(X142*I142/H142,"0")</f>
        <v/>
      </c>
      <c r="BN142" s="64">
        <f>IFERROR(Y142*I142/H142,"0")</f>
        <v/>
      </c>
      <c r="BO142" s="64">
        <f>IFERROR(1/J142*(X142/H142),"0")</f>
        <v/>
      </c>
      <c r="BP142" s="64">
        <f>IFERROR(1/J142*(Y142/H142),"0")</f>
        <v/>
      </c>
    </row>
    <row r="143" ht="27" customHeight="1">
      <c r="A143" s="54" t="inlineStr">
        <is>
          <t>SU003336</t>
        </is>
      </c>
      <c r="B143" s="54" t="inlineStr">
        <is>
          <t>P004116</t>
        </is>
      </c>
      <c r="C143" s="31" t="n">
        <v>4301051740</v>
      </c>
      <c r="D143" s="782" t="n">
        <v>4680115884533</v>
      </c>
      <c r="E143" s="783" t="n"/>
      <c r="F143" s="1220" t="n">
        <v>0.3</v>
      </c>
      <c r="G143" s="32" t="n">
        <v>6</v>
      </c>
      <c r="H143" s="1220" t="n">
        <v>1.8</v>
      </c>
      <c r="I143" s="1220" t="n">
        <v>1.98</v>
      </c>
      <c r="J143" s="32" t="n">
        <v>182</v>
      </c>
      <c r="K143" s="32" t="inlineStr">
        <is>
          <t>14</t>
        </is>
      </c>
      <c r="L143" s="32" t="n"/>
      <c r="M143" s="33" t="inlineStr">
        <is>
          <t>СК3</t>
        </is>
      </c>
      <c r="N143" s="33" t="n"/>
      <c r="O143" s="32" t="n">
        <v>45</v>
      </c>
      <c r="P143" s="998">
        <f>HYPERLINK("https://abi.ru/products/Охлажденные/Вязанка/Сливушка/Сосиски/P004116/","Сосиски «Сливушки по-венски» ф/в 0,3 п/а ТМ «Вязанка»")</f>
        <v/>
      </c>
      <c r="Q143" s="785" t="n"/>
      <c r="R143" s="785" t="n"/>
      <c r="S143" s="785" t="n"/>
      <c r="T143" s="786" t="n"/>
      <c r="U143" s="34" t="n"/>
      <c r="V143" s="34" t="n"/>
      <c r="W143" s="35" t="inlineStr">
        <is>
          <t>кг</t>
        </is>
      </c>
      <c r="X143" s="1221" t="n">
        <v>0</v>
      </c>
      <c r="Y143" s="1222">
        <f>IFERROR(IF(X143="",0,CEILING((X143/$H143),1)*$H143),"")</f>
        <v/>
      </c>
      <c r="Z143" s="36">
        <f>IFERROR(IF(Y143=0,"",ROUNDUP(Y143/H143,0)*0.00651),"")</f>
        <v/>
      </c>
      <c r="AA143" s="56" t="n"/>
      <c r="AB143" s="57" t="n"/>
      <c r="AC143" s="211" t="inlineStr">
        <is>
          <t>ЕАЭС N RU Д-RU.РА01.В.81091/24, ЕАЭС N RU Д-RU.РА01.В.81330/24</t>
        </is>
      </c>
      <c r="AG143" s="64" t="n"/>
      <c r="AJ143" s="68" t="n"/>
      <c r="AK143" s="68" t="n">
        <v>0</v>
      </c>
      <c r="BB143" s="212" t="inlineStr">
        <is>
          <t>КИ</t>
        </is>
      </c>
      <c r="BM143" s="64">
        <f>IFERROR(X143*I143/H143,"0")</f>
        <v/>
      </c>
      <c r="BN143" s="64">
        <f>IFERROR(Y143*I143/H143,"0")</f>
        <v/>
      </c>
      <c r="BO143" s="64">
        <f>IFERROR(1/J143*(X143/H143),"0")</f>
        <v/>
      </c>
      <c r="BP143" s="64">
        <f>IFERROR(1/J143*(Y143/H143),"0")</f>
        <v/>
      </c>
    </row>
    <row r="144" ht="37.5" customHeight="1">
      <c r="A144" s="54" t="inlineStr">
        <is>
          <t>SU002996</t>
        </is>
      </c>
      <c r="B144" s="54" t="inlineStr">
        <is>
          <t>P003464</t>
        </is>
      </c>
      <c r="C144" s="31" t="n">
        <v>4301051480</v>
      </c>
      <c r="D144" s="782" t="n">
        <v>4680115882645</v>
      </c>
      <c r="E144" s="783" t="n"/>
      <c r="F144" s="1220" t="n">
        <v>0.3</v>
      </c>
      <c r="G144" s="32" t="n">
        <v>6</v>
      </c>
      <c r="H144" s="1220" t="n">
        <v>1.8</v>
      </c>
      <c r="I144" s="1220" t="n">
        <v>2.64</v>
      </c>
      <c r="J144" s="32" t="n">
        <v>182</v>
      </c>
      <c r="K144" s="32" t="inlineStr">
        <is>
          <t>14</t>
        </is>
      </c>
      <c r="L144" s="32" t="n"/>
      <c r="M144" s="33" t="inlineStr">
        <is>
          <t>СК2</t>
        </is>
      </c>
      <c r="N144" s="33" t="n"/>
      <c r="O144" s="32" t="n">
        <v>40</v>
      </c>
      <c r="P144" s="1209">
        <f>HYPERLINK("https://abi.ru/products/Охлажденные/Вязанка/Сливушка/Сосиски/P003464/","Сосиски «Сливушки с сыром» ф/в 0,3 п/а ТМ «Вязанка»")</f>
        <v/>
      </c>
      <c r="Q144" s="785" t="n"/>
      <c r="R144" s="785" t="n"/>
      <c r="S144" s="785" t="n"/>
      <c r="T144" s="786" t="n"/>
      <c r="U144" s="34" t="n"/>
      <c r="V144" s="34" t="n"/>
      <c r="W144" s="35" t="inlineStr">
        <is>
          <t>кг</t>
        </is>
      </c>
      <c r="X144" s="1221" t="n">
        <v>0</v>
      </c>
      <c r="Y144" s="1222">
        <f>IFERROR(IF(X144="",0,CEILING((X144/$H144),1)*$H144),"")</f>
        <v/>
      </c>
      <c r="Z144" s="36">
        <f>IFERROR(IF(Y144=0,"",ROUNDUP(Y144/H144,0)*0.00651),"")</f>
        <v/>
      </c>
      <c r="AA144" s="56" t="n"/>
      <c r="AB144" s="57" t="n"/>
      <c r="AC144" s="213" t="inlineStr">
        <is>
          <t>ЕАЭС N RU Д-RU.РА05.В.77082/23, ЕАЭС N RU Д-RU.РА05.В.77149/23, ЕАЭС N RU Д-RU.РА05.В.77296/23</t>
        </is>
      </c>
      <c r="AG144" s="64" t="n"/>
      <c r="AJ144" s="68" t="n"/>
      <c r="AK144" s="68" t="n">
        <v>0</v>
      </c>
      <c r="BB144" s="214" t="inlineStr">
        <is>
          <t>КИ</t>
        </is>
      </c>
      <c r="BM144" s="64">
        <f>IFERROR(X144*I144/H144,"0")</f>
        <v/>
      </c>
      <c r="BN144" s="64">
        <f>IFERROR(Y144*I144/H144,"0")</f>
        <v/>
      </c>
      <c r="BO144" s="64">
        <f>IFERROR(1/J144*(X144/H144),"0")</f>
        <v/>
      </c>
      <c r="BP144" s="64">
        <f>IFERROR(1/J144*(Y144/H144),"0")</f>
        <v/>
      </c>
    </row>
    <row r="145">
      <c r="A145" s="801" t="n"/>
      <c r="B145" s="800" t="n"/>
      <c r="C145" s="800" t="n"/>
      <c r="D145" s="800" t="n"/>
      <c r="E145" s="800" t="n"/>
      <c r="F145" s="800" t="n"/>
      <c r="G145" s="800" t="n"/>
      <c r="H145" s="800" t="n"/>
      <c r="I145" s="800" t="n"/>
      <c r="J145" s="800" t="n"/>
      <c r="K145" s="800" t="n"/>
      <c r="L145" s="800" t="n"/>
      <c r="M145" s="800" t="n"/>
      <c r="N145" s="800" t="n"/>
      <c r="O145" s="802" t="n"/>
      <c r="P145" s="796" t="inlineStr">
        <is>
          <t>Итого</t>
        </is>
      </c>
      <c r="Q145" s="793" t="n"/>
      <c r="R145" s="793" t="n"/>
      <c r="S145" s="793" t="n"/>
      <c r="T145" s="793" t="n"/>
      <c r="U145" s="793" t="n"/>
      <c r="V145" s="794" t="n"/>
      <c r="W145" s="37" t="inlineStr">
        <is>
          <t>кор</t>
        </is>
      </c>
      <c r="X145" s="1223">
        <f>IFERROR(X138/H138,"0")+IFERROR(X139/H139,"0")+IFERROR(X140/H140,"0")+IFERROR(X141/H141,"0")+IFERROR(X142/H142,"0")+IFERROR(X143/H143,"0")+IFERROR(X144/H144,"0")</f>
        <v/>
      </c>
      <c r="Y145" s="1223">
        <f>IFERROR(Y138/H138,"0")+IFERROR(Y139/H139,"0")+IFERROR(Y140/H140,"0")+IFERROR(Y141/H141,"0")+IFERROR(Y142/H142,"0")+IFERROR(Y143/H143,"0")+IFERROR(Y144/H144,"0")</f>
        <v/>
      </c>
      <c r="Z145" s="1223">
        <f>IFERROR(IF(Z138="",0,Z138),"0")+IFERROR(IF(Z139="",0,Z139),"0")+IFERROR(IF(Z140="",0,Z140),"0")+IFERROR(IF(Z141="",0,Z141),"0")+IFERROR(IF(Z142="",0,Z142),"0")+IFERROR(IF(Z143="",0,Z143),"0")+IFERROR(IF(Z144="",0,Z144),"0")</f>
        <v/>
      </c>
      <c r="AA145" s="1224" t="n"/>
      <c r="AB145" s="1224" t="n"/>
      <c r="AC145" s="1224" t="n"/>
    </row>
    <row r="146">
      <c r="A146" s="800" t="n"/>
      <c r="B146" s="800" t="n"/>
      <c r="C146" s="800" t="n"/>
      <c r="D146" s="800" t="n"/>
      <c r="E146" s="800" t="n"/>
      <c r="F146" s="800" t="n"/>
      <c r="G146" s="800" t="n"/>
      <c r="H146" s="800" t="n"/>
      <c r="I146" s="800" t="n"/>
      <c r="J146" s="800" t="n"/>
      <c r="K146" s="800" t="n"/>
      <c r="L146" s="800" t="n"/>
      <c r="M146" s="800" t="n"/>
      <c r="N146" s="800" t="n"/>
      <c r="O146" s="802" t="n"/>
      <c r="P146" s="796" t="inlineStr">
        <is>
          <t>Итого</t>
        </is>
      </c>
      <c r="Q146" s="793" t="n"/>
      <c r="R146" s="793" t="n"/>
      <c r="S146" s="793" t="n"/>
      <c r="T146" s="793" t="n"/>
      <c r="U146" s="793" t="n"/>
      <c r="V146" s="794" t="n"/>
      <c r="W146" s="37" t="inlineStr">
        <is>
          <t>кг</t>
        </is>
      </c>
      <c r="X146" s="1223">
        <f>IFERROR(SUM(X138:X144),"0")</f>
        <v/>
      </c>
      <c r="Y146" s="1223">
        <f>IFERROR(SUM(Y138:Y144),"0")</f>
        <v/>
      </c>
      <c r="Z146" s="37" t="n"/>
      <c r="AA146" s="1224" t="n"/>
      <c r="AB146" s="1224" t="n"/>
      <c r="AC146" s="1224" t="n"/>
    </row>
    <row r="147" ht="14.25" customHeight="1">
      <c r="A147" s="799" t="inlineStr">
        <is>
          <t>Сардельки</t>
        </is>
      </c>
      <c r="B147" s="800" t="n"/>
      <c r="C147" s="800" t="n"/>
      <c r="D147" s="800" t="n"/>
      <c r="E147" s="800" t="n"/>
      <c r="F147" s="800" t="n"/>
      <c r="G147" s="800" t="n"/>
      <c r="H147" s="800" t="n"/>
      <c r="I147" s="800" t="n"/>
      <c r="J147" s="800" t="n"/>
      <c r="K147" s="800" t="n"/>
      <c r="L147" s="800" t="n"/>
      <c r="M147" s="800" t="n"/>
      <c r="N147" s="800" t="n"/>
      <c r="O147" s="800" t="n"/>
      <c r="P147" s="800" t="n"/>
      <c r="Q147" s="800" t="n"/>
      <c r="R147" s="800" t="n"/>
      <c r="S147" s="800" t="n"/>
      <c r="T147" s="800" t="n"/>
      <c r="U147" s="800" t="n"/>
      <c r="V147" s="800" t="n"/>
      <c r="W147" s="800" t="n"/>
      <c r="X147" s="800" t="n"/>
      <c r="Y147" s="800" t="n"/>
      <c r="Z147" s="800" t="n"/>
      <c r="AA147" s="799" t="n"/>
      <c r="AB147" s="799" t="n"/>
      <c r="AC147" s="799" t="n"/>
    </row>
    <row r="148" ht="37.5" customHeight="1">
      <c r="A148" s="54" t="inlineStr">
        <is>
          <t>SU002997</t>
        </is>
      </c>
      <c r="B148" s="54" t="inlineStr">
        <is>
          <t>P003465</t>
        </is>
      </c>
      <c r="C148" s="31" t="n">
        <v>4301060356</v>
      </c>
      <c r="D148" s="782" t="n">
        <v>4680115882652</v>
      </c>
      <c r="E148" s="783" t="n"/>
      <c r="F148" s="1220" t="n">
        <v>0.33</v>
      </c>
      <c r="G148" s="32" t="n">
        <v>6</v>
      </c>
      <c r="H148" s="1220" t="n">
        <v>1.98</v>
      </c>
      <c r="I148" s="1220" t="n">
        <v>2.82</v>
      </c>
      <c r="J148" s="32" t="n">
        <v>182</v>
      </c>
      <c r="K148" s="32" t="inlineStr">
        <is>
          <t>14</t>
        </is>
      </c>
      <c r="L148" s="32" t="n"/>
      <c r="M148" s="33" t="inlineStr">
        <is>
          <t>СК2</t>
        </is>
      </c>
      <c r="N148" s="33" t="n"/>
      <c r="O148" s="32" t="n">
        <v>40</v>
      </c>
      <c r="P148" s="1136">
        <f>HYPERLINK("https://abi.ru/products/Охлажденные/Вязанка/Сливушка/Сардельки/P003465/","Сардельки «Сливушки с сыром #минидельки» ф/в 0,33 айпил ТМ «Вязанка»")</f>
        <v/>
      </c>
      <c r="Q148" s="785" t="n"/>
      <c r="R148" s="785" t="n"/>
      <c r="S148" s="785" t="n"/>
      <c r="T148" s="786" t="n"/>
      <c r="U148" s="34" t="n"/>
      <c r="V148" s="34" t="n"/>
      <c r="W148" s="35" t="inlineStr">
        <is>
          <t>кг</t>
        </is>
      </c>
      <c r="X148" s="1221" t="n">
        <v>0</v>
      </c>
      <c r="Y148" s="1222">
        <f>IFERROR(IF(X148="",0,CEILING((X148/$H148),1)*$H148),"")</f>
        <v/>
      </c>
      <c r="Z148" s="36">
        <f>IFERROR(IF(Y148=0,"",ROUNDUP(Y148/H148,0)*0.00651),"")</f>
        <v/>
      </c>
      <c r="AA148" s="56" t="n"/>
      <c r="AB148" s="57" t="n"/>
      <c r="AC148" s="215" t="inlineStr">
        <is>
          <t>ЕАЭС N RU Д-RU.РА06.В.31864/23, ЕАЭС N RU Д-RU.РА06.В.31929/23, ЕАЭС N RU Д-RU.РА10.В.01810/23</t>
        </is>
      </c>
      <c r="AG148" s="64" t="n"/>
      <c r="AJ148" s="68" t="n"/>
      <c r="AK148" s="68" t="n">
        <v>0</v>
      </c>
      <c r="BB148" s="216" t="inlineStr">
        <is>
          <t>КИ</t>
        </is>
      </c>
      <c r="BM148" s="64">
        <f>IFERROR(X148*I148/H148,"0")</f>
        <v/>
      </c>
      <c r="BN148" s="64">
        <f>IFERROR(Y148*I148/H148,"0")</f>
        <v/>
      </c>
      <c r="BO148" s="64">
        <f>IFERROR(1/J148*(X148/H148),"0")</f>
        <v/>
      </c>
      <c r="BP148" s="64">
        <f>IFERROR(1/J148*(Y148/H148),"0")</f>
        <v/>
      </c>
    </row>
    <row r="149" ht="27" customHeight="1">
      <c r="A149" s="54" t="inlineStr">
        <is>
          <t>SU002367</t>
        </is>
      </c>
      <c r="B149" s="54" t="inlineStr">
        <is>
          <t>P002644</t>
        </is>
      </c>
      <c r="C149" s="31" t="n">
        <v>4301060309</v>
      </c>
      <c r="D149" s="782" t="n">
        <v>4680115880238</v>
      </c>
      <c r="E149" s="783" t="n"/>
      <c r="F149" s="1220" t="n">
        <v>0.33</v>
      </c>
      <c r="G149" s="32" t="n">
        <v>6</v>
      </c>
      <c r="H149" s="1220" t="n">
        <v>1.98</v>
      </c>
      <c r="I149" s="1220" t="n">
        <v>2.238</v>
      </c>
      <c r="J149" s="32" t="n">
        <v>182</v>
      </c>
      <c r="K149" s="32" t="inlineStr">
        <is>
          <t>14</t>
        </is>
      </c>
      <c r="L149" s="32" t="n"/>
      <c r="M149" s="33" t="inlineStr">
        <is>
          <t>СК2</t>
        </is>
      </c>
      <c r="N149" s="33" t="n"/>
      <c r="O149" s="32" t="n">
        <v>40</v>
      </c>
      <c r="P149" s="817">
        <f>HYPERLINK("https://abi.ru/products/Охлажденные/Вязанка/Сливушка/Сардельки/P002644/","Сардельки «Сливушки» фикс.вес 0,33 п/а мгс ТМ «Вязанка»")</f>
        <v/>
      </c>
      <c r="Q149" s="785" t="n"/>
      <c r="R149" s="785" t="n"/>
      <c r="S149" s="785" t="n"/>
      <c r="T149" s="786" t="n"/>
      <c r="U149" s="34" t="n"/>
      <c r="V149" s="34" t="n"/>
      <c r="W149" s="35" t="inlineStr">
        <is>
          <t>кг</t>
        </is>
      </c>
      <c r="X149" s="1221" t="n">
        <v>0</v>
      </c>
      <c r="Y149" s="1222">
        <f>IFERROR(IF(X149="",0,CEILING((X149/$H149),1)*$H149),"")</f>
        <v/>
      </c>
      <c r="Z149" s="36">
        <f>IFERROR(IF(Y149=0,"",ROUNDUP(Y149/H149,0)*0.00651),"")</f>
        <v/>
      </c>
      <c r="AA149" s="56" t="n"/>
      <c r="AB149" s="57" t="n"/>
      <c r="AC149" s="217" t="inlineStr">
        <is>
          <t>ЕАЭС N RU Д-RU.РА03.В.02429/22, ЕАЭС N RU Д-RU.РА10.В.09810/24</t>
        </is>
      </c>
      <c r="AG149" s="64" t="n"/>
      <c r="AJ149" s="68" t="n"/>
      <c r="AK149" s="68" t="n">
        <v>0</v>
      </c>
      <c r="BB149" s="218" t="inlineStr">
        <is>
          <t>КИ</t>
        </is>
      </c>
      <c r="BM149" s="64">
        <f>IFERROR(X149*I149/H149,"0")</f>
        <v/>
      </c>
      <c r="BN149" s="64">
        <f>IFERROR(Y149*I149/H149,"0")</f>
        <v/>
      </c>
      <c r="BO149" s="64">
        <f>IFERROR(1/J149*(X149/H149),"0")</f>
        <v/>
      </c>
      <c r="BP149" s="64">
        <f>IFERROR(1/J149*(Y149/H149),"0")</f>
        <v/>
      </c>
    </row>
    <row r="150">
      <c r="A150" s="801" t="n"/>
      <c r="B150" s="800" t="n"/>
      <c r="C150" s="800" t="n"/>
      <c r="D150" s="800" t="n"/>
      <c r="E150" s="800" t="n"/>
      <c r="F150" s="800" t="n"/>
      <c r="G150" s="800" t="n"/>
      <c r="H150" s="800" t="n"/>
      <c r="I150" s="800" t="n"/>
      <c r="J150" s="800" t="n"/>
      <c r="K150" s="800" t="n"/>
      <c r="L150" s="800" t="n"/>
      <c r="M150" s="800" t="n"/>
      <c r="N150" s="800" t="n"/>
      <c r="O150" s="802" t="n"/>
      <c r="P150" s="796" t="inlineStr">
        <is>
          <t>Итого</t>
        </is>
      </c>
      <c r="Q150" s="793" t="n"/>
      <c r="R150" s="793" t="n"/>
      <c r="S150" s="793" t="n"/>
      <c r="T150" s="793" t="n"/>
      <c r="U150" s="793" t="n"/>
      <c r="V150" s="794" t="n"/>
      <c r="W150" s="37" t="inlineStr">
        <is>
          <t>кор</t>
        </is>
      </c>
      <c r="X150" s="1223">
        <f>IFERROR(X148/H148,"0")+IFERROR(X149/H149,"0")</f>
        <v/>
      </c>
      <c r="Y150" s="1223">
        <f>IFERROR(Y148/H148,"0")+IFERROR(Y149/H149,"0")</f>
        <v/>
      </c>
      <c r="Z150" s="1223">
        <f>IFERROR(IF(Z148="",0,Z148),"0")+IFERROR(IF(Z149="",0,Z149),"0")</f>
        <v/>
      </c>
      <c r="AA150" s="1224" t="n"/>
      <c r="AB150" s="1224" t="n"/>
      <c r="AC150" s="1224" t="n"/>
    </row>
    <row r="151">
      <c r="A151" s="800" t="n"/>
      <c r="B151" s="800" t="n"/>
      <c r="C151" s="800" t="n"/>
      <c r="D151" s="800" t="n"/>
      <c r="E151" s="800" t="n"/>
      <c r="F151" s="800" t="n"/>
      <c r="G151" s="800" t="n"/>
      <c r="H151" s="800" t="n"/>
      <c r="I151" s="800" t="n"/>
      <c r="J151" s="800" t="n"/>
      <c r="K151" s="800" t="n"/>
      <c r="L151" s="800" t="n"/>
      <c r="M151" s="800" t="n"/>
      <c r="N151" s="800" t="n"/>
      <c r="O151" s="802" t="n"/>
      <c r="P151" s="796" t="inlineStr">
        <is>
          <t>Итого</t>
        </is>
      </c>
      <c r="Q151" s="793" t="n"/>
      <c r="R151" s="793" t="n"/>
      <c r="S151" s="793" t="n"/>
      <c r="T151" s="793" t="n"/>
      <c r="U151" s="793" t="n"/>
      <c r="V151" s="794" t="n"/>
      <c r="W151" s="37" t="inlineStr">
        <is>
          <t>кг</t>
        </is>
      </c>
      <c r="X151" s="1223">
        <f>IFERROR(SUM(X148:X149),"0")</f>
        <v/>
      </c>
      <c r="Y151" s="1223">
        <f>IFERROR(SUM(Y148:Y149),"0")</f>
        <v/>
      </c>
      <c r="Z151" s="37" t="n"/>
      <c r="AA151" s="1224" t="n"/>
      <c r="AB151" s="1224" t="n"/>
      <c r="AC151" s="1224" t="n"/>
    </row>
    <row r="152" ht="16.5" customHeight="1">
      <c r="A152" s="807" t="inlineStr">
        <is>
          <t>Халяль</t>
        </is>
      </c>
      <c r="B152" s="800" t="n"/>
      <c r="C152" s="800" t="n"/>
      <c r="D152" s="800" t="n"/>
      <c r="E152" s="800" t="n"/>
      <c r="F152" s="800" t="n"/>
      <c r="G152" s="800" t="n"/>
      <c r="H152" s="800" t="n"/>
      <c r="I152" s="800" t="n"/>
      <c r="J152" s="800" t="n"/>
      <c r="K152" s="800" t="n"/>
      <c r="L152" s="800" t="n"/>
      <c r="M152" s="800" t="n"/>
      <c r="N152" s="800" t="n"/>
      <c r="O152" s="800" t="n"/>
      <c r="P152" s="800" t="n"/>
      <c r="Q152" s="800" t="n"/>
      <c r="R152" s="800" t="n"/>
      <c r="S152" s="800" t="n"/>
      <c r="T152" s="800" t="n"/>
      <c r="U152" s="800" t="n"/>
      <c r="V152" s="800" t="n"/>
      <c r="W152" s="800" t="n"/>
      <c r="X152" s="800" t="n"/>
      <c r="Y152" s="800" t="n"/>
      <c r="Z152" s="800" t="n"/>
      <c r="AA152" s="807" t="n"/>
      <c r="AB152" s="807" t="n"/>
      <c r="AC152" s="807" t="n"/>
    </row>
    <row r="153" ht="14.25" customHeight="1">
      <c r="A153" s="799" t="inlineStr">
        <is>
          <t>Вареные колбасы</t>
        </is>
      </c>
      <c r="B153" s="800" t="n"/>
      <c r="C153" s="800" t="n"/>
      <c r="D153" s="800" t="n"/>
      <c r="E153" s="800" t="n"/>
      <c r="F153" s="800" t="n"/>
      <c r="G153" s="800" t="n"/>
      <c r="H153" s="800" t="n"/>
      <c r="I153" s="800" t="n"/>
      <c r="J153" s="800" t="n"/>
      <c r="K153" s="800" t="n"/>
      <c r="L153" s="800" t="n"/>
      <c r="M153" s="800" t="n"/>
      <c r="N153" s="800" t="n"/>
      <c r="O153" s="800" t="n"/>
      <c r="P153" s="800" t="n"/>
      <c r="Q153" s="800" t="n"/>
      <c r="R153" s="800" t="n"/>
      <c r="S153" s="800" t="n"/>
      <c r="T153" s="800" t="n"/>
      <c r="U153" s="800" t="n"/>
      <c r="V153" s="800" t="n"/>
      <c r="W153" s="800" t="n"/>
      <c r="X153" s="800" t="n"/>
      <c r="Y153" s="800" t="n"/>
      <c r="Z153" s="800" t="n"/>
      <c r="AA153" s="799" t="n"/>
      <c r="AB153" s="799" t="n"/>
      <c r="AC153" s="799" t="n"/>
    </row>
    <row r="154" ht="27" customHeight="1">
      <c r="A154" s="54" t="inlineStr">
        <is>
          <t>SU002983</t>
        </is>
      </c>
      <c r="B154" s="54" t="inlineStr">
        <is>
          <t>P003441</t>
        </is>
      </c>
      <c r="C154" s="31" t="n">
        <v>4301011564</v>
      </c>
      <c r="D154" s="782" t="n">
        <v>4680115882577</v>
      </c>
      <c r="E154" s="783" t="n"/>
      <c r="F154" s="1220" t="n">
        <v>0.4</v>
      </c>
      <c r="G154" s="32" t="n">
        <v>8</v>
      </c>
      <c r="H154" s="1220" t="n">
        <v>3.2</v>
      </c>
      <c r="I154" s="1220" t="n">
        <v>3.38</v>
      </c>
      <c r="J154" s="32" t="n">
        <v>182</v>
      </c>
      <c r="K154" s="32" t="inlineStr">
        <is>
          <t>14</t>
        </is>
      </c>
      <c r="L154" s="32" t="n"/>
      <c r="M154" s="33" t="inlineStr">
        <is>
          <t>АК</t>
        </is>
      </c>
      <c r="N154" s="33" t="n"/>
      <c r="O154" s="32" t="n">
        <v>90</v>
      </c>
      <c r="P154" s="994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/>
      </c>
      <c r="Q154" s="785" t="n"/>
      <c r="R154" s="785" t="n"/>
      <c r="S154" s="785" t="n"/>
      <c r="T154" s="786" t="n"/>
      <c r="U154" s="34" t="n"/>
      <c r="V154" s="34" t="n"/>
      <c r="W154" s="35" t="inlineStr">
        <is>
          <t>кг</t>
        </is>
      </c>
      <c r="X154" s="1221" t="n">
        <v>0</v>
      </c>
      <c r="Y154" s="1222">
        <f>IFERROR(IF(X154="",0,CEILING((X154/$H154),1)*$H154),"")</f>
        <v/>
      </c>
      <c r="Z154" s="36">
        <f>IFERROR(IF(Y154=0,"",ROUNDUP(Y154/H154,0)*0.00651),"")</f>
        <v/>
      </c>
      <c r="AA154" s="56" t="n"/>
      <c r="AB154" s="57" t="n"/>
      <c r="AC154" s="219" t="inlineStr">
        <is>
          <t>ЕАЭС N RU Д-RU.РА05.В.96405/23</t>
        </is>
      </c>
      <c r="AG154" s="64" t="n"/>
      <c r="AJ154" s="68" t="n"/>
      <c r="AK154" s="68" t="n">
        <v>0</v>
      </c>
      <c r="BB154" s="220" t="inlineStr">
        <is>
          <t>КИ</t>
        </is>
      </c>
      <c r="BM154" s="64">
        <f>IFERROR(X154*I154/H154,"0")</f>
        <v/>
      </c>
      <c r="BN154" s="64">
        <f>IFERROR(Y154*I154/H154,"0")</f>
        <v/>
      </c>
      <c r="BO154" s="64">
        <f>IFERROR(1/J154*(X154/H154),"0")</f>
        <v/>
      </c>
      <c r="BP154" s="64">
        <f>IFERROR(1/J154*(Y154/H154),"0")</f>
        <v/>
      </c>
    </row>
    <row r="155" ht="27" customHeight="1">
      <c r="A155" s="54" t="inlineStr">
        <is>
          <t>SU002983</t>
        </is>
      </c>
      <c r="B155" s="54" t="inlineStr">
        <is>
          <t>P003437</t>
        </is>
      </c>
      <c r="C155" s="31" t="n">
        <v>4301011562</v>
      </c>
      <c r="D155" s="782" t="n">
        <v>4680115882577</v>
      </c>
      <c r="E155" s="783" t="n"/>
      <c r="F155" s="1220" t="n">
        <v>0.4</v>
      </c>
      <c r="G155" s="32" t="n">
        <v>8</v>
      </c>
      <c r="H155" s="1220" t="n">
        <v>3.2</v>
      </c>
      <c r="I155" s="1220" t="n">
        <v>3.38</v>
      </c>
      <c r="J155" s="32" t="n">
        <v>182</v>
      </c>
      <c r="K155" s="32" t="inlineStr">
        <is>
          <t>14</t>
        </is>
      </c>
      <c r="L155" s="32" t="n"/>
      <c r="M155" s="33" t="inlineStr">
        <is>
          <t>АК</t>
        </is>
      </c>
      <c r="N155" s="33" t="n"/>
      <c r="O155" s="32" t="n">
        <v>90</v>
      </c>
      <c r="P155" s="1198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/>
      </c>
      <c r="Q155" s="785" t="n"/>
      <c r="R155" s="785" t="n"/>
      <c r="S155" s="785" t="n"/>
      <c r="T155" s="786" t="n"/>
      <c r="U155" s="34" t="n"/>
      <c r="V155" s="34" t="n"/>
      <c r="W155" s="35" t="inlineStr">
        <is>
          <t>кг</t>
        </is>
      </c>
      <c r="X155" s="1221" t="n">
        <v>0</v>
      </c>
      <c r="Y155" s="1222">
        <f>IFERROR(IF(X155="",0,CEILING((X155/$H155),1)*$H155),"")</f>
        <v/>
      </c>
      <c r="Z155" s="36">
        <f>IFERROR(IF(Y155=0,"",ROUNDUP(Y155/H155,0)*0.00651),"")</f>
        <v/>
      </c>
      <c r="AA155" s="56" t="n"/>
      <c r="AB155" s="57" t="n"/>
      <c r="AC155" s="221" t="inlineStr">
        <is>
          <t>ЕАЭС N RU Д-RU.РА05.В.96405/23</t>
        </is>
      </c>
      <c r="AG155" s="64" t="n"/>
      <c r="AJ155" s="68" t="n"/>
      <c r="AK155" s="68" t="n">
        <v>0</v>
      </c>
      <c r="BB155" s="222" t="inlineStr">
        <is>
          <t>КИ</t>
        </is>
      </c>
      <c r="BM155" s="64">
        <f>IFERROR(X155*I155/H155,"0")</f>
        <v/>
      </c>
      <c r="BN155" s="64">
        <f>IFERROR(Y155*I155/H155,"0")</f>
        <v/>
      </c>
      <c r="BO155" s="64">
        <f>IFERROR(1/J155*(X155/H155),"0")</f>
        <v/>
      </c>
      <c r="BP155" s="64">
        <f>IFERROR(1/J155*(Y155/H155),"0")</f>
        <v/>
      </c>
    </row>
    <row r="156">
      <c r="A156" s="801" t="n"/>
      <c r="B156" s="800" t="n"/>
      <c r="C156" s="800" t="n"/>
      <c r="D156" s="800" t="n"/>
      <c r="E156" s="800" t="n"/>
      <c r="F156" s="800" t="n"/>
      <c r="G156" s="800" t="n"/>
      <c r="H156" s="800" t="n"/>
      <c r="I156" s="800" t="n"/>
      <c r="J156" s="800" t="n"/>
      <c r="K156" s="800" t="n"/>
      <c r="L156" s="800" t="n"/>
      <c r="M156" s="800" t="n"/>
      <c r="N156" s="800" t="n"/>
      <c r="O156" s="802" t="n"/>
      <c r="P156" s="796" t="inlineStr">
        <is>
          <t>Итого</t>
        </is>
      </c>
      <c r="Q156" s="793" t="n"/>
      <c r="R156" s="793" t="n"/>
      <c r="S156" s="793" t="n"/>
      <c r="T156" s="793" t="n"/>
      <c r="U156" s="793" t="n"/>
      <c r="V156" s="794" t="n"/>
      <c r="W156" s="37" t="inlineStr">
        <is>
          <t>кор</t>
        </is>
      </c>
      <c r="X156" s="1223">
        <f>IFERROR(X154/H154,"0")+IFERROR(X155/H155,"0")</f>
        <v/>
      </c>
      <c r="Y156" s="1223">
        <f>IFERROR(Y154/H154,"0")+IFERROR(Y155/H155,"0")</f>
        <v/>
      </c>
      <c r="Z156" s="1223">
        <f>IFERROR(IF(Z154="",0,Z154),"0")+IFERROR(IF(Z155="",0,Z155),"0")</f>
        <v/>
      </c>
      <c r="AA156" s="1224" t="n"/>
      <c r="AB156" s="1224" t="n"/>
      <c r="AC156" s="1224" t="n"/>
    </row>
    <row r="157">
      <c r="A157" s="800" t="n"/>
      <c r="B157" s="800" t="n"/>
      <c r="C157" s="800" t="n"/>
      <c r="D157" s="800" t="n"/>
      <c r="E157" s="800" t="n"/>
      <c r="F157" s="800" t="n"/>
      <c r="G157" s="800" t="n"/>
      <c r="H157" s="800" t="n"/>
      <c r="I157" s="800" t="n"/>
      <c r="J157" s="800" t="n"/>
      <c r="K157" s="800" t="n"/>
      <c r="L157" s="800" t="n"/>
      <c r="M157" s="800" t="n"/>
      <c r="N157" s="800" t="n"/>
      <c r="O157" s="802" t="n"/>
      <c r="P157" s="796" t="inlineStr">
        <is>
          <t>Итого</t>
        </is>
      </c>
      <c r="Q157" s="793" t="n"/>
      <c r="R157" s="793" t="n"/>
      <c r="S157" s="793" t="n"/>
      <c r="T157" s="793" t="n"/>
      <c r="U157" s="793" t="n"/>
      <c r="V157" s="794" t="n"/>
      <c r="W157" s="37" t="inlineStr">
        <is>
          <t>кг</t>
        </is>
      </c>
      <c r="X157" s="1223">
        <f>IFERROR(SUM(X154:X155),"0")</f>
        <v/>
      </c>
      <c r="Y157" s="1223">
        <f>IFERROR(SUM(Y154:Y155),"0")</f>
        <v/>
      </c>
      <c r="Z157" s="37" t="n"/>
      <c r="AA157" s="1224" t="n"/>
      <c r="AB157" s="1224" t="n"/>
      <c r="AC157" s="1224" t="n"/>
    </row>
    <row r="158" ht="14.25" customHeight="1">
      <c r="A158" s="799" t="inlineStr">
        <is>
          <t>Копченые колбасы</t>
        </is>
      </c>
      <c r="B158" s="800" t="n"/>
      <c r="C158" s="800" t="n"/>
      <c r="D158" s="800" t="n"/>
      <c r="E158" s="800" t="n"/>
      <c r="F158" s="800" t="n"/>
      <c r="G158" s="800" t="n"/>
      <c r="H158" s="800" t="n"/>
      <c r="I158" s="800" t="n"/>
      <c r="J158" s="800" t="n"/>
      <c r="K158" s="800" t="n"/>
      <c r="L158" s="800" t="n"/>
      <c r="M158" s="800" t="n"/>
      <c r="N158" s="800" t="n"/>
      <c r="O158" s="800" t="n"/>
      <c r="P158" s="800" t="n"/>
      <c r="Q158" s="800" t="n"/>
      <c r="R158" s="800" t="n"/>
      <c r="S158" s="800" t="n"/>
      <c r="T158" s="800" t="n"/>
      <c r="U158" s="800" t="n"/>
      <c r="V158" s="800" t="n"/>
      <c r="W158" s="800" t="n"/>
      <c r="X158" s="800" t="n"/>
      <c r="Y158" s="800" t="n"/>
      <c r="Z158" s="800" t="n"/>
      <c r="AA158" s="799" t="n"/>
      <c r="AB158" s="799" t="n"/>
      <c r="AC158" s="799" t="n"/>
    </row>
    <row r="159" ht="27" customHeight="1">
      <c r="A159" s="54" t="inlineStr">
        <is>
          <t>SU002985</t>
        </is>
      </c>
      <c r="B159" s="54" t="inlineStr">
        <is>
          <t>P003439</t>
        </is>
      </c>
      <c r="C159" s="31" t="n">
        <v>4301031234</v>
      </c>
      <c r="D159" s="782" t="n">
        <v>4680115883444</v>
      </c>
      <c r="E159" s="783" t="n"/>
      <c r="F159" s="1220" t="n">
        <v>0.35</v>
      </c>
      <c r="G159" s="32" t="n">
        <v>8</v>
      </c>
      <c r="H159" s="1220" t="n">
        <v>2.8</v>
      </c>
      <c r="I159" s="1220" t="n">
        <v>3.068</v>
      </c>
      <c r="J159" s="32" t="n">
        <v>182</v>
      </c>
      <c r="K159" s="32" t="inlineStr">
        <is>
          <t>14</t>
        </is>
      </c>
      <c r="L159" s="32" t="n"/>
      <c r="M159" s="33" t="inlineStr">
        <is>
          <t>АК</t>
        </is>
      </c>
      <c r="N159" s="33" t="n"/>
      <c r="O159" s="32" t="n">
        <v>90</v>
      </c>
      <c r="P159" s="1218">
        <f>HYPERLINK("https://abi.ru/products/Охлажденные/Вязанка/Халяль/Копченые колбасы/P003439/","П/к колбасы «Аль-Ислами халяль» ф/в 0,35 фиброуз ТМ «Вязанка»")</f>
        <v/>
      </c>
      <c r="Q159" s="785" t="n"/>
      <c r="R159" s="785" t="n"/>
      <c r="S159" s="785" t="n"/>
      <c r="T159" s="786" t="n"/>
      <c r="U159" s="34" t="n"/>
      <c r="V159" s="34" t="n"/>
      <c r="W159" s="35" t="inlineStr">
        <is>
          <t>кг</t>
        </is>
      </c>
      <c r="X159" s="1221" t="n">
        <v>0</v>
      </c>
      <c r="Y159" s="1222">
        <f>IFERROR(IF(X159="",0,CEILING((X159/$H159),1)*$H159),"")</f>
        <v/>
      </c>
      <c r="Z159" s="36">
        <f>IFERROR(IF(Y159=0,"",ROUNDUP(Y159/H159,0)*0.00651),"")</f>
        <v/>
      </c>
      <c r="AA159" s="56" t="n"/>
      <c r="AB159" s="57" t="n"/>
      <c r="AC159" s="223" t="inlineStr">
        <is>
          <t>ЕАЭС N RU Д-RU.РА08.В.16764/23</t>
        </is>
      </c>
      <c r="AG159" s="64" t="n"/>
      <c r="AJ159" s="68" t="n"/>
      <c r="AK159" s="68" t="n">
        <v>0</v>
      </c>
      <c r="BB159" s="224" t="inlineStr">
        <is>
          <t>КИ</t>
        </is>
      </c>
      <c r="BM159" s="64">
        <f>IFERROR(X159*I159/H159,"0")</f>
        <v/>
      </c>
      <c r="BN159" s="64">
        <f>IFERROR(Y159*I159/H159,"0")</f>
        <v/>
      </c>
      <c r="BO159" s="64">
        <f>IFERROR(1/J159*(X159/H159),"0")</f>
        <v/>
      </c>
      <c r="BP159" s="64">
        <f>IFERROR(1/J159*(Y159/H159),"0")</f>
        <v/>
      </c>
    </row>
    <row r="160" ht="27" customHeight="1">
      <c r="A160" s="54" t="inlineStr">
        <is>
          <t>SU002985</t>
        </is>
      </c>
      <c r="B160" s="54" t="inlineStr">
        <is>
          <t>P003442</t>
        </is>
      </c>
      <c r="C160" s="31" t="n">
        <v>4301031235</v>
      </c>
      <c r="D160" s="782" t="n">
        <v>4680115883444</v>
      </c>
      <c r="E160" s="783" t="n"/>
      <c r="F160" s="1220" t="n">
        <v>0.35</v>
      </c>
      <c r="G160" s="32" t="n">
        <v>8</v>
      </c>
      <c r="H160" s="1220" t="n">
        <v>2.8</v>
      </c>
      <c r="I160" s="1220" t="n">
        <v>3.068</v>
      </c>
      <c r="J160" s="32" t="n">
        <v>182</v>
      </c>
      <c r="K160" s="32" t="inlineStr">
        <is>
          <t>14</t>
        </is>
      </c>
      <c r="L160" s="32" t="n"/>
      <c r="M160" s="33" t="inlineStr">
        <is>
          <t>АК</t>
        </is>
      </c>
      <c r="N160" s="33" t="n"/>
      <c r="O160" s="32" t="n">
        <v>90</v>
      </c>
      <c r="P160" s="1175">
        <f>HYPERLINK("https://abi.ru/products/Охлажденные/Вязанка/Халяль/Копченые колбасы/P003442/","П/к колбасы «Аль-Ислами халяль» ф/в 0,35 фиброуз ТМ «Вязанка»")</f>
        <v/>
      </c>
      <c r="Q160" s="785" t="n"/>
      <c r="R160" s="785" t="n"/>
      <c r="S160" s="785" t="n"/>
      <c r="T160" s="786" t="n"/>
      <c r="U160" s="34" t="n"/>
      <c r="V160" s="34" t="n"/>
      <c r="W160" s="35" t="inlineStr">
        <is>
          <t>кг</t>
        </is>
      </c>
      <c r="X160" s="1221" t="n">
        <v>0</v>
      </c>
      <c r="Y160" s="1222">
        <f>IFERROR(IF(X160="",0,CEILING((X160/$H160),1)*$H160),"")</f>
        <v/>
      </c>
      <c r="Z160" s="36">
        <f>IFERROR(IF(Y160=0,"",ROUNDUP(Y160/H160,0)*0.00651),"")</f>
        <v/>
      </c>
      <c r="AA160" s="56" t="n"/>
      <c r="AB160" s="57" t="n"/>
      <c r="AC160" s="225" t="inlineStr">
        <is>
          <t>ЕАЭС N RU Д-RU.РА08.В.16764/23</t>
        </is>
      </c>
      <c r="AG160" s="64" t="n"/>
      <c r="AJ160" s="68" t="n"/>
      <c r="AK160" s="68" t="n">
        <v>0</v>
      </c>
      <c r="BB160" s="226" t="inlineStr">
        <is>
          <t>КИ</t>
        </is>
      </c>
      <c r="BM160" s="64">
        <f>IFERROR(X160*I160/H160,"0")</f>
        <v/>
      </c>
      <c r="BN160" s="64">
        <f>IFERROR(Y160*I160/H160,"0")</f>
        <v/>
      </c>
      <c r="BO160" s="64">
        <f>IFERROR(1/J160*(X160/H160),"0")</f>
        <v/>
      </c>
      <c r="BP160" s="64">
        <f>IFERROR(1/J160*(Y160/H160),"0")</f>
        <v/>
      </c>
    </row>
    <row r="161">
      <c r="A161" s="801" t="n"/>
      <c r="B161" s="800" t="n"/>
      <c r="C161" s="800" t="n"/>
      <c r="D161" s="800" t="n"/>
      <c r="E161" s="800" t="n"/>
      <c r="F161" s="800" t="n"/>
      <c r="G161" s="800" t="n"/>
      <c r="H161" s="800" t="n"/>
      <c r="I161" s="800" t="n"/>
      <c r="J161" s="800" t="n"/>
      <c r="K161" s="800" t="n"/>
      <c r="L161" s="800" t="n"/>
      <c r="M161" s="800" t="n"/>
      <c r="N161" s="800" t="n"/>
      <c r="O161" s="802" t="n"/>
      <c r="P161" s="796" t="inlineStr">
        <is>
          <t>Итого</t>
        </is>
      </c>
      <c r="Q161" s="793" t="n"/>
      <c r="R161" s="793" t="n"/>
      <c r="S161" s="793" t="n"/>
      <c r="T161" s="793" t="n"/>
      <c r="U161" s="793" t="n"/>
      <c r="V161" s="794" t="n"/>
      <c r="W161" s="37" t="inlineStr">
        <is>
          <t>кор</t>
        </is>
      </c>
      <c r="X161" s="1223">
        <f>IFERROR(X159/H159,"0")+IFERROR(X160/H160,"0")</f>
        <v/>
      </c>
      <c r="Y161" s="1223">
        <f>IFERROR(Y159/H159,"0")+IFERROR(Y160/H160,"0")</f>
        <v/>
      </c>
      <c r="Z161" s="1223">
        <f>IFERROR(IF(Z159="",0,Z159),"0")+IFERROR(IF(Z160="",0,Z160),"0")</f>
        <v/>
      </c>
      <c r="AA161" s="1224" t="n"/>
      <c r="AB161" s="1224" t="n"/>
      <c r="AC161" s="1224" t="n"/>
    </row>
    <row r="162">
      <c r="A162" s="800" t="n"/>
      <c r="B162" s="800" t="n"/>
      <c r="C162" s="800" t="n"/>
      <c r="D162" s="800" t="n"/>
      <c r="E162" s="800" t="n"/>
      <c r="F162" s="800" t="n"/>
      <c r="G162" s="800" t="n"/>
      <c r="H162" s="800" t="n"/>
      <c r="I162" s="800" t="n"/>
      <c r="J162" s="800" t="n"/>
      <c r="K162" s="800" t="n"/>
      <c r="L162" s="800" t="n"/>
      <c r="M162" s="800" t="n"/>
      <c r="N162" s="800" t="n"/>
      <c r="O162" s="802" t="n"/>
      <c r="P162" s="796" t="inlineStr">
        <is>
          <t>Итого</t>
        </is>
      </c>
      <c r="Q162" s="793" t="n"/>
      <c r="R162" s="793" t="n"/>
      <c r="S162" s="793" t="n"/>
      <c r="T162" s="793" t="n"/>
      <c r="U162" s="793" t="n"/>
      <c r="V162" s="794" t="n"/>
      <c r="W162" s="37" t="inlineStr">
        <is>
          <t>кг</t>
        </is>
      </c>
      <c r="X162" s="1223">
        <f>IFERROR(SUM(X159:X160),"0")</f>
        <v/>
      </c>
      <c r="Y162" s="1223">
        <f>IFERROR(SUM(Y159:Y160),"0")</f>
        <v/>
      </c>
      <c r="Z162" s="37" t="n"/>
      <c r="AA162" s="1224" t="n"/>
      <c r="AB162" s="1224" t="n"/>
      <c r="AC162" s="1224" t="n"/>
    </row>
    <row r="163" ht="14.25" customHeight="1">
      <c r="A163" s="799" t="inlineStr">
        <is>
          <t>Сосиски</t>
        </is>
      </c>
      <c r="B163" s="800" t="n"/>
      <c r="C163" s="800" t="n"/>
      <c r="D163" s="800" t="n"/>
      <c r="E163" s="800" t="n"/>
      <c r="F163" s="800" t="n"/>
      <c r="G163" s="800" t="n"/>
      <c r="H163" s="800" t="n"/>
      <c r="I163" s="800" t="n"/>
      <c r="J163" s="800" t="n"/>
      <c r="K163" s="800" t="n"/>
      <c r="L163" s="800" t="n"/>
      <c r="M163" s="800" t="n"/>
      <c r="N163" s="800" t="n"/>
      <c r="O163" s="800" t="n"/>
      <c r="P163" s="800" t="n"/>
      <c r="Q163" s="800" t="n"/>
      <c r="R163" s="800" t="n"/>
      <c r="S163" s="800" t="n"/>
      <c r="T163" s="800" t="n"/>
      <c r="U163" s="800" t="n"/>
      <c r="V163" s="800" t="n"/>
      <c r="W163" s="800" t="n"/>
      <c r="X163" s="800" t="n"/>
      <c r="Y163" s="800" t="n"/>
      <c r="Z163" s="800" t="n"/>
      <c r="AA163" s="799" t="n"/>
      <c r="AB163" s="799" t="n"/>
      <c r="AC163" s="799" t="n"/>
    </row>
    <row r="164" ht="16.5" customHeight="1">
      <c r="A164" s="54" t="inlineStr">
        <is>
          <t>SU002984</t>
        </is>
      </c>
      <c r="B164" s="54" t="inlineStr">
        <is>
          <t>P003440</t>
        </is>
      </c>
      <c r="C164" s="31" t="n">
        <v>4301051477</v>
      </c>
      <c r="D164" s="782" t="n">
        <v>4680115882584</v>
      </c>
      <c r="E164" s="783" t="n"/>
      <c r="F164" s="1220" t="n">
        <v>0.33</v>
      </c>
      <c r="G164" s="32" t="n">
        <v>8</v>
      </c>
      <c r="H164" s="1220" t="n">
        <v>2.64</v>
      </c>
      <c r="I164" s="1220" t="n">
        <v>2.908</v>
      </c>
      <c r="J164" s="32" t="n">
        <v>182</v>
      </c>
      <c r="K164" s="32" t="inlineStr">
        <is>
          <t>14</t>
        </is>
      </c>
      <c r="L164" s="32" t="n"/>
      <c r="M164" s="33" t="inlineStr">
        <is>
          <t>АК</t>
        </is>
      </c>
      <c r="N164" s="33" t="n"/>
      <c r="O164" s="32" t="n">
        <v>60</v>
      </c>
      <c r="P164" s="931">
        <f>HYPERLINK("https://abi.ru/products/Охлажденные/Вязанка/Халяль/Сосиски/P003440/","Сосиски Восточные халяль ТМ Вязанка полиамид в/у ф/в 0,33 кг НД Узбекистан АК")</f>
        <v/>
      </c>
      <c r="Q164" s="785" t="n"/>
      <c r="R164" s="785" t="n"/>
      <c r="S164" s="785" t="n"/>
      <c r="T164" s="786" t="n"/>
      <c r="U164" s="34" t="n"/>
      <c r="V164" s="34" t="n"/>
      <c r="W164" s="35" t="inlineStr">
        <is>
          <t>кг</t>
        </is>
      </c>
      <c r="X164" s="1221" t="n">
        <v>0</v>
      </c>
      <c r="Y164" s="1222">
        <f>IFERROR(IF(X164="",0,CEILING((X164/$H164),1)*$H164),"")</f>
        <v/>
      </c>
      <c r="Z164" s="36">
        <f>IFERROR(IF(Y164=0,"",ROUNDUP(Y164/H164,0)*0.00651),"")</f>
        <v/>
      </c>
      <c r="AA164" s="56" t="n"/>
      <c r="AB164" s="57" t="n"/>
      <c r="AC164" s="227" t="inlineStr">
        <is>
          <t>ЕАЭС N RU Д-RU.РА05.В.96405/23</t>
        </is>
      </c>
      <c r="AG164" s="64" t="n"/>
      <c r="AJ164" s="68" t="n"/>
      <c r="AK164" s="68" t="n">
        <v>0</v>
      </c>
      <c r="BB164" s="228" t="inlineStr">
        <is>
          <t>КИ</t>
        </is>
      </c>
      <c r="BM164" s="64">
        <f>IFERROR(X164*I164/H164,"0")</f>
        <v/>
      </c>
      <c r="BN164" s="64">
        <f>IFERROR(Y164*I164/H164,"0")</f>
        <v/>
      </c>
      <c r="BO164" s="64">
        <f>IFERROR(1/J164*(X164/H164),"0")</f>
        <v/>
      </c>
      <c r="BP164" s="64">
        <f>IFERROR(1/J164*(Y164/H164),"0")</f>
        <v/>
      </c>
    </row>
    <row r="165" ht="16.5" customHeight="1">
      <c r="A165" s="54" t="inlineStr">
        <is>
          <t>SU002984</t>
        </is>
      </c>
      <c r="B165" s="54" t="inlineStr">
        <is>
          <t>P003438</t>
        </is>
      </c>
      <c r="C165" s="31" t="n">
        <v>4301051476</v>
      </c>
      <c r="D165" s="782" t="n">
        <v>4680115882584</v>
      </c>
      <c r="E165" s="783" t="n"/>
      <c r="F165" s="1220" t="n">
        <v>0.33</v>
      </c>
      <c r="G165" s="32" t="n">
        <v>8</v>
      </c>
      <c r="H165" s="1220" t="n">
        <v>2.64</v>
      </c>
      <c r="I165" s="1220" t="n">
        <v>2.908</v>
      </c>
      <c r="J165" s="32" t="n">
        <v>182</v>
      </c>
      <c r="K165" s="32" t="inlineStr">
        <is>
          <t>14</t>
        </is>
      </c>
      <c r="L165" s="32" t="n"/>
      <c r="M165" s="33" t="inlineStr">
        <is>
          <t>АК</t>
        </is>
      </c>
      <c r="N165" s="33" t="n"/>
      <c r="O165" s="32" t="n">
        <v>60</v>
      </c>
      <c r="P165" s="1196">
        <f>HYPERLINK("https://abi.ru/products/Охлажденные/Вязанка/Халяль/Сосиски/P003438/","Сосиски Восточные халяль ТМ Вязанка полиамид в/у ф/в 0,33 кг Казахстан АК")</f>
        <v/>
      </c>
      <c r="Q165" s="785" t="n"/>
      <c r="R165" s="785" t="n"/>
      <c r="S165" s="785" t="n"/>
      <c r="T165" s="786" t="n"/>
      <c r="U165" s="34" t="n"/>
      <c r="V165" s="34" t="n"/>
      <c r="W165" s="35" t="inlineStr">
        <is>
          <t>кг</t>
        </is>
      </c>
      <c r="X165" s="1221" t="n">
        <v>0</v>
      </c>
      <c r="Y165" s="1222">
        <f>IFERROR(IF(X165="",0,CEILING((X165/$H165),1)*$H165),"")</f>
        <v/>
      </c>
      <c r="Z165" s="36">
        <f>IFERROR(IF(Y165=0,"",ROUNDUP(Y165/H165,0)*0.00651),"")</f>
        <v/>
      </c>
      <c r="AA165" s="56" t="n"/>
      <c r="AB165" s="57" t="n"/>
      <c r="AC165" s="229" t="inlineStr">
        <is>
          <t>ЕАЭС N RU Д-RU.РА05.В.96405/23</t>
        </is>
      </c>
      <c r="AG165" s="64" t="n"/>
      <c r="AJ165" s="68" t="n"/>
      <c r="AK165" s="68" t="n">
        <v>0</v>
      </c>
      <c r="BB165" s="230" t="inlineStr">
        <is>
          <t>КИ</t>
        </is>
      </c>
      <c r="BM165" s="64">
        <f>IFERROR(X165*I165/H165,"0")</f>
        <v/>
      </c>
      <c r="BN165" s="64">
        <f>IFERROR(Y165*I165/H165,"0")</f>
        <v/>
      </c>
      <c r="BO165" s="64">
        <f>IFERROR(1/J165*(X165/H165),"0")</f>
        <v/>
      </c>
      <c r="BP165" s="64">
        <f>IFERROR(1/J165*(Y165/H165),"0")</f>
        <v/>
      </c>
    </row>
    <row r="166">
      <c r="A166" s="801" t="n"/>
      <c r="B166" s="800" t="n"/>
      <c r="C166" s="800" t="n"/>
      <c r="D166" s="800" t="n"/>
      <c r="E166" s="800" t="n"/>
      <c r="F166" s="800" t="n"/>
      <c r="G166" s="800" t="n"/>
      <c r="H166" s="800" t="n"/>
      <c r="I166" s="800" t="n"/>
      <c r="J166" s="800" t="n"/>
      <c r="K166" s="800" t="n"/>
      <c r="L166" s="800" t="n"/>
      <c r="M166" s="800" t="n"/>
      <c r="N166" s="800" t="n"/>
      <c r="O166" s="802" t="n"/>
      <c r="P166" s="796" t="inlineStr">
        <is>
          <t>Итого</t>
        </is>
      </c>
      <c r="Q166" s="793" t="n"/>
      <c r="R166" s="793" t="n"/>
      <c r="S166" s="793" t="n"/>
      <c r="T166" s="793" t="n"/>
      <c r="U166" s="793" t="n"/>
      <c r="V166" s="794" t="n"/>
      <c r="W166" s="37" t="inlineStr">
        <is>
          <t>кор</t>
        </is>
      </c>
      <c r="X166" s="1223">
        <f>IFERROR(X164/H164,"0")+IFERROR(X165/H165,"0")</f>
        <v/>
      </c>
      <c r="Y166" s="1223">
        <f>IFERROR(Y164/H164,"0")+IFERROR(Y165/H165,"0")</f>
        <v/>
      </c>
      <c r="Z166" s="1223">
        <f>IFERROR(IF(Z164="",0,Z164),"0")+IFERROR(IF(Z165="",0,Z165),"0")</f>
        <v/>
      </c>
      <c r="AA166" s="1224" t="n"/>
      <c r="AB166" s="1224" t="n"/>
      <c r="AC166" s="1224" t="n"/>
    </row>
    <row r="167">
      <c r="A167" s="800" t="n"/>
      <c r="B167" s="800" t="n"/>
      <c r="C167" s="800" t="n"/>
      <c r="D167" s="800" t="n"/>
      <c r="E167" s="800" t="n"/>
      <c r="F167" s="800" t="n"/>
      <c r="G167" s="800" t="n"/>
      <c r="H167" s="800" t="n"/>
      <c r="I167" s="800" t="n"/>
      <c r="J167" s="800" t="n"/>
      <c r="K167" s="800" t="n"/>
      <c r="L167" s="800" t="n"/>
      <c r="M167" s="800" t="n"/>
      <c r="N167" s="800" t="n"/>
      <c r="O167" s="802" t="n"/>
      <c r="P167" s="796" t="inlineStr">
        <is>
          <t>Итого</t>
        </is>
      </c>
      <c r="Q167" s="793" t="n"/>
      <c r="R167" s="793" t="n"/>
      <c r="S167" s="793" t="n"/>
      <c r="T167" s="793" t="n"/>
      <c r="U167" s="793" t="n"/>
      <c r="V167" s="794" t="n"/>
      <c r="W167" s="37" t="inlineStr">
        <is>
          <t>кг</t>
        </is>
      </c>
      <c r="X167" s="1223">
        <f>IFERROR(SUM(X164:X165),"0")</f>
        <v/>
      </c>
      <c r="Y167" s="1223">
        <f>IFERROR(SUM(Y164:Y165),"0")</f>
        <v/>
      </c>
      <c r="Z167" s="37" t="n"/>
      <c r="AA167" s="1224" t="n"/>
      <c r="AB167" s="1224" t="n"/>
      <c r="AC167" s="1224" t="n"/>
    </row>
    <row r="168" ht="16.5" customHeight="1">
      <c r="A168" s="807" t="inlineStr">
        <is>
          <t>Вязанка</t>
        </is>
      </c>
      <c r="B168" s="800" t="n"/>
      <c r="C168" s="800" t="n"/>
      <c r="D168" s="800" t="n"/>
      <c r="E168" s="800" t="n"/>
      <c r="F168" s="800" t="n"/>
      <c r="G168" s="800" t="n"/>
      <c r="H168" s="800" t="n"/>
      <c r="I168" s="800" t="n"/>
      <c r="J168" s="800" t="n"/>
      <c r="K168" s="800" t="n"/>
      <c r="L168" s="800" t="n"/>
      <c r="M168" s="800" t="n"/>
      <c r="N168" s="800" t="n"/>
      <c r="O168" s="800" t="n"/>
      <c r="P168" s="800" t="n"/>
      <c r="Q168" s="800" t="n"/>
      <c r="R168" s="800" t="n"/>
      <c r="S168" s="800" t="n"/>
      <c r="T168" s="800" t="n"/>
      <c r="U168" s="800" t="n"/>
      <c r="V168" s="800" t="n"/>
      <c r="W168" s="800" t="n"/>
      <c r="X168" s="800" t="n"/>
      <c r="Y168" s="800" t="n"/>
      <c r="Z168" s="800" t="n"/>
      <c r="AA168" s="807" t="n"/>
      <c r="AB168" s="807" t="n"/>
      <c r="AC168" s="807" t="n"/>
    </row>
    <row r="169" ht="14.25" customHeight="1">
      <c r="A169" s="799" t="inlineStr">
        <is>
          <t>Вареные колбасы</t>
        </is>
      </c>
      <c r="B169" s="800" t="n"/>
      <c r="C169" s="800" t="n"/>
      <c r="D169" s="800" t="n"/>
      <c r="E169" s="800" t="n"/>
      <c r="F169" s="800" t="n"/>
      <c r="G169" s="800" t="n"/>
      <c r="H169" s="800" t="n"/>
      <c r="I169" s="800" t="n"/>
      <c r="J169" s="800" t="n"/>
      <c r="K169" s="800" t="n"/>
      <c r="L169" s="800" t="n"/>
      <c r="M169" s="800" t="n"/>
      <c r="N169" s="800" t="n"/>
      <c r="O169" s="800" t="n"/>
      <c r="P169" s="800" t="n"/>
      <c r="Q169" s="800" t="n"/>
      <c r="R169" s="800" t="n"/>
      <c r="S169" s="800" t="n"/>
      <c r="T169" s="800" t="n"/>
      <c r="U169" s="800" t="n"/>
      <c r="V169" s="800" t="n"/>
      <c r="W169" s="800" t="n"/>
      <c r="X169" s="800" t="n"/>
      <c r="Y169" s="800" t="n"/>
      <c r="Z169" s="800" t="n"/>
      <c r="AA169" s="799" t="n"/>
      <c r="AB169" s="799" t="n"/>
      <c r="AC169" s="799" t="n"/>
    </row>
    <row r="170" ht="27" customHeight="1">
      <c r="A170" s="54" t="inlineStr">
        <is>
          <t>SU002312</t>
        </is>
      </c>
      <c r="B170" s="54" t="inlineStr">
        <is>
          <t>P003913</t>
        </is>
      </c>
      <c r="C170" s="31" t="n">
        <v>4301011705</v>
      </c>
      <c r="D170" s="782" t="n">
        <v>4607091384604</v>
      </c>
      <c r="E170" s="783" t="n"/>
      <c r="F170" s="1220" t="n">
        <v>0.4</v>
      </c>
      <c r="G170" s="32" t="n">
        <v>10</v>
      </c>
      <c r="H170" s="1220" t="n">
        <v>4</v>
      </c>
      <c r="I170" s="1220" t="n">
        <v>4.21</v>
      </c>
      <c r="J170" s="32" t="n">
        <v>132</v>
      </c>
      <c r="K170" s="32" t="inlineStr">
        <is>
          <t>12</t>
        </is>
      </c>
      <c r="L170" s="32" t="n"/>
      <c r="M170" s="33" t="inlineStr">
        <is>
          <t>СК1</t>
        </is>
      </c>
      <c r="N170" s="33" t="n"/>
      <c r="O170" s="32" t="n">
        <v>50</v>
      </c>
      <c r="P170" s="1203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/>
      </c>
      <c r="Q170" s="785" t="n"/>
      <c r="R170" s="785" t="n"/>
      <c r="S170" s="785" t="n"/>
      <c r="T170" s="786" t="n"/>
      <c r="U170" s="34" t="n"/>
      <c r="V170" s="34" t="n"/>
      <c r="W170" s="35" t="inlineStr">
        <is>
          <t>кг</t>
        </is>
      </c>
      <c r="X170" s="1221" t="n">
        <v>0</v>
      </c>
      <c r="Y170" s="1222">
        <f>IFERROR(IF(X170="",0,CEILING((X170/$H170),1)*$H170),"")</f>
        <v/>
      </c>
      <c r="Z170" s="36">
        <f>IFERROR(IF(Y170=0,"",ROUNDUP(Y170/H170,0)*0.00902),"")</f>
        <v/>
      </c>
      <c r="AA170" s="56" t="n"/>
      <c r="AB170" s="57" t="n"/>
      <c r="AC170" s="231" t="inlineStr">
        <is>
          <t>ЕАЭС N RU Д-RU.РА09.В.81376/23</t>
        </is>
      </c>
      <c r="AG170" s="64" t="n"/>
      <c r="AJ170" s="68" t="n"/>
      <c r="AK170" s="68" t="n">
        <v>0</v>
      </c>
      <c r="BB170" s="232" t="inlineStr">
        <is>
          <t>КИ</t>
        </is>
      </c>
      <c r="BM170" s="64">
        <f>IFERROR(X170*I170/H170,"0")</f>
        <v/>
      </c>
      <c r="BN170" s="64">
        <f>IFERROR(Y170*I170/H170,"0")</f>
        <v/>
      </c>
      <c r="BO170" s="64">
        <f>IFERROR(1/J170*(X170/H170),"0")</f>
        <v/>
      </c>
      <c r="BP170" s="64">
        <f>IFERROR(1/J170*(Y170/H170),"0")</f>
        <v/>
      </c>
    </row>
    <row r="171">
      <c r="A171" s="801" t="n"/>
      <c r="B171" s="800" t="n"/>
      <c r="C171" s="800" t="n"/>
      <c r="D171" s="800" t="n"/>
      <c r="E171" s="800" t="n"/>
      <c r="F171" s="800" t="n"/>
      <c r="G171" s="800" t="n"/>
      <c r="H171" s="800" t="n"/>
      <c r="I171" s="800" t="n"/>
      <c r="J171" s="800" t="n"/>
      <c r="K171" s="800" t="n"/>
      <c r="L171" s="800" t="n"/>
      <c r="M171" s="800" t="n"/>
      <c r="N171" s="800" t="n"/>
      <c r="O171" s="802" t="n"/>
      <c r="P171" s="796" t="inlineStr">
        <is>
          <t>Итого</t>
        </is>
      </c>
      <c r="Q171" s="793" t="n"/>
      <c r="R171" s="793" t="n"/>
      <c r="S171" s="793" t="n"/>
      <c r="T171" s="793" t="n"/>
      <c r="U171" s="793" t="n"/>
      <c r="V171" s="794" t="n"/>
      <c r="W171" s="37" t="inlineStr">
        <is>
          <t>кор</t>
        </is>
      </c>
      <c r="X171" s="1223">
        <f>IFERROR(X170/H170,"0")</f>
        <v/>
      </c>
      <c r="Y171" s="1223">
        <f>IFERROR(Y170/H170,"0")</f>
        <v/>
      </c>
      <c r="Z171" s="1223">
        <f>IFERROR(IF(Z170="",0,Z170),"0")</f>
        <v/>
      </c>
      <c r="AA171" s="1224" t="n"/>
      <c r="AB171" s="1224" t="n"/>
      <c r="AC171" s="1224" t="n"/>
    </row>
    <row r="172">
      <c r="A172" s="800" t="n"/>
      <c r="B172" s="800" t="n"/>
      <c r="C172" s="800" t="n"/>
      <c r="D172" s="800" t="n"/>
      <c r="E172" s="800" t="n"/>
      <c r="F172" s="800" t="n"/>
      <c r="G172" s="800" t="n"/>
      <c r="H172" s="800" t="n"/>
      <c r="I172" s="800" t="n"/>
      <c r="J172" s="800" t="n"/>
      <c r="K172" s="800" t="n"/>
      <c r="L172" s="800" t="n"/>
      <c r="M172" s="800" t="n"/>
      <c r="N172" s="800" t="n"/>
      <c r="O172" s="802" t="n"/>
      <c r="P172" s="796" t="inlineStr">
        <is>
          <t>Итого</t>
        </is>
      </c>
      <c r="Q172" s="793" t="n"/>
      <c r="R172" s="793" t="n"/>
      <c r="S172" s="793" t="n"/>
      <c r="T172" s="793" t="n"/>
      <c r="U172" s="793" t="n"/>
      <c r="V172" s="794" t="n"/>
      <c r="W172" s="37" t="inlineStr">
        <is>
          <t>кг</t>
        </is>
      </c>
      <c r="X172" s="1223">
        <f>IFERROR(SUM(X170:X170),"0")</f>
        <v/>
      </c>
      <c r="Y172" s="1223">
        <f>IFERROR(SUM(Y170:Y170),"0")</f>
        <v/>
      </c>
      <c r="Z172" s="37" t="n"/>
      <c r="AA172" s="1224" t="n"/>
      <c r="AB172" s="1224" t="n"/>
      <c r="AC172" s="1224" t="n"/>
    </row>
    <row r="173" ht="14.25" customHeight="1">
      <c r="A173" s="799" t="inlineStr">
        <is>
          <t>Копченые колбасы</t>
        </is>
      </c>
      <c r="B173" s="800" t="n"/>
      <c r="C173" s="800" t="n"/>
      <c r="D173" s="800" t="n"/>
      <c r="E173" s="800" t="n"/>
      <c r="F173" s="800" t="n"/>
      <c r="G173" s="800" t="n"/>
      <c r="H173" s="800" t="n"/>
      <c r="I173" s="800" t="n"/>
      <c r="J173" s="800" t="n"/>
      <c r="K173" s="800" t="n"/>
      <c r="L173" s="800" t="n"/>
      <c r="M173" s="800" t="n"/>
      <c r="N173" s="800" t="n"/>
      <c r="O173" s="800" t="n"/>
      <c r="P173" s="800" t="n"/>
      <c r="Q173" s="800" t="n"/>
      <c r="R173" s="800" t="n"/>
      <c r="S173" s="800" t="n"/>
      <c r="T173" s="800" t="n"/>
      <c r="U173" s="800" t="n"/>
      <c r="V173" s="800" t="n"/>
      <c r="W173" s="800" t="n"/>
      <c r="X173" s="800" t="n"/>
      <c r="Y173" s="800" t="n"/>
      <c r="Z173" s="800" t="n"/>
      <c r="AA173" s="799" t="n"/>
      <c r="AB173" s="799" t="n"/>
      <c r="AC173" s="799" t="n"/>
    </row>
    <row r="174" ht="16.5" customHeight="1">
      <c r="A174" s="54" t="inlineStr">
        <is>
          <t>SU000064</t>
        </is>
      </c>
      <c r="B174" s="54" t="inlineStr">
        <is>
          <t>P001841</t>
        </is>
      </c>
      <c r="C174" s="31" t="n">
        <v>4301030895</v>
      </c>
      <c r="D174" s="782" t="n">
        <v>4607091387667</v>
      </c>
      <c r="E174" s="783" t="n"/>
      <c r="F174" s="1220" t="n">
        <v>0.9</v>
      </c>
      <c r="G174" s="32" t="n">
        <v>10</v>
      </c>
      <c r="H174" s="1220" t="n">
        <v>9</v>
      </c>
      <c r="I174" s="1220" t="n">
        <v>9.630000000000001</v>
      </c>
      <c r="J174" s="32" t="n">
        <v>56</v>
      </c>
      <c r="K174" s="32" t="inlineStr">
        <is>
          <t>8</t>
        </is>
      </c>
      <c r="L174" s="32" t="n"/>
      <c r="M174" s="33" t="inlineStr">
        <is>
          <t>СК1</t>
        </is>
      </c>
      <c r="N174" s="33" t="n"/>
      <c r="O174" s="32" t="n">
        <v>40</v>
      </c>
      <c r="P174" s="816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Q174" s="785" t="n"/>
      <c r="R174" s="785" t="n"/>
      <c r="S174" s="785" t="n"/>
      <c r="T174" s="786" t="n"/>
      <c r="U174" s="34" t="n"/>
      <c r="V174" s="34" t="n"/>
      <c r="W174" s="35" t="inlineStr">
        <is>
          <t>кг</t>
        </is>
      </c>
      <c r="X174" s="1221" t="n">
        <v>0</v>
      </c>
      <c r="Y174" s="1222">
        <f>IFERROR(IF(X174="",0,CEILING((X174/$H174),1)*$H174),"")</f>
        <v/>
      </c>
      <c r="Z174" s="36">
        <f>IFERROR(IF(Y174=0,"",ROUNDUP(Y174/H174,0)*0.02175),"")</f>
        <v/>
      </c>
      <c r="AA174" s="56" t="n"/>
      <c r="AB174" s="57" t="n"/>
      <c r="AC174" s="233" t="inlineStr">
        <is>
          <t>ЕАЭС N RU Д-RU.АБ75.В.01119</t>
        </is>
      </c>
      <c r="AG174" s="64" t="n"/>
      <c r="AJ174" s="68" t="n"/>
      <c r="AK174" s="68" t="n">
        <v>0</v>
      </c>
      <c r="BB174" s="234" t="inlineStr">
        <is>
          <t>КИ</t>
        </is>
      </c>
      <c r="BM174" s="64">
        <f>IFERROR(X174*I174/H174,"0")</f>
        <v/>
      </c>
      <c r="BN174" s="64">
        <f>IFERROR(Y174*I174/H174,"0")</f>
        <v/>
      </c>
      <c r="BO174" s="64">
        <f>IFERROR(1/J174*(X174/H174),"0")</f>
        <v/>
      </c>
      <c r="BP174" s="64">
        <f>IFERROR(1/J174*(Y174/H174),"0")</f>
        <v/>
      </c>
    </row>
    <row r="175" ht="27" customHeight="1">
      <c r="A175" s="54" t="inlineStr">
        <is>
          <t>SU000664</t>
        </is>
      </c>
      <c r="B175" s="54" t="inlineStr">
        <is>
          <t>P002177</t>
        </is>
      </c>
      <c r="C175" s="31" t="n">
        <v>4301030961</v>
      </c>
      <c r="D175" s="782" t="n">
        <v>4607091387636</v>
      </c>
      <c r="E175" s="783" t="n"/>
      <c r="F175" s="1220" t="n">
        <v>0.7</v>
      </c>
      <c r="G175" s="32" t="n">
        <v>6</v>
      </c>
      <c r="H175" s="1220" t="n">
        <v>4.2</v>
      </c>
      <c r="I175" s="1220" t="n">
        <v>4.5</v>
      </c>
      <c r="J175" s="32" t="n">
        <v>132</v>
      </c>
      <c r="K175" s="32" t="inlineStr">
        <is>
          <t>12</t>
        </is>
      </c>
      <c r="L175" s="32" t="n"/>
      <c r="M175" s="33" t="inlineStr">
        <is>
          <t>СК2</t>
        </is>
      </c>
      <c r="N175" s="33" t="n"/>
      <c r="O175" s="32" t="n">
        <v>40</v>
      </c>
      <c r="P175" s="939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Q175" s="785" t="n"/>
      <c r="R175" s="785" t="n"/>
      <c r="S175" s="785" t="n"/>
      <c r="T175" s="786" t="n"/>
      <c r="U175" s="34" t="n"/>
      <c r="V175" s="34" t="n"/>
      <c r="W175" s="35" t="inlineStr">
        <is>
          <t>кг</t>
        </is>
      </c>
      <c r="X175" s="1221" t="n">
        <v>0</v>
      </c>
      <c r="Y175" s="1222">
        <f>IFERROR(IF(X175="",0,CEILING((X175/$H175),1)*$H175),"")</f>
        <v/>
      </c>
      <c r="Z175" s="36">
        <f>IFERROR(IF(Y175=0,"",ROUNDUP(Y175/H175,0)*0.00902),"")</f>
        <v/>
      </c>
      <c r="AA175" s="56" t="n"/>
      <c r="AB175" s="57" t="n"/>
      <c r="AC175" s="235" t="inlineStr">
        <is>
          <t>ЕАЭС N RU Д-RU.РА02.В.62668/22</t>
        </is>
      </c>
      <c r="AG175" s="64" t="n"/>
      <c r="AJ175" s="68" t="n"/>
      <c r="AK175" s="68" t="n">
        <v>0</v>
      </c>
      <c r="BB175" s="236" t="inlineStr">
        <is>
          <t>КИ</t>
        </is>
      </c>
      <c r="BM175" s="64">
        <f>IFERROR(X175*I175/H175,"0")</f>
        <v/>
      </c>
      <c r="BN175" s="64">
        <f>IFERROR(Y175*I175/H175,"0")</f>
        <v/>
      </c>
      <c r="BO175" s="64">
        <f>IFERROR(1/J175*(X175/H175),"0")</f>
        <v/>
      </c>
      <c r="BP175" s="64">
        <f>IFERROR(1/J175*(Y175/H175),"0")</f>
        <v/>
      </c>
    </row>
    <row r="176" ht="16.5" customHeight="1">
      <c r="A176" s="54" t="inlineStr">
        <is>
          <t>SU000097</t>
        </is>
      </c>
      <c r="B176" s="54" t="inlineStr">
        <is>
          <t>P002179</t>
        </is>
      </c>
      <c r="C176" s="31" t="n">
        <v>4301030963</v>
      </c>
      <c r="D176" s="782" t="n">
        <v>4607091382426</v>
      </c>
      <c r="E176" s="783" t="n"/>
      <c r="F176" s="1220" t="n">
        <v>0.9</v>
      </c>
      <c r="G176" s="32" t="n">
        <v>10</v>
      </c>
      <c r="H176" s="1220" t="n">
        <v>9</v>
      </c>
      <c r="I176" s="1220" t="n">
        <v>9.630000000000001</v>
      </c>
      <c r="J176" s="32" t="n">
        <v>56</v>
      </c>
      <c r="K176" s="32" t="inlineStr">
        <is>
          <t>8</t>
        </is>
      </c>
      <c r="L176" s="32" t="n"/>
      <c r="M176" s="33" t="inlineStr">
        <is>
          <t>СК2</t>
        </is>
      </c>
      <c r="N176" s="33" t="n"/>
      <c r="O176" s="32" t="n">
        <v>40</v>
      </c>
      <c r="P176" s="908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Q176" s="785" t="n"/>
      <c r="R176" s="785" t="n"/>
      <c r="S176" s="785" t="n"/>
      <c r="T176" s="786" t="n"/>
      <c r="U176" s="34" t="n"/>
      <c r="V176" s="34" t="n"/>
      <c r="W176" s="35" t="inlineStr">
        <is>
          <t>кг</t>
        </is>
      </c>
      <c r="X176" s="1221" t="n">
        <v>0</v>
      </c>
      <c r="Y176" s="1222">
        <f>IFERROR(IF(X176="",0,CEILING((X176/$H176),1)*$H176),"")</f>
        <v/>
      </c>
      <c r="Z176" s="36">
        <f>IFERROR(IF(Y176=0,"",ROUNDUP(Y176/H176,0)*0.02175),"")</f>
        <v/>
      </c>
      <c r="AA176" s="56" t="n"/>
      <c r="AB176" s="57" t="n"/>
      <c r="AC176" s="237" t="inlineStr">
        <is>
          <t>ЕАЭС N RU Д-RU.РА02.В.56867/22</t>
        </is>
      </c>
      <c r="AG176" s="64" t="n"/>
      <c r="AJ176" s="68" t="n"/>
      <c r="AK176" s="68" t="n">
        <v>0</v>
      </c>
      <c r="BB176" s="238" t="inlineStr">
        <is>
          <t>КИ</t>
        </is>
      </c>
      <c r="BM176" s="64">
        <f>IFERROR(X176*I176/H176,"0")</f>
        <v/>
      </c>
      <c r="BN176" s="64">
        <f>IFERROR(Y176*I176/H176,"0")</f>
        <v/>
      </c>
      <c r="BO176" s="64">
        <f>IFERROR(1/J176*(X176/H176),"0")</f>
        <v/>
      </c>
      <c r="BP176" s="64">
        <f>IFERROR(1/J176*(Y176/H176),"0")</f>
        <v/>
      </c>
    </row>
    <row r="177" ht="27" customHeight="1">
      <c r="A177" s="54" t="inlineStr">
        <is>
          <t>SU000665</t>
        </is>
      </c>
      <c r="B177" s="54" t="inlineStr">
        <is>
          <t>P002178</t>
        </is>
      </c>
      <c r="C177" s="31" t="n">
        <v>4301030962</v>
      </c>
      <c r="D177" s="782" t="n">
        <v>4607091386547</v>
      </c>
      <c r="E177" s="783" t="n"/>
      <c r="F177" s="1220" t="n">
        <v>0.35</v>
      </c>
      <c r="G177" s="32" t="n">
        <v>8</v>
      </c>
      <c r="H177" s="1220" t="n">
        <v>2.8</v>
      </c>
      <c r="I177" s="1220" t="n">
        <v>2.94</v>
      </c>
      <c r="J177" s="32" t="n">
        <v>234</v>
      </c>
      <c r="K177" s="32" t="inlineStr">
        <is>
          <t>18</t>
        </is>
      </c>
      <c r="L177" s="32" t="n"/>
      <c r="M177" s="33" t="inlineStr">
        <is>
          <t>СК2</t>
        </is>
      </c>
      <c r="N177" s="33" t="n"/>
      <c r="O177" s="32" t="n">
        <v>40</v>
      </c>
      <c r="P177" s="925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Q177" s="785" t="n"/>
      <c r="R177" s="785" t="n"/>
      <c r="S177" s="785" t="n"/>
      <c r="T177" s="786" t="n"/>
      <c r="U177" s="34" t="n"/>
      <c r="V177" s="34" t="n"/>
      <c r="W177" s="35" t="inlineStr">
        <is>
          <t>кг</t>
        </is>
      </c>
      <c r="X177" s="1221" t="n">
        <v>0</v>
      </c>
      <c r="Y177" s="1222">
        <f>IFERROR(IF(X177="",0,CEILING((X177/$H177),1)*$H177),"")</f>
        <v/>
      </c>
      <c r="Z177" s="36">
        <f>IFERROR(IF(Y177=0,"",ROUNDUP(Y177/H177,0)*0.00502),"")</f>
        <v/>
      </c>
      <c r="AA177" s="56" t="n"/>
      <c r="AB177" s="57" t="n"/>
      <c r="AC177" s="239" t="inlineStr">
        <is>
          <t>ЕАЭС N RU Д-RU.РА02.В.62668/22</t>
        </is>
      </c>
      <c r="AG177" s="64" t="n"/>
      <c r="AJ177" s="68" t="n"/>
      <c r="AK177" s="68" t="n">
        <v>0</v>
      </c>
      <c r="BB177" s="240" t="inlineStr">
        <is>
          <t>КИ</t>
        </is>
      </c>
      <c r="BM177" s="64">
        <f>IFERROR(X177*I177/H177,"0")</f>
        <v/>
      </c>
      <c r="BN177" s="64">
        <f>IFERROR(Y177*I177/H177,"0")</f>
        <v/>
      </c>
      <c r="BO177" s="64">
        <f>IFERROR(1/J177*(X177/H177),"0")</f>
        <v/>
      </c>
      <c r="BP177" s="64">
        <f>IFERROR(1/J177*(Y177/H177),"0")</f>
        <v/>
      </c>
    </row>
    <row r="178" ht="27" customHeight="1">
      <c r="A178" s="54" t="inlineStr">
        <is>
          <t>SU001605</t>
        </is>
      </c>
      <c r="B178" s="54" t="inlineStr">
        <is>
          <t>P002180</t>
        </is>
      </c>
      <c r="C178" s="31" t="n">
        <v>4301030964</v>
      </c>
      <c r="D178" s="782" t="n">
        <v>4607091382464</v>
      </c>
      <c r="E178" s="783" t="n"/>
      <c r="F178" s="1220" t="n">
        <v>0.35</v>
      </c>
      <c r="G178" s="32" t="n">
        <v>8</v>
      </c>
      <c r="H178" s="1220" t="n">
        <v>2.8</v>
      </c>
      <c r="I178" s="1220" t="n">
        <v>2.964</v>
      </c>
      <c r="J178" s="32" t="n">
        <v>234</v>
      </c>
      <c r="K178" s="32" t="inlineStr">
        <is>
          <t>18</t>
        </is>
      </c>
      <c r="L178" s="32" t="n"/>
      <c r="M178" s="33" t="inlineStr">
        <is>
          <t>СК2</t>
        </is>
      </c>
      <c r="N178" s="33" t="n"/>
      <c r="O178" s="32" t="n">
        <v>40</v>
      </c>
      <c r="P178" s="974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Q178" s="785" t="n"/>
      <c r="R178" s="785" t="n"/>
      <c r="S178" s="785" t="n"/>
      <c r="T178" s="786" t="n"/>
      <c r="U178" s="34" t="n"/>
      <c r="V178" s="34" t="n"/>
      <c r="W178" s="35" t="inlineStr">
        <is>
          <t>кг</t>
        </is>
      </c>
      <c r="X178" s="1221" t="n">
        <v>0</v>
      </c>
      <c r="Y178" s="1222">
        <f>IFERROR(IF(X178="",0,CEILING((X178/$H178),1)*$H178),"")</f>
        <v/>
      </c>
      <c r="Z178" s="36">
        <f>IFERROR(IF(Y178=0,"",ROUNDUP(Y178/H178,0)*0.00502),"")</f>
        <v/>
      </c>
      <c r="AA178" s="56" t="n"/>
      <c r="AB178" s="57" t="n"/>
      <c r="AC178" s="241" t="inlineStr">
        <is>
          <t>ЕАЭС N RU Д-RU.РА02.В.56867/22</t>
        </is>
      </c>
      <c r="AG178" s="64" t="n"/>
      <c r="AJ178" s="68" t="n"/>
      <c r="AK178" s="68" t="n">
        <v>0</v>
      </c>
      <c r="BB178" s="242" t="inlineStr">
        <is>
          <t>КИ</t>
        </is>
      </c>
      <c r="BM178" s="64">
        <f>IFERROR(X178*I178/H178,"0")</f>
        <v/>
      </c>
      <c r="BN178" s="64">
        <f>IFERROR(Y178*I178/H178,"0")</f>
        <v/>
      </c>
      <c r="BO178" s="64">
        <f>IFERROR(1/J178*(X178/H178),"0")</f>
        <v/>
      </c>
      <c r="BP178" s="64">
        <f>IFERROR(1/J178*(Y178/H178),"0")</f>
        <v/>
      </c>
    </row>
    <row r="179">
      <c r="A179" s="801" t="n"/>
      <c r="B179" s="800" t="n"/>
      <c r="C179" s="800" t="n"/>
      <c r="D179" s="800" t="n"/>
      <c r="E179" s="800" t="n"/>
      <c r="F179" s="800" t="n"/>
      <c r="G179" s="800" t="n"/>
      <c r="H179" s="800" t="n"/>
      <c r="I179" s="800" t="n"/>
      <c r="J179" s="800" t="n"/>
      <c r="K179" s="800" t="n"/>
      <c r="L179" s="800" t="n"/>
      <c r="M179" s="800" t="n"/>
      <c r="N179" s="800" t="n"/>
      <c r="O179" s="802" t="n"/>
      <c r="P179" s="796" t="inlineStr">
        <is>
          <t>Итого</t>
        </is>
      </c>
      <c r="Q179" s="793" t="n"/>
      <c r="R179" s="793" t="n"/>
      <c r="S179" s="793" t="n"/>
      <c r="T179" s="793" t="n"/>
      <c r="U179" s="793" t="n"/>
      <c r="V179" s="794" t="n"/>
      <c r="W179" s="37" t="inlineStr">
        <is>
          <t>кор</t>
        </is>
      </c>
      <c r="X179" s="1223">
        <f>IFERROR(X174/H174,"0")+IFERROR(X175/H175,"0")+IFERROR(X176/H176,"0")+IFERROR(X177/H177,"0")+IFERROR(X178/H178,"0")</f>
        <v/>
      </c>
      <c r="Y179" s="1223">
        <f>IFERROR(Y174/H174,"0")+IFERROR(Y175/H175,"0")+IFERROR(Y176/H176,"0")+IFERROR(Y177/H177,"0")+IFERROR(Y178/H178,"0")</f>
        <v/>
      </c>
      <c r="Z179" s="1223">
        <f>IFERROR(IF(Z174="",0,Z174),"0")+IFERROR(IF(Z175="",0,Z175),"0")+IFERROR(IF(Z176="",0,Z176),"0")+IFERROR(IF(Z177="",0,Z177),"0")+IFERROR(IF(Z178="",0,Z178),"0")</f>
        <v/>
      </c>
      <c r="AA179" s="1224" t="n"/>
      <c r="AB179" s="1224" t="n"/>
      <c r="AC179" s="1224" t="n"/>
    </row>
    <row r="180">
      <c r="A180" s="800" t="n"/>
      <c r="B180" s="800" t="n"/>
      <c r="C180" s="800" t="n"/>
      <c r="D180" s="800" t="n"/>
      <c r="E180" s="800" t="n"/>
      <c r="F180" s="800" t="n"/>
      <c r="G180" s="800" t="n"/>
      <c r="H180" s="800" t="n"/>
      <c r="I180" s="800" t="n"/>
      <c r="J180" s="800" t="n"/>
      <c r="K180" s="800" t="n"/>
      <c r="L180" s="800" t="n"/>
      <c r="M180" s="800" t="n"/>
      <c r="N180" s="800" t="n"/>
      <c r="O180" s="802" t="n"/>
      <c r="P180" s="796" t="inlineStr">
        <is>
          <t>Итого</t>
        </is>
      </c>
      <c r="Q180" s="793" t="n"/>
      <c r="R180" s="793" t="n"/>
      <c r="S180" s="793" t="n"/>
      <c r="T180" s="793" t="n"/>
      <c r="U180" s="793" t="n"/>
      <c r="V180" s="794" t="n"/>
      <c r="W180" s="37" t="inlineStr">
        <is>
          <t>кг</t>
        </is>
      </c>
      <c r="X180" s="1223">
        <f>IFERROR(SUM(X174:X178),"0")</f>
        <v/>
      </c>
      <c r="Y180" s="1223">
        <f>IFERROR(SUM(Y174:Y178),"0")</f>
        <v/>
      </c>
      <c r="Z180" s="37" t="n"/>
      <c r="AA180" s="1224" t="n"/>
      <c r="AB180" s="1224" t="n"/>
      <c r="AC180" s="1224" t="n"/>
    </row>
    <row r="181" ht="14.25" customHeight="1">
      <c r="A181" s="799" t="inlineStr">
        <is>
          <t>Сосиски</t>
        </is>
      </c>
      <c r="B181" s="800" t="n"/>
      <c r="C181" s="800" t="n"/>
      <c r="D181" s="800" t="n"/>
      <c r="E181" s="800" t="n"/>
      <c r="F181" s="800" t="n"/>
      <c r="G181" s="800" t="n"/>
      <c r="H181" s="800" t="n"/>
      <c r="I181" s="800" t="n"/>
      <c r="J181" s="800" t="n"/>
      <c r="K181" s="800" t="n"/>
      <c r="L181" s="800" t="n"/>
      <c r="M181" s="800" t="n"/>
      <c r="N181" s="800" t="n"/>
      <c r="O181" s="800" t="n"/>
      <c r="P181" s="800" t="n"/>
      <c r="Q181" s="800" t="n"/>
      <c r="R181" s="800" t="n"/>
      <c r="S181" s="800" t="n"/>
      <c r="T181" s="800" t="n"/>
      <c r="U181" s="800" t="n"/>
      <c r="V181" s="800" t="n"/>
      <c r="W181" s="800" t="n"/>
      <c r="X181" s="800" t="n"/>
      <c r="Y181" s="800" t="n"/>
      <c r="Z181" s="800" t="n"/>
      <c r="AA181" s="799" t="n"/>
      <c r="AB181" s="799" t="n"/>
      <c r="AC181" s="799" t="n"/>
    </row>
    <row r="182" ht="16.5" customHeight="1">
      <c r="A182" s="54" t="inlineStr">
        <is>
          <t>SU001527</t>
        </is>
      </c>
      <c r="B182" s="54" t="inlineStr">
        <is>
          <t>P003992</t>
        </is>
      </c>
      <c r="C182" s="31" t="n">
        <v>4301051653</v>
      </c>
      <c r="D182" s="782" t="n">
        <v>4607091386264</v>
      </c>
      <c r="E182" s="783" t="n"/>
      <c r="F182" s="1220" t="n">
        <v>0.5</v>
      </c>
      <c r="G182" s="32" t="n">
        <v>6</v>
      </c>
      <c r="H182" s="1220" t="n">
        <v>3</v>
      </c>
      <c r="I182" s="1220" t="n">
        <v>3.258</v>
      </c>
      <c r="J182" s="32" t="n">
        <v>182</v>
      </c>
      <c r="K182" s="32" t="inlineStr">
        <is>
          <t>14</t>
        </is>
      </c>
      <c r="L182" s="32" t="n"/>
      <c r="M182" s="33" t="inlineStr">
        <is>
          <t>СК3</t>
        </is>
      </c>
      <c r="N182" s="33" t="n"/>
      <c r="O182" s="32" t="n">
        <v>31</v>
      </c>
      <c r="P182" s="1090">
        <f>HYPERLINK("https://abi.ru/products/Охлажденные/Вязанка/Вязанка/Сосиски/P003992/","Сосиски «Венские» Фикс.вес 0,5 п/а мгс ТМ «Вязанка»")</f>
        <v/>
      </c>
      <c r="Q182" s="785" t="n"/>
      <c r="R182" s="785" t="n"/>
      <c r="S182" s="785" t="n"/>
      <c r="T182" s="786" t="n"/>
      <c r="U182" s="34" t="n"/>
      <c r="V182" s="34" t="n"/>
      <c r="W182" s="35" t="inlineStr">
        <is>
          <t>кг</t>
        </is>
      </c>
      <c r="X182" s="1221" t="n">
        <v>0</v>
      </c>
      <c r="Y182" s="1222">
        <f>IFERROR(IF(X182="",0,CEILING((X182/$H182),1)*$H182),"")</f>
        <v/>
      </c>
      <c r="Z182" s="36">
        <f>IFERROR(IF(Y182=0,"",ROUNDUP(Y182/H182,0)*0.00651),"")</f>
        <v/>
      </c>
      <c r="AA182" s="56" t="n"/>
      <c r="AB182" s="57" t="n"/>
      <c r="AC182" s="243" t="inlineStr">
        <is>
          <t>ЕАЭС N RU Д-RU.РА07.В.08947/22</t>
        </is>
      </c>
      <c r="AG182" s="64" t="n"/>
      <c r="AJ182" s="68" t="n"/>
      <c r="AK182" s="68" t="n">
        <v>0</v>
      </c>
      <c r="BB182" s="244" t="inlineStr">
        <is>
          <t>КИ</t>
        </is>
      </c>
      <c r="BM182" s="64">
        <f>IFERROR(X182*I182/H182,"0")</f>
        <v/>
      </c>
      <c r="BN182" s="64">
        <f>IFERROR(Y182*I182/H182,"0")</f>
        <v/>
      </c>
      <c r="BO182" s="64">
        <f>IFERROR(1/J182*(X182/H182),"0")</f>
        <v/>
      </c>
      <c r="BP182" s="64">
        <f>IFERROR(1/J182*(Y182/H182),"0")</f>
        <v/>
      </c>
    </row>
    <row r="183" ht="27" customHeight="1">
      <c r="A183" s="54" t="inlineStr">
        <is>
          <t>SU001354</t>
        </is>
      </c>
      <c r="B183" s="54" t="inlineStr">
        <is>
          <t>P003030</t>
        </is>
      </c>
      <c r="C183" s="31" t="n">
        <v>4301051313</v>
      </c>
      <c r="D183" s="782" t="n">
        <v>4607091385427</v>
      </c>
      <c r="E183" s="783" t="n"/>
      <c r="F183" s="1220" t="n">
        <v>0.5</v>
      </c>
      <c r="G183" s="32" t="n">
        <v>6</v>
      </c>
      <c r="H183" s="1220" t="n">
        <v>3</v>
      </c>
      <c r="I183" s="1220" t="n">
        <v>3.252</v>
      </c>
      <c r="J183" s="32" t="n">
        <v>182</v>
      </c>
      <c r="K183" s="32" t="inlineStr">
        <is>
          <t>14</t>
        </is>
      </c>
      <c r="L183" s="32" t="n"/>
      <c r="M183" s="33" t="inlineStr">
        <is>
          <t>СК2</t>
        </is>
      </c>
      <c r="N183" s="33" t="n"/>
      <c r="O183" s="32" t="n">
        <v>40</v>
      </c>
      <c r="P183" s="899">
        <f>HYPERLINK("https://abi.ru/products/Охлажденные/Вязанка/Вязанка/Сосиски/P003030/","Сосиски Рубленые Вязанка Фикс.вес 0,5 п/а мгс Вязанка")</f>
        <v/>
      </c>
      <c r="Q183" s="785" t="n"/>
      <c r="R183" s="785" t="n"/>
      <c r="S183" s="785" t="n"/>
      <c r="T183" s="786" t="n"/>
      <c r="U183" s="34" t="n"/>
      <c r="V183" s="34" t="n"/>
      <c r="W183" s="35" t="inlineStr">
        <is>
          <t>кг</t>
        </is>
      </c>
      <c r="X183" s="1221" t="n">
        <v>0</v>
      </c>
      <c r="Y183" s="1222">
        <f>IFERROR(IF(X183="",0,CEILING((X183/$H183),1)*$H183),"")</f>
        <v/>
      </c>
      <c r="Z183" s="36">
        <f>IFERROR(IF(Y183=0,"",ROUNDUP(Y183/H183,0)*0.00651),"")</f>
        <v/>
      </c>
      <c r="AA183" s="56" t="n"/>
      <c r="AB183" s="57" t="n"/>
      <c r="AC183" s="245" t="inlineStr">
        <is>
          <t>ЕАЭС N RU Д-RU.РА01.В.25957/22, ЕАЭС N RU Д-RU.РА10.В.03533/24</t>
        </is>
      </c>
      <c r="AG183" s="64" t="n"/>
      <c r="AJ183" s="68" t="n"/>
      <c r="AK183" s="68" t="n">
        <v>0</v>
      </c>
      <c r="BB183" s="246" t="inlineStr">
        <is>
          <t>КИ</t>
        </is>
      </c>
      <c r="BM183" s="64">
        <f>IFERROR(X183*I183/H183,"0")</f>
        <v/>
      </c>
      <c r="BN183" s="64">
        <f>IFERROR(Y183*I183/H183,"0")</f>
        <v/>
      </c>
      <c r="BO183" s="64">
        <f>IFERROR(1/J183*(X183/H183),"0")</f>
        <v/>
      </c>
      <c r="BP183" s="64">
        <f>IFERROR(1/J183*(Y183/H183),"0")</f>
        <v/>
      </c>
    </row>
    <row r="184">
      <c r="A184" s="801" t="n"/>
      <c r="B184" s="800" t="n"/>
      <c r="C184" s="800" t="n"/>
      <c r="D184" s="800" t="n"/>
      <c r="E184" s="800" t="n"/>
      <c r="F184" s="800" t="n"/>
      <c r="G184" s="800" t="n"/>
      <c r="H184" s="800" t="n"/>
      <c r="I184" s="800" t="n"/>
      <c r="J184" s="800" t="n"/>
      <c r="K184" s="800" t="n"/>
      <c r="L184" s="800" t="n"/>
      <c r="M184" s="800" t="n"/>
      <c r="N184" s="800" t="n"/>
      <c r="O184" s="802" t="n"/>
      <c r="P184" s="796" t="inlineStr">
        <is>
          <t>Итого</t>
        </is>
      </c>
      <c r="Q184" s="793" t="n"/>
      <c r="R184" s="793" t="n"/>
      <c r="S184" s="793" t="n"/>
      <c r="T184" s="793" t="n"/>
      <c r="U184" s="793" t="n"/>
      <c r="V184" s="794" t="n"/>
      <c r="W184" s="37" t="inlineStr">
        <is>
          <t>кор</t>
        </is>
      </c>
      <c r="X184" s="1223">
        <f>IFERROR(X182/H182,"0")+IFERROR(X183/H183,"0")</f>
        <v/>
      </c>
      <c r="Y184" s="1223">
        <f>IFERROR(Y182/H182,"0")+IFERROR(Y183/H183,"0")</f>
        <v/>
      </c>
      <c r="Z184" s="1223">
        <f>IFERROR(IF(Z182="",0,Z182),"0")+IFERROR(IF(Z183="",0,Z183),"0")</f>
        <v/>
      </c>
      <c r="AA184" s="1224" t="n"/>
      <c r="AB184" s="1224" t="n"/>
      <c r="AC184" s="1224" t="n"/>
    </row>
    <row r="185">
      <c r="A185" s="800" t="n"/>
      <c r="B185" s="800" t="n"/>
      <c r="C185" s="800" t="n"/>
      <c r="D185" s="800" t="n"/>
      <c r="E185" s="800" t="n"/>
      <c r="F185" s="800" t="n"/>
      <c r="G185" s="800" t="n"/>
      <c r="H185" s="800" t="n"/>
      <c r="I185" s="800" t="n"/>
      <c r="J185" s="800" t="n"/>
      <c r="K185" s="800" t="n"/>
      <c r="L185" s="800" t="n"/>
      <c r="M185" s="800" t="n"/>
      <c r="N185" s="800" t="n"/>
      <c r="O185" s="802" t="n"/>
      <c r="P185" s="796" t="inlineStr">
        <is>
          <t>Итого</t>
        </is>
      </c>
      <c r="Q185" s="793" t="n"/>
      <c r="R185" s="793" t="n"/>
      <c r="S185" s="793" t="n"/>
      <c r="T185" s="793" t="n"/>
      <c r="U185" s="793" t="n"/>
      <c r="V185" s="794" t="n"/>
      <c r="W185" s="37" t="inlineStr">
        <is>
          <t>кг</t>
        </is>
      </c>
      <c r="X185" s="1223">
        <f>IFERROR(SUM(X182:X183),"0")</f>
        <v/>
      </c>
      <c r="Y185" s="1223">
        <f>IFERROR(SUM(Y182:Y183),"0")</f>
        <v/>
      </c>
      <c r="Z185" s="37" t="n"/>
      <c r="AA185" s="1224" t="n"/>
      <c r="AB185" s="1224" t="n"/>
      <c r="AC185" s="1224" t="n"/>
    </row>
    <row r="186" ht="27.75" customHeight="1">
      <c r="A186" s="900" t="inlineStr">
        <is>
          <t>Стародворье</t>
        </is>
      </c>
      <c r="B186" s="901" t="n"/>
      <c r="C186" s="901" t="n"/>
      <c r="D186" s="901" t="n"/>
      <c r="E186" s="901" t="n"/>
      <c r="F186" s="901" t="n"/>
      <c r="G186" s="901" t="n"/>
      <c r="H186" s="901" t="n"/>
      <c r="I186" s="901" t="n"/>
      <c r="J186" s="901" t="n"/>
      <c r="K186" s="901" t="n"/>
      <c r="L186" s="901" t="n"/>
      <c r="M186" s="901" t="n"/>
      <c r="N186" s="901" t="n"/>
      <c r="O186" s="901" t="n"/>
      <c r="P186" s="901" t="n"/>
      <c r="Q186" s="901" t="n"/>
      <c r="R186" s="901" t="n"/>
      <c r="S186" s="901" t="n"/>
      <c r="T186" s="901" t="n"/>
      <c r="U186" s="901" t="n"/>
      <c r="V186" s="901" t="n"/>
      <c r="W186" s="901" t="n"/>
      <c r="X186" s="901" t="n"/>
      <c r="Y186" s="901" t="n"/>
      <c r="Z186" s="901" t="n"/>
      <c r="AA186" s="48" t="n"/>
      <c r="AB186" s="48" t="n"/>
      <c r="AC186" s="48" t="n"/>
    </row>
    <row r="187" ht="16.5" customHeight="1">
      <c r="A187" s="807" t="inlineStr">
        <is>
          <t>Мясорубская</t>
        </is>
      </c>
      <c r="B187" s="800" t="n"/>
      <c r="C187" s="800" t="n"/>
      <c r="D187" s="800" t="n"/>
      <c r="E187" s="800" t="n"/>
      <c r="F187" s="800" t="n"/>
      <c r="G187" s="800" t="n"/>
      <c r="H187" s="800" t="n"/>
      <c r="I187" s="800" t="n"/>
      <c r="J187" s="800" t="n"/>
      <c r="K187" s="800" t="n"/>
      <c r="L187" s="800" t="n"/>
      <c r="M187" s="800" t="n"/>
      <c r="N187" s="800" t="n"/>
      <c r="O187" s="800" t="n"/>
      <c r="P187" s="800" t="n"/>
      <c r="Q187" s="800" t="n"/>
      <c r="R187" s="800" t="n"/>
      <c r="S187" s="800" t="n"/>
      <c r="T187" s="800" t="n"/>
      <c r="U187" s="800" t="n"/>
      <c r="V187" s="800" t="n"/>
      <c r="W187" s="800" t="n"/>
      <c r="X187" s="800" t="n"/>
      <c r="Y187" s="800" t="n"/>
      <c r="Z187" s="800" t="n"/>
      <c r="AA187" s="807" t="n"/>
      <c r="AB187" s="807" t="n"/>
      <c r="AC187" s="807" t="n"/>
    </row>
    <row r="188" ht="14.25" customHeight="1">
      <c r="A188" s="799" t="inlineStr">
        <is>
          <t>Ветчины</t>
        </is>
      </c>
      <c r="B188" s="800" t="n"/>
      <c r="C188" s="800" t="n"/>
      <c r="D188" s="800" t="n"/>
      <c r="E188" s="800" t="n"/>
      <c r="F188" s="800" t="n"/>
      <c r="G188" s="800" t="n"/>
      <c r="H188" s="800" t="n"/>
      <c r="I188" s="800" t="n"/>
      <c r="J188" s="800" t="n"/>
      <c r="K188" s="800" t="n"/>
      <c r="L188" s="800" t="n"/>
      <c r="M188" s="800" t="n"/>
      <c r="N188" s="800" t="n"/>
      <c r="O188" s="800" t="n"/>
      <c r="P188" s="800" t="n"/>
      <c r="Q188" s="800" t="n"/>
      <c r="R188" s="800" t="n"/>
      <c r="S188" s="800" t="n"/>
      <c r="T188" s="800" t="n"/>
      <c r="U188" s="800" t="n"/>
      <c r="V188" s="800" t="n"/>
      <c r="W188" s="800" t="n"/>
      <c r="X188" s="800" t="n"/>
      <c r="Y188" s="800" t="n"/>
      <c r="Z188" s="800" t="n"/>
      <c r="AA188" s="799" t="n"/>
      <c r="AB188" s="799" t="n"/>
      <c r="AC188" s="799" t="n"/>
    </row>
    <row r="189" ht="27" customHeight="1">
      <c r="A189" s="54" t="inlineStr">
        <is>
          <t>SU003512</t>
        </is>
      </c>
      <c r="B189" s="54" t="inlineStr">
        <is>
          <t>P004437</t>
        </is>
      </c>
      <c r="C189" s="31" t="n">
        <v>4301020323</v>
      </c>
      <c r="D189" s="782" t="n">
        <v>4680115886223</v>
      </c>
      <c r="E189" s="783" t="n"/>
      <c r="F189" s="1220" t="n">
        <v>0.33</v>
      </c>
      <c r="G189" s="32" t="n">
        <v>6</v>
      </c>
      <c r="H189" s="1220" t="n">
        <v>1.98</v>
      </c>
      <c r="I189" s="1220" t="n">
        <v>2.08</v>
      </c>
      <c r="J189" s="32" t="n">
        <v>234</v>
      </c>
      <c r="K189" s="32" t="inlineStr">
        <is>
          <t>18</t>
        </is>
      </c>
      <c r="L189" s="32" t="n"/>
      <c r="M189" s="33" t="inlineStr">
        <is>
          <t>СК2</t>
        </is>
      </c>
      <c r="N189" s="33" t="n"/>
      <c r="O189" s="32" t="n">
        <v>40</v>
      </c>
      <c r="P189" s="1112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/>
      </c>
      <c r="Q189" s="785" t="n"/>
      <c r="R189" s="785" t="n"/>
      <c r="S189" s="785" t="n"/>
      <c r="T189" s="786" t="n"/>
      <c r="U189" s="34" t="n"/>
      <c r="V189" s="34" t="n"/>
      <c r="W189" s="35" t="inlineStr">
        <is>
          <t>кг</t>
        </is>
      </c>
      <c r="X189" s="1221" t="n">
        <v>0</v>
      </c>
      <c r="Y189" s="1222">
        <f>IFERROR(IF(X189="",0,CEILING((X189/$H189),1)*$H189),"")</f>
        <v/>
      </c>
      <c r="Z189" s="36">
        <f>IFERROR(IF(Y189=0,"",ROUNDUP(Y189/H189,0)*0.00502),"")</f>
        <v/>
      </c>
      <c r="AA189" s="56" t="n"/>
      <c r="AB189" s="57" t="n"/>
      <c r="AC189" s="247" t="inlineStr">
        <is>
          <t>ЕАЭС N RU Д-RU.РА04.В.01888/24</t>
        </is>
      </c>
      <c r="AG189" s="64" t="n"/>
      <c r="AJ189" s="68" t="n"/>
      <c r="AK189" s="68" t="n">
        <v>0</v>
      </c>
      <c r="BB189" s="248" t="inlineStr">
        <is>
          <t>КИ</t>
        </is>
      </c>
      <c r="BM189" s="64">
        <f>IFERROR(X189*I189/H189,"0")</f>
        <v/>
      </c>
      <c r="BN189" s="64">
        <f>IFERROR(Y189*I189/H189,"0")</f>
        <v/>
      </c>
      <c r="BO189" s="64">
        <f>IFERROR(1/J189*(X189/H189),"0")</f>
        <v/>
      </c>
      <c r="BP189" s="64">
        <f>IFERROR(1/J189*(Y189/H189),"0")</f>
        <v/>
      </c>
    </row>
    <row r="190">
      <c r="A190" s="801" t="n"/>
      <c r="B190" s="800" t="n"/>
      <c r="C190" s="800" t="n"/>
      <c r="D190" s="800" t="n"/>
      <c r="E190" s="800" t="n"/>
      <c r="F190" s="800" t="n"/>
      <c r="G190" s="800" t="n"/>
      <c r="H190" s="800" t="n"/>
      <c r="I190" s="800" t="n"/>
      <c r="J190" s="800" t="n"/>
      <c r="K190" s="800" t="n"/>
      <c r="L190" s="800" t="n"/>
      <c r="M190" s="800" t="n"/>
      <c r="N190" s="800" t="n"/>
      <c r="O190" s="802" t="n"/>
      <c r="P190" s="796" t="inlineStr">
        <is>
          <t>Итого</t>
        </is>
      </c>
      <c r="Q190" s="793" t="n"/>
      <c r="R190" s="793" t="n"/>
      <c r="S190" s="793" t="n"/>
      <c r="T190" s="793" t="n"/>
      <c r="U190" s="793" t="n"/>
      <c r="V190" s="794" t="n"/>
      <c r="W190" s="37" t="inlineStr">
        <is>
          <t>кор</t>
        </is>
      </c>
      <c r="X190" s="1223">
        <f>IFERROR(X189/H189,"0")</f>
        <v/>
      </c>
      <c r="Y190" s="1223">
        <f>IFERROR(Y189/H189,"0")</f>
        <v/>
      </c>
      <c r="Z190" s="1223">
        <f>IFERROR(IF(Z189="",0,Z189),"0")</f>
        <v/>
      </c>
      <c r="AA190" s="1224" t="n"/>
      <c r="AB190" s="1224" t="n"/>
      <c r="AC190" s="1224" t="n"/>
    </row>
    <row r="191">
      <c r="A191" s="800" t="n"/>
      <c r="B191" s="800" t="n"/>
      <c r="C191" s="800" t="n"/>
      <c r="D191" s="800" t="n"/>
      <c r="E191" s="800" t="n"/>
      <c r="F191" s="800" t="n"/>
      <c r="G191" s="800" t="n"/>
      <c r="H191" s="800" t="n"/>
      <c r="I191" s="800" t="n"/>
      <c r="J191" s="800" t="n"/>
      <c r="K191" s="800" t="n"/>
      <c r="L191" s="800" t="n"/>
      <c r="M191" s="800" t="n"/>
      <c r="N191" s="800" t="n"/>
      <c r="O191" s="802" t="n"/>
      <c r="P191" s="796" t="inlineStr">
        <is>
          <t>Итого</t>
        </is>
      </c>
      <c r="Q191" s="793" t="n"/>
      <c r="R191" s="793" t="n"/>
      <c r="S191" s="793" t="n"/>
      <c r="T191" s="793" t="n"/>
      <c r="U191" s="793" t="n"/>
      <c r="V191" s="794" t="n"/>
      <c r="W191" s="37" t="inlineStr">
        <is>
          <t>кг</t>
        </is>
      </c>
      <c r="X191" s="1223">
        <f>IFERROR(SUM(X189:X189),"0")</f>
        <v/>
      </c>
      <c r="Y191" s="1223">
        <f>IFERROR(SUM(Y189:Y189),"0")</f>
        <v/>
      </c>
      <c r="Z191" s="37" t="n"/>
      <c r="AA191" s="1224" t="n"/>
      <c r="AB191" s="1224" t="n"/>
      <c r="AC191" s="1224" t="n"/>
    </row>
    <row r="192" ht="14.25" customHeight="1">
      <c r="A192" s="799" t="inlineStr">
        <is>
          <t>Копченые колбасы</t>
        </is>
      </c>
      <c r="B192" s="800" t="n"/>
      <c r="C192" s="800" t="n"/>
      <c r="D192" s="800" t="n"/>
      <c r="E192" s="800" t="n"/>
      <c r="F192" s="800" t="n"/>
      <c r="G192" s="800" t="n"/>
      <c r="H192" s="800" t="n"/>
      <c r="I192" s="800" t="n"/>
      <c r="J192" s="800" t="n"/>
      <c r="K192" s="800" t="n"/>
      <c r="L192" s="800" t="n"/>
      <c r="M192" s="800" t="n"/>
      <c r="N192" s="800" t="n"/>
      <c r="O192" s="800" t="n"/>
      <c r="P192" s="800" t="n"/>
      <c r="Q192" s="800" t="n"/>
      <c r="R192" s="800" t="n"/>
      <c r="S192" s="800" t="n"/>
      <c r="T192" s="800" t="n"/>
      <c r="U192" s="800" t="n"/>
      <c r="V192" s="800" t="n"/>
      <c r="W192" s="800" t="n"/>
      <c r="X192" s="800" t="n"/>
      <c r="Y192" s="800" t="n"/>
      <c r="Z192" s="800" t="n"/>
      <c r="AA192" s="799" t="n"/>
      <c r="AB192" s="799" t="n"/>
      <c r="AC192" s="799" t="n"/>
    </row>
    <row r="193" ht="27" customHeight="1">
      <c r="A193" s="54" t="inlineStr">
        <is>
          <t>SU002756</t>
        </is>
      </c>
      <c r="B193" s="54" t="inlineStr">
        <is>
          <t>P003179</t>
        </is>
      </c>
      <c r="C193" s="31" t="n">
        <v>4301031191</v>
      </c>
      <c r="D193" s="782" t="n">
        <v>4680115880993</v>
      </c>
      <c r="E193" s="783" t="n"/>
      <c r="F193" s="1220" t="n">
        <v>0.7</v>
      </c>
      <c r="G193" s="32" t="n">
        <v>6</v>
      </c>
      <c r="H193" s="1220" t="n">
        <v>4.2</v>
      </c>
      <c r="I193" s="1220" t="n">
        <v>4.47</v>
      </c>
      <c r="J193" s="32" t="n">
        <v>132</v>
      </c>
      <c r="K193" s="32" t="inlineStr">
        <is>
          <t>12</t>
        </is>
      </c>
      <c r="L193" s="32" t="n"/>
      <c r="M193" s="33" t="inlineStr">
        <is>
          <t>СК2</t>
        </is>
      </c>
      <c r="N193" s="33" t="n"/>
      <c r="O193" s="32" t="n">
        <v>40</v>
      </c>
      <c r="P193" s="956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Q193" s="785" t="n"/>
      <c r="R193" s="785" t="n"/>
      <c r="S193" s="785" t="n"/>
      <c r="T193" s="786" t="n"/>
      <c r="U193" s="34" t="n"/>
      <c r="V193" s="34" t="n"/>
      <c r="W193" s="35" t="inlineStr">
        <is>
          <t>кг</t>
        </is>
      </c>
      <c r="X193" s="1221" t="n">
        <v>0</v>
      </c>
      <c r="Y193" s="1222">
        <f>IFERROR(IF(X193="",0,CEILING((X193/$H193),1)*$H193),"")</f>
        <v/>
      </c>
      <c r="Z193" s="36">
        <f>IFERROR(IF(Y193=0,"",ROUNDUP(Y193/H193,0)*0.00902),"")</f>
        <v/>
      </c>
      <c r="AA193" s="56" t="n"/>
      <c r="AB193" s="57" t="n"/>
      <c r="AC193" s="249" t="inlineStr">
        <is>
          <t>ЕАЭС N RU Д-RU.РА05.В.84751/22</t>
        </is>
      </c>
      <c r="AG193" s="64" t="n"/>
      <c r="AJ193" s="68" t="n"/>
      <c r="AK193" s="68" t="n">
        <v>0</v>
      </c>
      <c r="BB193" s="250" t="inlineStr">
        <is>
          <t>КИ</t>
        </is>
      </c>
      <c r="BM193" s="64">
        <f>IFERROR(X193*I193/H193,"0")</f>
        <v/>
      </c>
      <c r="BN193" s="64">
        <f>IFERROR(Y193*I193/H193,"0")</f>
        <v/>
      </c>
      <c r="BO193" s="64">
        <f>IFERROR(1/J193*(X193/H193),"0")</f>
        <v/>
      </c>
      <c r="BP193" s="64">
        <f>IFERROR(1/J193*(Y193/H193),"0")</f>
        <v/>
      </c>
    </row>
    <row r="194" ht="27" customHeight="1">
      <c r="A194" s="54" t="inlineStr">
        <is>
          <t>SU002876</t>
        </is>
      </c>
      <c r="B194" s="54" t="inlineStr">
        <is>
          <t>P003276</t>
        </is>
      </c>
      <c r="C194" s="31" t="n">
        <v>4301031204</v>
      </c>
      <c r="D194" s="782" t="n">
        <v>4680115881761</v>
      </c>
      <c r="E194" s="783" t="n"/>
      <c r="F194" s="1220" t="n">
        <v>0.7</v>
      </c>
      <c r="G194" s="32" t="n">
        <v>6</v>
      </c>
      <c r="H194" s="1220" t="n">
        <v>4.2</v>
      </c>
      <c r="I194" s="1220" t="n">
        <v>4.47</v>
      </c>
      <c r="J194" s="32" t="n">
        <v>132</v>
      </c>
      <c r="K194" s="32" t="inlineStr">
        <is>
          <t>12</t>
        </is>
      </c>
      <c r="L194" s="32" t="n"/>
      <c r="M194" s="33" t="inlineStr">
        <is>
          <t>СК2</t>
        </is>
      </c>
      <c r="N194" s="33" t="n"/>
      <c r="O194" s="32" t="n">
        <v>40</v>
      </c>
      <c r="P194" s="1132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Q194" s="785" t="n"/>
      <c r="R194" s="785" t="n"/>
      <c r="S194" s="785" t="n"/>
      <c r="T194" s="786" t="n"/>
      <c r="U194" s="34" t="n"/>
      <c r="V194" s="34" t="n"/>
      <c r="W194" s="35" t="inlineStr">
        <is>
          <t>кг</t>
        </is>
      </c>
      <c r="X194" s="1221" t="n">
        <v>0</v>
      </c>
      <c r="Y194" s="1222">
        <f>IFERROR(IF(X194="",0,CEILING((X194/$H194),1)*$H194),"")</f>
        <v/>
      </c>
      <c r="Z194" s="36">
        <f>IFERROR(IF(Y194=0,"",ROUNDUP(Y194/H194,0)*0.00902),"")</f>
        <v/>
      </c>
      <c r="AA194" s="56" t="n"/>
      <c r="AB194" s="57" t="n"/>
      <c r="AC194" s="251" t="inlineStr">
        <is>
          <t>ЕАЭС N RU Д-RU.РА01.В.98713/23</t>
        </is>
      </c>
      <c r="AG194" s="64" t="n"/>
      <c r="AJ194" s="68" t="n"/>
      <c r="AK194" s="68" t="n">
        <v>0</v>
      </c>
      <c r="BB194" s="252" t="inlineStr">
        <is>
          <t>КИ</t>
        </is>
      </c>
      <c r="BM194" s="64">
        <f>IFERROR(X194*I194/H194,"0")</f>
        <v/>
      </c>
      <c r="BN194" s="64">
        <f>IFERROR(Y194*I194/H194,"0")</f>
        <v/>
      </c>
      <c r="BO194" s="64">
        <f>IFERROR(1/J194*(X194/H194),"0")</f>
        <v/>
      </c>
      <c r="BP194" s="64">
        <f>IFERROR(1/J194*(Y194/H194),"0")</f>
        <v/>
      </c>
    </row>
    <row r="195" ht="27" customHeight="1">
      <c r="A195" s="54" t="inlineStr">
        <is>
          <t>SU002847</t>
        </is>
      </c>
      <c r="B195" s="54" t="inlineStr">
        <is>
          <t>P003259</t>
        </is>
      </c>
      <c r="C195" s="31" t="n">
        <v>4301031201</v>
      </c>
      <c r="D195" s="782" t="n">
        <v>4680115881563</v>
      </c>
      <c r="E195" s="783" t="n"/>
      <c r="F195" s="1220" t="n">
        <v>0.7</v>
      </c>
      <c r="G195" s="32" t="n">
        <v>6</v>
      </c>
      <c r="H195" s="1220" t="n">
        <v>4.2</v>
      </c>
      <c r="I195" s="1220" t="n">
        <v>4.41</v>
      </c>
      <c r="J195" s="32" t="n">
        <v>132</v>
      </c>
      <c r="K195" s="32" t="inlineStr">
        <is>
          <t>12</t>
        </is>
      </c>
      <c r="L195" s="32" t="n"/>
      <c r="M195" s="33" t="inlineStr">
        <is>
          <t>СК2</t>
        </is>
      </c>
      <c r="N195" s="33" t="n"/>
      <c r="O195" s="32" t="n">
        <v>40</v>
      </c>
      <c r="P195" s="1077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Q195" s="785" t="n"/>
      <c r="R195" s="785" t="n"/>
      <c r="S195" s="785" t="n"/>
      <c r="T195" s="786" t="n"/>
      <c r="U195" s="34" t="n"/>
      <c r="V195" s="34" t="n"/>
      <c r="W195" s="35" t="inlineStr">
        <is>
          <t>кг</t>
        </is>
      </c>
      <c r="X195" s="1221" t="n">
        <v>100</v>
      </c>
      <c r="Y195" s="1222">
        <f>IFERROR(IF(X195="",0,CEILING((X195/$H195),1)*$H195),"")</f>
        <v/>
      </c>
      <c r="Z195" s="36">
        <f>IFERROR(IF(Y195=0,"",ROUNDUP(Y195/H195,0)*0.00902),"")</f>
        <v/>
      </c>
      <c r="AA195" s="56" t="n"/>
      <c r="AB195" s="57" t="n"/>
      <c r="AC195" s="253" t="inlineStr">
        <is>
          <t>ЕАЭС N RU Д-RU.РА09.В.37545/22</t>
        </is>
      </c>
      <c r="AG195" s="64" t="n"/>
      <c r="AJ195" s="68" t="n"/>
      <c r="AK195" s="68" t="n">
        <v>0</v>
      </c>
      <c r="BB195" s="254" t="inlineStr">
        <is>
          <t>КИ</t>
        </is>
      </c>
      <c r="BM195" s="64">
        <f>IFERROR(X195*I195/H195,"0")</f>
        <v/>
      </c>
      <c r="BN195" s="64">
        <f>IFERROR(Y195*I195/H195,"0")</f>
        <v/>
      </c>
      <c r="BO195" s="64">
        <f>IFERROR(1/J195*(X195/H195),"0")</f>
        <v/>
      </c>
      <c r="BP195" s="64">
        <f>IFERROR(1/J195*(Y195/H195),"0")</f>
        <v/>
      </c>
    </row>
    <row r="196" ht="27" customHeight="1">
      <c r="A196" s="54" t="inlineStr">
        <is>
          <t>SU002660</t>
        </is>
      </c>
      <c r="B196" s="54" t="inlineStr">
        <is>
          <t>P003256</t>
        </is>
      </c>
      <c r="C196" s="31" t="n">
        <v>4301031199</v>
      </c>
      <c r="D196" s="782" t="n">
        <v>4680115880986</v>
      </c>
      <c r="E196" s="783" t="n"/>
      <c r="F196" s="1220" t="n">
        <v>0.35</v>
      </c>
      <c r="G196" s="32" t="n">
        <v>6</v>
      </c>
      <c r="H196" s="1220" t="n">
        <v>2.1</v>
      </c>
      <c r="I196" s="1220" t="n">
        <v>2.23</v>
      </c>
      <c r="J196" s="32" t="n">
        <v>234</v>
      </c>
      <c r="K196" s="32" t="inlineStr">
        <is>
          <t>18</t>
        </is>
      </c>
      <c r="L196" s="32" t="n"/>
      <c r="M196" s="33" t="inlineStr">
        <is>
          <t>СК2</t>
        </is>
      </c>
      <c r="N196" s="33" t="n"/>
      <c r="O196" s="32" t="n">
        <v>40</v>
      </c>
      <c r="P196" s="898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Q196" s="785" t="n"/>
      <c r="R196" s="785" t="n"/>
      <c r="S196" s="785" t="n"/>
      <c r="T196" s="786" t="n"/>
      <c r="U196" s="34" t="n"/>
      <c r="V196" s="34" t="n"/>
      <c r="W196" s="35" t="inlineStr">
        <is>
          <t>кг</t>
        </is>
      </c>
      <c r="X196" s="1221" t="n">
        <v>0</v>
      </c>
      <c r="Y196" s="1222">
        <f>IFERROR(IF(X196="",0,CEILING((X196/$H196),1)*$H196),"")</f>
        <v/>
      </c>
      <c r="Z196" s="36">
        <f>IFERROR(IF(Y196=0,"",ROUNDUP(Y196/H196,0)*0.00502),"")</f>
        <v/>
      </c>
      <c r="AA196" s="56" t="n"/>
      <c r="AB196" s="57" t="n"/>
      <c r="AC196" s="255" t="inlineStr">
        <is>
          <t>ЕАЭС N RU Д-RU.РА05.В.84751/22</t>
        </is>
      </c>
      <c r="AG196" s="64" t="n"/>
      <c r="AJ196" s="68" t="n"/>
      <c r="AK196" s="68" t="n">
        <v>0</v>
      </c>
      <c r="BB196" s="256" t="inlineStr">
        <is>
          <t>КИ</t>
        </is>
      </c>
      <c r="BM196" s="64">
        <f>IFERROR(X196*I196/H196,"0")</f>
        <v/>
      </c>
      <c r="BN196" s="64">
        <f>IFERROR(Y196*I196/H196,"0")</f>
        <v/>
      </c>
      <c r="BO196" s="64">
        <f>IFERROR(1/J196*(X196/H196),"0")</f>
        <v/>
      </c>
      <c r="BP196" s="64">
        <f>IFERROR(1/J196*(Y196/H196),"0")</f>
        <v/>
      </c>
    </row>
    <row r="197" ht="27" customHeight="1">
      <c r="A197" s="54" t="inlineStr">
        <is>
          <t>SU002877</t>
        </is>
      </c>
      <c r="B197" s="54" t="inlineStr">
        <is>
          <t>P003277</t>
        </is>
      </c>
      <c r="C197" s="31" t="n">
        <v>4301031205</v>
      </c>
      <c r="D197" s="782" t="n">
        <v>4680115881785</v>
      </c>
      <c r="E197" s="783" t="n"/>
      <c r="F197" s="1220" t="n">
        <v>0.35</v>
      </c>
      <c r="G197" s="32" t="n">
        <v>6</v>
      </c>
      <c r="H197" s="1220" t="n">
        <v>2.1</v>
      </c>
      <c r="I197" s="1220" t="n">
        <v>2.23</v>
      </c>
      <c r="J197" s="32" t="n">
        <v>234</v>
      </c>
      <c r="K197" s="32" t="inlineStr">
        <is>
          <t>18</t>
        </is>
      </c>
      <c r="L197" s="32" t="n"/>
      <c r="M197" s="33" t="inlineStr">
        <is>
          <t>СК2</t>
        </is>
      </c>
      <c r="N197" s="33" t="n"/>
      <c r="O197" s="32" t="n">
        <v>40</v>
      </c>
      <c r="P197" s="1085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Q197" s="785" t="n"/>
      <c r="R197" s="785" t="n"/>
      <c r="S197" s="785" t="n"/>
      <c r="T197" s="786" t="n"/>
      <c r="U197" s="34" t="n"/>
      <c r="V197" s="34" t="n"/>
      <c r="W197" s="35" t="inlineStr">
        <is>
          <t>кг</t>
        </is>
      </c>
      <c r="X197" s="1221" t="n">
        <v>0</v>
      </c>
      <c r="Y197" s="1222">
        <f>IFERROR(IF(X197="",0,CEILING((X197/$H197),1)*$H197),"")</f>
        <v/>
      </c>
      <c r="Z197" s="36">
        <f>IFERROR(IF(Y197=0,"",ROUNDUP(Y197/H197,0)*0.00502),"")</f>
        <v/>
      </c>
      <c r="AA197" s="56" t="n"/>
      <c r="AB197" s="57" t="n"/>
      <c r="AC197" s="257" t="inlineStr">
        <is>
          <t>ЕАЭС N RU Д-RU.РА01.В.98713/23</t>
        </is>
      </c>
      <c r="AG197" s="64" t="n"/>
      <c r="AJ197" s="68" t="n"/>
      <c r="AK197" s="68" t="n">
        <v>0</v>
      </c>
      <c r="BB197" s="258" t="inlineStr">
        <is>
          <t>КИ</t>
        </is>
      </c>
      <c r="BM197" s="64">
        <f>IFERROR(X197*I197/H197,"0")</f>
        <v/>
      </c>
      <c r="BN197" s="64">
        <f>IFERROR(Y197*I197/H197,"0")</f>
        <v/>
      </c>
      <c r="BO197" s="64">
        <f>IFERROR(1/J197*(X197/H197),"0")</f>
        <v/>
      </c>
      <c r="BP197" s="64">
        <f>IFERROR(1/J197*(Y197/H197),"0")</f>
        <v/>
      </c>
    </row>
    <row r="198" ht="27" customHeight="1">
      <c r="A198" s="54" t="inlineStr">
        <is>
          <t>SU002848</t>
        </is>
      </c>
      <c r="B198" s="54" t="inlineStr">
        <is>
          <t>P003260</t>
        </is>
      </c>
      <c r="C198" s="31" t="n">
        <v>4301031202</v>
      </c>
      <c r="D198" s="782" t="n">
        <v>4680115881679</v>
      </c>
      <c r="E198" s="783" t="n"/>
      <c r="F198" s="1220" t="n">
        <v>0.35</v>
      </c>
      <c r="G198" s="32" t="n">
        <v>6</v>
      </c>
      <c r="H198" s="1220" t="n">
        <v>2.1</v>
      </c>
      <c r="I198" s="1220" t="n">
        <v>2.2</v>
      </c>
      <c r="J198" s="32" t="n">
        <v>234</v>
      </c>
      <c r="K198" s="32" t="inlineStr">
        <is>
          <t>18</t>
        </is>
      </c>
      <c r="L198" s="32" t="n"/>
      <c r="M198" s="33" t="inlineStr">
        <is>
          <t>СК2</t>
        </is>
      </c>
      <c r="N198" s="33" t="n"/>
      <c r="O198" s="32" t="n">
        <v>40</v>
      </c>
      <c r="P198" s="884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Q198" s="785" t="n"/>
      <c r="R198" s="785" t="n"/>
      <c r="S198" s="785" t="n"/>
      <c r="T198" s="786" t="n"/>
      <c r="U198" s="34" t="n"/>
      <c r="V198" s="34" t="n"/>
      <c r="W198" s="35" t="inlineStr">
        <is>
          <t>кг</t>
        </is>
      </c>
      <c r="X198" s="1221" t="n">
        <v>0</v>
      </c>
      <c r="Y198" s="1222">
        <f>IFERROR(IF(X198="",0,CEILING((X198/$H198),1)*$H198),"")</f>
        <v/>
      </c>
      <c r="Z198" s="36">
        <f>IFERROR(IF(Y198=0,"",ROUNDUP(Y198/H198,0)*0.00502),"")</f>
        <v/>
      </c>
      <c r="AA198" s="56" t="n"/>
      <c r="AB198" s="57" t="n"/>
      <c r="AC198" s="259" t="inlineStr">
        <is>
          <t>ЕАЭС N RU Д-RU.РА09.В.37545/22</t>
        </is>
      </c>
      <c r="AG198" s="64" t="n"/>
      <c r="AJ198" s="68" t="n"/>
      <c r="AK198" s="68" t="n">
        <v>0</v>
      </c>
      <c r="BB198" s="260" t="inlineStr">
        <is>
          <t>КИ</t>
        </is>
      </c>
      <c r="BM198" s="64">
        <f>IFERROR(X198*I198/H198,"0")</f>
        <v/>
      </c>
      <c r="BN198" s="64">
        <f>IFERROR(Y198*I198/H198,"0")</f>
        <v/>
      </c>
      <c r="BO198" s="64">
        <f>IFERROR(1/J198*(X198/H198),"0")</f>
        <v/>
      </c>
      <c r="BP198" s="64">
        <f>IFERROR(1/J198*(Y198/H198),"0")</f>
        <v/>
      </c>
    </row>
    <row r="199" ht="27" customHeight="1">
      <c r="A199" s="54" t="inlineStr">
        <is>
          <t>SU002659</t>
        </is>
      </c>
      <c r="B199" s="54" t="inlineStr">
        <is>
          <t>P003034</t>
        </is>
      </c>
      <c r="C199" s="31" t="n">
        <v>4301031158</v>
      </c>
      <c r="D199" s="782" t="n">
        <v>4680115880191</v>
      </c>
      <c r="E199" s="783" t="n"/>
      <c r="F199" s="1220" t="n">
        <v>0.4</v>
      </c>
      <c r="G199" s="32" t="n">
        <v>6</v>
      </c>
      <c r="H199" s="1220" t="n">
        <v>2.4</v>
      </c>
      <c r="I199" s="1220" t="n">
        <v>2.58</v>
      </c>
      <c r="J199" s="32" t="n">
        <v>182</v>
      </c>
      <c r="K199" s="32" t="inlineStr">
        <is>
          <t>14</t>
        </is>
      </c>
      <c r="L199" s="32" t="n"/>
      <c r="M199" s="33" t="inlineStr">
        <is>
          <t>СК2</t>
        </is>
      </c>
      <c r="N199" s="33" t="n"/>
      <c r="O199" s="32" t="n">
        <v>40</v>
      </c>
      <c r="P199" s="831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Q199" s="785" t="n"/>
      <c r="R199" s="785" t="n"/>
      <c r="S199" s="785" t="n"/>
      <c r="T199" s="786" t="n"/>
      <c r="U199" s="34" t="n"/>
      <c r="V199" s="34" t="n"/>
      <c r="W199" s="35" t="inlineStr">
        <is>
          <t>кг</t>
        </is>
      </c>
      <c r="X199" s="1221" t="n">
        <v>0</v>
      </c>
      <c r="Y199" s="1222">
        <f>IFERROR(IF(X199="",0,CEILING((X199/$H199),1)*$H199),"")</f>
        <v/>
      </c>
      <c r="Z199" s="36">
        <f>IFERROR(IF(Y199=0,"",ROUNDUP(Y199/H199,0)*0.00651),"")</f>
        <v/>
      </c>
      <c r="AA199" s="56" t="n"/>
      <c r="AB199" s="57" t="n"/>
      <c r="AC199" s="261" t="inlineStr">
        <is>
          <t>ЕАЭС N RU Д-RU.РА09.В.37545/22</t>
        </is>
      </c>
      <c r="AG199" s="64" t="n"/>
      <c r="AJ199" s="68" t="n"/>
      <c r="AK199" s="68" t="n">
        <v>0</v>
      </c>
      <c r="BB199" s="262" t="inlineStr">
        <is>
          <t>КИ</t>
        </is>
      </c>
      <c r="BM199" s="64">
        <f>IFERROR(X199*I199/H199,"0")</f>
        <v/>
      </c>
      <c r="BN199" s="64">
        <f>IFERROR(Y199*I199/H199,"0")</f>
        <v/>
      </c>
      <c r="BO199" s="64">
        <f>IFERROR(1/J199*(X199/H199),"0")</f>
        <v/>
      </c>
      <c r="BP199" s="64">
        <f>IFERROR(1/J199*(Y199/H199),"0")</f>
        <v/>
      </c>
    </row>
    <row r="200" ht="27" customHeight="1">
      <c r="A200" s="54" t="inlineStr">
        <is>
          <t>SU003046</t>
        </is>
      </c>
      <c r="B200" s="54" t="inlineStr">
        <is>
          <t>P003598</t>
        </is>
      </c>
      <c r="C200" s="31" t="n">
        <v>4301031245</v>
      </c>
      <c r="D200" s="782" t="n">
        <v>4680115883963</v>
      </c>
      <c r="E200" s="783" t="n"/>
      <c r="F200" s="1220" t="n">
        <v>0.28</v>
      </c>
      <c r="G200" s="32" t="n">
        <v>6</v>
      </c>
      <c r="H200" s="1220" t="n">
        <v>1.68</v>
      </c>
      <c r="I200" s="1220" t="n">
        <v>1.78</v>
      </c>
      <c r="J200" s="32" t="n">
        <v>234</v>
      </c>
      <c r="K200" s="32" t="inlineStr">
        <is>
          <t>18</t>
        </is>
      </c>
      <c r="L200" s="32" t="n"/>
      <c r="M200" s="33" t="inlineStr">
        <is>
          <t>СК2</t>
        </is>
      </c>
      <c r="N200" s="33" t="n"/>
      <c r="O200" s="32" t="n">
        <v>40</v>
      </c>
      <c r="P200" s="845">
        <f>HYPERLINK("https://abi.ru/products/Охлажденные/Стародворье/Мясорубская/Копченые колбасы/P003598/","П/к колбасы «Мясорубская» ф/в 0,28 н/о ТМ «Стародворье»")</f>
        <v/>
      </c>
      <c r="Q200" s="785" t="n"/>
      <c r="R200" s="785" t="n"/>
      <c r="S200" s="785" t="n"/>
      <c r="T200" s="786" t="n"/>
      <c r="U200" s="34" t="n"/>
      <c r="V200" s="34" t="n"/>
      <c r="W200" s="35" t="inlineStr">
        <is>
          <t>кг</t>
        </is>
      </c>
      <c r="X200" s="1221" t="n">
        <v>0</v>
      </c>
      <c r="Y200" s="1222">
        <f>IFERROR(IF(X200="",0,CEILING((X200/$H200),1)*$H200),"")</f>
        <v/>
      </c>
      <c r="Z200" s="36">
        <f>IFERROR(IF(Y200=0,"",ROUNDUP(Y200/H200,0)*0.00502),"")</f>
        <v/>
      </c>
      <c r="AA200" s="56" t="n"/>
      <c r="AB200" s="57" t="n"/>
      <c r="AC200" s="263" t="inlineStr">
        <is>
          <t>ЕАЭС N RU Д-RU.РА06.В.75139/23</t>
        </is>
      </c>
      <c r="AG200" s="64" t="n"/>
      <c r="AJ200" s="68" t="n"/>
      <c r="AK200" s="68" t="n">
        <v>0</v>
      </c>
      <c r="BB200" s="264" t="inlineStr">
        <is>
          <t>КИ</t>
        </is>
      </c>
      <c r="BM200" s="64">
        <f>IFERROR(X200*I200/H200,"0")</f>
        <v/>
      </c>
      <c r="BN200" s="64">
        <f>IFERROR(Y200*I200/H200,"0")</f>
        <v/>
      </c>
      <c r="BO200" s="64">
        <f>IFERROR(1/J200*(X200/H200),"0")</f>
        <v/>
      </c>
      <c r="BP200" s="64">
        <f>IFERROR(1/J200*(Y200/H200),"0")</f>
        <v/>
      </c>
    </row>
    <row r="201">
      <c r="A201" s="801" t="n"/>
      <c r="B201" s="800" t="n"/>
      <c r="C201" s="800" t="n"/>
      <c r="D201" s="800" t="n"/>
      <c r="E201" s="800" t="n"/>
      <c r="F201" s="800" t="n"/>
      <c r="G201" s="800" t="n"/>
      <c r="H201" s="800" t="n"/>
      <c r="I201" s="800" t="n"/>
      <c r="J201" s="800" t="n"/>
      <c r="K201" s="800" t="n"/>
      <c r="L201" s="800" t="n"/>
      <c r="M201" s="800" t="n"/>
      <c r="N201" s="800" t="n"/>
      <c r="O201" s="802" t="n"/>
      <c r="P201" s="796" t="inlineStr">
        <is>
          <t>Итого</t>
        </is>
      </c>
      <c r="Q201" s="793" t="n"/>
      <c r="R201" s="793" t="n"/>
      <c r="S201" s="793" t="n"/>
      <c r="T201" s="793" t="n"/>
      <c r="U201" s="793" t="n"/>
      <c r="V201" s="794" t="n"/>
      <c r="W201" s="37" t="inlineStr">
        <is>
          <t>кор</t>
        </is>
      </c>
      <c r="X201" s="1223">
        <f>IFERROR(X193/H193,"0")+IFERROR(X194/H194,"0")+IFERROR(X195/H195,"0")+IFERROR(X196/H196,"0")+IFERROR(X197/H197,"0")+IFERROR(X198/H198,"0")+IFERROR(X199/H199,"0")+IFERROR(X200/H200,"0")</f>
        <v/>
      </c>
      <c r="Y201" s="1223">
        <f>IFERROR(Y193/H193,"0")+IFERROR(Y194/H194,"0")+IFERROR(Y195/H195,"0")+IFERROR(Y196/H196,"0")+IFERROR(Y197/H197,"0")+IFERROR(Y198/H198,"0")+IFERROR(Y199/H199,"0")+IFERROR(Y200/H200,"0")</f>
        <v/>
      </c>
      <c r="Z201" s="1223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/>
      </c>
      <c r="AA201" s="1224" t="n"/>
      <c r="AB201" s="1224" t="n"/>
      <c r="AC201" s="1224" t="n"/>
    </row>
    <row r="202">
      <c r="A202" s="800" t="n"/>
      <c r="B202" s="800" t="n"/>
      <c r="C202" s="800" t="n"/>
      <c r="D202" s="800" t="n"/>
      <c r="E202" s="800" t="n"/>
      <c r="F202" s="800" t="n"/>
      <c r="G202" s="800" t="n"/>
      <c r="H202" s="800" t="n"/>
      <c r="I202" s="800" t="n"/>
      <c r="J202" s="800" t="n"/>
      <c r="K202" s="800" t="n"/>
      <c r="L202" s="800" t="n"/>
      <c r="M202" s="800" t="n"/>
      <c r="N202" s="800" t="n"/>
      <c r="O202" s="802" t="n"/>
      <c r="P202" s="796" t="inlineStr">
        <is>
          <t>Итого</t>
        </is>
      </c>
      <c r="Q202" s="793" t="n"/>
      <c r="R202" s="793" t="n"/>
      <c r="S202" s="793" t="n"/>
      <c r="T202" s="793" t="n"/>
      <c r="U202" s="793" t="n"/>
      <c r="V202" s="794" t="n"/>
      <c r="W202" s="37" t="inlineStr">
        <is>
          <t>кг</t>
        </is>
      </c>
      <c r="X202" s="1223">
        <f>IFERROR(SUM(X193:X200),"0")</f>
        <v/>
      </c>
      <c r="Y202" s="1223">
        <f>IFERROR(SUM(Y193:Y200),"0")</f>
        <v/>
      </c>
      <c r="Z202" s="37" t="n"/>
      <c r="AA202" s="1224" t="n"/>
      <c r="AB202" s="1224" t="n"/>
      <c r="AC202" s="1224" t="n"/>
    </row>
    <row r="203" ht="16.5" customHeight="1">
      <c r="A203" s="807" t="inlineStr">
        <is>
          <t>Сочинка</t>
        </is>
      </c>
      <c r="B203" s="800" t="n"/>
      <c r="C203" s="800" t="n"/>
      <c r="D203" s="800" t="n"/>
      <c r="E203" s="800" t="n"/>
      <c r="F203" s="800" t="n"/>
      <c r="G203" s="800" t="n"/>
      <c r="H203" s="800" t="n"/>
      <c r="I203" s="800" t="n"/>
      <c r="J203" s="800" t="n"/>
      <c r="K203" s="800" t="n"/>
      <c r="L203" s="800" t="n"/>
      <c r="M203" s="800" t="n"/>
      <c r="N203" s="800" t="n"/>
      <c r="O203" s="800" t="n"/>
      <c r="P203" s="800" t="n"/>
      <c r="Q203" s="800" t="n"/>
      <c r="R203" s="800" t="n"/>
      <c r="S203" s="800" t="n"/>
      <c r="T203" s="800" t="n"/>
      <c r="U203" s="800" t="n"/>
      <c r="V203" s="800" t="n"/>
      <c r="W203" s="800" t="n"/>
      <c r="X203" s="800" t="n"/>
      <c r="Y203" s="800" t="n"/>
      <c r="Z203" s="800" t="n"/>
      <c r="AA203" s="807" t="n"/>
      <c r="AB203" s="807" t="n"/>
      <c r="AC203" s="807" t="n"/>
    </row>
    <row r="204" ht="14.25" customHeight="1">
      <c r="A204" s="799" t="inlineStr">
        <is>
          <t>Вареные колбасы</t>
        </is>
      </c>
      <c r="B204" s="800" t="n"/>
      <c r="C204" s="800" t="n"/>
      <c r="D204" s="800" t="n"/>
      <c r="E204" s="800" t="n"/>
      <c r="F204" s="800" t="n"/>
      <c r="G204" s="800" t="n"/>
      <c r="H204" s="800" t="n"/>
      <c r="I204" s="800" t="n"/>
      <c r="J204" s="800" t="n"/>
      <c r="K204" s="800" t="n"/>
      <c r="L204" s="800" t="n"/>
      <c r="M204" s="800" t="n"/>
      <c r="N204" s="800" t="n"/>
      <c r="O204" s="800" t="n"/>
      <c r="P204" s="800" t="n"/>
      <c r="Q204" s="800" t="n"/>
      <c r="R204" s="800" t="n"/>
      <c r="S204" s="800" t="n"/>
      <c r="T204" s="800" t="n"/>
      <c r="U204" s="800" t="n"/>
      <c r="V204" s="800" t="n"/>
      <c r="W204" s="800" t="n"/>
      <c r="X204" s="800" t="n"/>
      <c r="Y204" s="800" t="n"/>
      <c r="Z204" s="800" t="n"/>
      <c r="AA204" s="799" t="n"/>
      <c r="AB204" s="799" t="n"/>
      <c r="AC204" s="799" t="n"/>
    </row>
    <row r="205" ht="16.5" customHeight="1">
      <c r="A205" s="54" t="inlineStr">
        <is>
          <t>SU002824</t>
        </is>
      </c>
      <c r="B205" s="54" t="inlineStr">
        <is>
          <t>P003231</t>
        </is>
      </c>
      <c r="C205" s="31" t="n">
        <v>4301011450</v>
      </c>
      <c r="D205" s="782" t="n">
        <v>4680115881402</v>
      </c>
      <c r="E205" s="783" t="n"/>
      <c r="F205" s="1220" t="n">
        <v>1.35</v>
      </c>
      <c r="G205" s="32" t="n">
        <v>8</v>
      </c>
      <c r="H205" s="1220" t="n">
        <v>10.8</v>
      </c>
      <c r="I205" s="1220" t="n">
        <v>11.28</v>
      </c>
      <c r="J205" s="32" t="n">
        <v>56</v>
      </c>
      <c r="K205" s="32" t="inlineStr">
        <is>
          <t>8</t>
        </is>
      </c>
      <c r="L205" s="32" t="n"/>
      <c r="M205" s="33" t="inlineStr">
        <is>
          <t>СК1</t>
        </is>
      </c>
      <c r="N205" s="33" t="n"/>
      <c r="O205" s="32" t="n">
        <v>55</v>
      </c>
      <c r="P205" s="1105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Q205" s="785" t="n"/>
      <c r="R205" s="785" t="n"/>
      <c r="S205" s="785" t="n"/>
      <c r="T205" s="786" t="n"/>
      <c r="U205" s="34" t="n"/>
      <c r="V205" s="34" t="n"/>
      <c r="W205" s="35" t="inlineStr">
        <is>
          <t>кг</t>
        </is>
      </c>
      <c r="X205" s="1221" t="n">
        <v>0</v>
      </c>
      <c r="Y205" s="1222">
        <f>IFERROR(IF(X205="",0,CEILING((X205/$H205),1)*$H205),"")</f>
        <v/>
      </c>
      <c r="Z205" s="36">
        <f>IFERROR(IF(Y205=0,"",ROUNDUP(Y205/H205,0)*0.02175),"")</f>
        <v/>
      </c>
      <c r="AA205" s="56" t="n"/>
      <c r="AB205" s="57" t="n"/>
      <c r="AC205" s="265" t="inlineStr">
        <is>
          <t>ЕАЭС N RU Д-RU.РА09.В.00972/22</t>
        </is>
      </c>
      <c r="AG205" s="64" t="n"/>
      <c r="AJ205" s="68" t="n"/>
      <c r="AK205" s="68" t="n">
        <v>0</v>
      </c>
      <c r="BB205" s="266" t="inlineStr">
        <is>
          <t>КИ</t>
        </is>
      </c>
      <c r="BM205" s="64">
        <f>IFERROR(X205*I205/H205,"0")</f>
        <v/>
      </c>
      <c r="BN205" s="64">
        <f>IFERROR(Y205*I205/H205,"0")</f>
        <v/>
      </c>
      <c r="BO205" s="64">
        <f>IFERROR(1/J205*(X205/H205),"0")</f>
        <v/>
      </c>
      <c r="BP205" s="64">
        <f>IFERROR(1/J205*(Y205/H205),"0")</f>
        <v/>
      </c>
    </row>
    <row r="206" ht="27" customHeight="1">
      <c r="A206" s="54" t="inlineStr">
        <is>
          <t>SU002823</t>
        </is>
      </c>
      <c r="B206" s="54" t="inlineStr">
        <is>
          <t>P003230</t>
        </is>
      </c>
      <c r="C206" s="31" t="n">
        <v>4301011767</v>
      </c>
      <c r="D206" s="782" t="n">
        <v>4680115881396</v>
      </c>
      <c r="E206" s="783" t="n"/>
      <c r="F206" s="1220" t="n">
        <v>0.45</v>
      </c>
      <c r="G206" s="32" t="n">
        <v>6</v>
      </c>
      <c r="H206" s="1220" t="n">
        <v>2.7</v>
      </c>
      <c r="I206" s="1220" t="n">
        <v>2.88</v>
      </c>
      <c r="J206" s="32" t="n">
        <v>182</v>
      </c>
      <c r="K206" s="32" t="inlineStr">
        <is>
          <t>14</t>
        </is>
      </c>
      <c r="L206" s="32" t="n"/>
      <c r="M206" s="33" t="inlineStr">
        <is>
          <t>СК2</t>
        </is>
      </c>
      <c r="N206" s="33" t="n"/>
      <c r="O206" s="32" t="n">
        <v>55</v>
      </c>
      <c r="P206" s="1015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Q206" s="785" t="n"/>
      <c r="R206" s="785" t="n"/>
      <c r="S206" s="785" t="n"/>
      <c r="T206" s="786" t="n"/>
      <c r="U206" s="34" t="n"/>
      <c r="V206" s="34" t="n"/>
      <c r="W206" s="35" t="inlineStr">
        <is>
          <t>кг</t>
        </is>
      </c>
      <c r="X206" s="1221" t="n">
        <v>0</v>
      </c>
      <c r="Y206" s="1222">
        <f>IFERROR(IF(X206="",0,CEILING((X206/$H206),1)*$H206),"")</f>
        <v/>
      </c>
      <c r="Z206" s="36">
        <f>IFERROR(IF(Y206=0,"",ROUNDUP(Y206/H206,0)*0.00651),"")</f>
        <v/>
      </c>
      <c r="AA206" s="56" t="n"/>
      <c r="AB206" s="57" t="n"/>
      <c r="AC206" s="267" t="inlineStr">
        <is>
          <t>ЕАЭС N RU Д-RU.РА09.В.00837/22, ЕАЭС N RU Д-RU.РА09.В.00972/22</t>
        </is>
      </c>
      <c r="AG206" s="64" t="n"/>
      <c r="AJ206" s="68" t="n"/>
      <c r="AK206" s="68" t="n">
        <v>0</v>
      </c>
      <c r="BB206" s="268" t="inlineStr">
        <is>
          <t>КИ</t>
        </is>
      </c>
      <c r="BM206" s="64">
        <f>IFERROR(X206*I206/H206,"0")</f>
        <v/>
      </c>
      <c r="BN206" s="64">
        <f>IFERROR(Y206*I206/H206,"0")</f>
        <v/>
      </c>
      <c r="BO206" s="64">
        <f>IFERROR(1/J206*(X206/H206),"0")</f>
        <v/>
      </c>
      <c r="BP206" s="64">
        <f>IFERROR(1/J206*(Y206/H206),"0")</f>
        <v/>
      </c>
    </row>
    <row r="207">
      <c r="A207" s="801" t="n"/>
      <c r="B207" s="800" t="n"/>
      <c r="C207" s="800" t="n"/>
      <c r="D207" s="800" t="n"/>
      <c r="E207" s="800" t="n"/>
      <c r="F207" s="800" t="n"/>
      <c r="G207" s="800" t="n"/>
      <c r="H207" s="800" t="n"/>
      <c r="I207" s="800" t="n"/>
      <c r="J207" s="800" t="n"/>
      <c r="K207" s="800" t="n"/>
      <c r="L207" s="800" t="n"/>
      <c r="M207" s="800" t="n"/>
      <c r="N207" s="800" t="n"/>
      <c r="O207" s="802" t="n"/>
      <c r="P207" s="796" t="inlineStr">
        <is>
          <t>Итого</t>
        </is>
      </c>
      <c r="Q207" s="793" t="n"/>
      <c r="R207" s="793" t="n"/>
      <c r="S207" s="793" t="n"/>
      <c r="T207" s="793" t="n"/>
      <c r="U207" s="793" t="n"/>
      <c r="V207" s="794" t="n"/>
      <c r="W207" s="37" t="inlineStr">
        <is>
          <t>кор</t>
        </is>
      </c>
      <c r="X207" s="1223">
        <f>IFERROR(X205/H205,"0")+IFERROR(X206/H206,"0")</f>
        <v/>
      </c>
      <c r="Y207" s="1223">
        <f>IFERROR(Y205/H205,"0")+IFERROR(Y206/H206,"0")</f>
        <v/>
      </c>
      <c r="Z207" s="1223">
        <f>IFERROR(IF(Z205="",0,Z205),"0")+IFERROR(IF(Z206="",0,Z206),"0")</f>
        <v/>
      </c>
      <c r="AA207" s="1224" t="n"/>
      <c r="AB207" s="1224" t="n"/>
      <c r="AC207" s="1224" t="n"/>
    </row>
    <row r="208">
      <c r="A208" s="800" t="n"/>
      <c r="B208" s="800" t="n"/>
      <c r="C208" s="800" t="n"/>
      <c r="D208" s="800" t="n"/>
      <c r="E208" s="800" t="n"/>
      <c r="F208" s="800" t="n"/>
      <c r="G208" s="800" t="n"/>
      <c r="H208" s="800" t="n"/>
      <c r="I208" s="800" t="n"/>
      <c r="J208" s="800" t="n"/>
      <c r="K208" s="800" t="n"/>
      <c r="L208" s="800" t="n"/>
      <c r="M208" s="800" t="n"/>
      <c r="N208" s="800" t="n"/>
      <c r="O208" s="802" t="n"/>
      <c r="P208" s="796" t="inlineStr">
        <is>
          <t>Итого</t>
        </is>
      </c>
      <c r="Q208" s="793" t="n"/>
      <c r="R208" s="793" t="n"/>
      <c r="S208" s="793" t="n"/>
      <c r="T208" s="793" t="n"/>
      <c r="U208" s="793" t="n"/>
      <c r="V208" s="794" t="n"/>
      <c r="W208" s="37" t="inlineStr">
        <is>
          <t>кг</t>
        </is>
      </c>
      <c r="X208" s="1223">
        <f>IFERROR(SUM(X205:X206),"0")</f>
        <v/>
      </c>
      <c r="Y208" s="1223">
        <f>IFERROR(SUM(Y205:Y206),"0")</f>
        <v/>
      </c>
      <c r="Z208" s="37" t="n"/>
      <c r="AA208" s="1224" t="n"/>
      <c r="AB208" s="1224" t="n"/>
      <c r="AC208" s="1224" t="n"/>
    </row>
    <row r="209" ht="14.25" customHeight="1">
      <c r="A209" s="799" t="inlineStr">
        <is>
          <t>Ветчины</t>
        </is>
      </c>
      <c r="B209" s="800" t="n"/>
      <c r="C209" s="800" t="n"/>
      <c r="D209" s="800" t="n"/>
      <c r="E209" s="800" t="n"/>
      <c r="F209" s="800" t="n"/>
      <c r="G209" s="800" t="n"/>
      <c r="H209" s="800" t="n"/>
      <c r="I209" s="800" t="n"/>
      <c r="J209" s="800" t="n"/>
      <c r="K209" s="800" t="n"/>
      <c r="L209" s="800" t="n"/>
      <c r="M209" s="800" t="n"/>
      <c r="N209" s="800" t="n"/>
      <c r="O209" s="800" t="n"/>
      <c r="P209" s="800" t="n"/>
      <c r="Q209" s="800" t="n"/>
      <c r="R209" s="800" t="n"/>
      <c r="S209" s="800" t="n"/>
      <c r="T209" s="800" t="n"/>
      <c r="U209" s="800" t="n"/>
      <c r="V209" s="800" t="n"/>
      <c r="W209" s="800" t="n"/>
      <c r="X209" s="800" t="n"/>
      <c r="Y209" s="800" t="n"/>
      <c r="Z209" s="800" t="n"/>
      <c r="AA209" s="799" t="n"/>
      <c r="AB209" s="799" t="n"/>
      <c r="AC209" s="799" t="n"/>
    </row>
    <row r="210" ht="16.5" customHeight="1">
      <c r="A210" s="54" t="inlineStr">
        <is>
          <t>SU003068</t>
        </is>
      </c>
      <c r="B210" s="54" t="inlineStr">
        <is>
          <t>P003611</t>
        </is>
      </c>
      <c r="C210" s="31" t="n">
        <v>4301020262</v>
      </c>
      <c r="D210" s="782" t="n">
        <v>4680115882935</v>
      </c>
      <c r="E210" s="783" t="n"/>
      <c r="F210" s="1220" t="n">
        <v>1.35</v>
      </c>
      <c r="G210" s="32" t="n">
        <v>8</v>
      </c>
      <c r="H210" s="1220" t="n">
        <v>10.8</v>
      </c>
      <c r="I210" s="1220" t="n">
        <v>11.28</v>
      </c>
      <c r="J210" s="32" t="n">
        <v>56</v>
      </c>
      <c r="K210" s="32" t="inlineStr">
        <is>
          <t>8</t>
        </is>
      </c>
      <c r="L210" s="32" t="n"/>
      <c r="M210" s="33" t="inlineStr">
        <is>
          <t>СК3</t>
        </is>
      </c>
      <c r="N210" s="33" t="n"/>
      <c r="O210" s="32" t="n">
        <v>50</v>
      </c>
      <c r="P210" s="1073">
        <f>HYPERLINK("https://abi.ru/products/Охлажденные/Стародворье/Сочинка/Ветчины/P003611/","Ветчина «Сочинка с сочным окороком» Весовой п/а ТМ «Стародворье»")</f>
        <v/>
      </c>
      <c r="Q210" s="785" t="n"/>
      <c r="R210" s="785" t="n"/>
      <c r="S210" s="785" t="n"/>
      <c r="T210" s="786" t="n"/>
      <c r="U210" s="34" t="n"/>
      <c r="V210" s="34" t="n"/>
      <c r="W210" s="35" t="inlineStr">
        <is>
          <t>кг</t>
        </is>
      </c>
      <c r="X210" s="1221" t="n">
        <v>0</v>
      </c>
      <c r="Y210" s="1222">
        <f>IFERROR(IF(X210="",0,CEILING((X210/$H210),1)*$H210),"")</f>
        <v/>
      </c>
      <c r="Z210" s="36">
        <f>IFERROR(IF(Y210=0,"",ROUNDUP(Y210/H210,0)*0.02175),"")</f>
        <v/>
      </c>
      <c r="AA210" s="56" t="n"/>
      <c r="AB210" s="57" t="n"/>
      <c r="AC210" s="269" t="inlineStr">
        <is>
          <t>ЕАЭС N RU Д-RU.РА06.В.80141/22</t>
        </is>
      </c>
      <c r="AG210" s="64" t="n"/>
      <c r="AJ210" s="68" t="n"/>
      <c r="AK210" s="68" t="n">
        <v>0</v>
      </c>
      <c r="BB210" s="270" t="inlineStr">
        <is>
          <t>КИ</t>
        </is>
      </c>
      <c r="BM210" s="64">
        <f>IFERROR(X210*I210/H210,"0")</f>
        <v/>
      </c>
      <c r="BN210" s="64">
        <f>IFERROR(Y210*I210/H210,"0")</f>
        <v/>
      </c>
      <c r="BO210" s="64">
        <f>IFERROR(1/J210*(X210/H210),"0")</f>
        <v/>
      </c>
      <c r="BP210" s="64">
        <f>IFERROR(1/J210*(Y210/H210),"0")</f>
        <v/>
      </c>
    </row>
    <row r="211" ht="16.5" customHeight="1">
      <c r="A211" s="54" t="inlineStr">
        <is>
          <t>SU002757</t>
        </is>
      </c>
      <c r="B211" s="54" t="inlineStr">
        <is>
          <t>P003128</t>
        </is>
      </c>
      <c r="C211" s="31" t="n">
        <v>4301020220</v>
      </c>
      <c r="D211" s="782" t="n">
        <v>4680115880764</v>
      </c>
      <c r="E211" s="783" t="n"/>
      <c r="F211" s="1220" t="n">
        <v>0.35</v>
      </c>
      <c r="G211" s="32" t="n">
        <v>6</v>
      </c>
      <c r="H211" s="1220" t="n">
        <v>2.1</v>
      </c>
      <c r="I211" s="1220" t="n">
        <v>2.28</v>
      </c>
      <c r="J211" s="32" t="n">
        <v>182</v>
      </c>
      <c r="K211" s="32" t="inlineStr">
        <is>
          <t>14</t>
        </is>
      </c>
      <c r="L211" s="32" t="n"/>
      <c r="M211" s="33" t="inlineStr">
        <is>
          <t>СК1</t>
        </is>
      </c>
      <c r="N211" s="33" t="n"/>
      <c r="O211" s="32" t="n">
        <v>50</v>
      </c>
      <c r="P211" s="1075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Q211" s="785" t="n"/>
      <c r="R211" s="785" t="n"/>
      <c r="S211" s="785" t="n"/>
      <c r="T211" s="786" t="n"/>
      <c r="U211" s="34" t="n"/>
      <c r="V211" s="34" t="n"/>
      <c r="W211" s="35" t="inlineStr">
        <is>
          <t>кг</t>
        </is>
      </c>
      <c r="X211" s="1221" t="n">
        <v>0</v>
      </c>
      <c r="Y211" s="1222">
        <f>IFERROR(IF(X211="",0,CEILING((X211/$H211),1)*$H211),"")</f>
        <v/>
      </c>
      <c r="Z211" s="36">
        <f>IFERROR(IF(Y211=0,"",ROUNDUP(Y211/H211,0)*0.00651),"")</f>
        <v/>
      </c>
      <c r="AA211" s="56" t="n"/>
      <c r="AB211" s="57" t="n"/>
      <c r="AC211" s="271" t="inlineStr">
        <is>
          <t>ЕАЭС N RU Д-RU.РА06.В.80141/22</t>
        </is>
      </c>
      <c r="AG211" s="64" t="n"/>
      <c r="AJ211" s="68" t="n"/>
      <c r="AK211" s="68" t="n">
        <v>0</v>
      </c>
      <c r="BB211" s="272" t="inlineStr">
        <is>
          <t>КИ</t>
        </is>
      </c>
      <c r="BM211" s="64">
        <f>IFERROR(X211*I211/H211,"0")</f>
        <v/>
      </c>
      <c r="BN211" s="64">
        <f>IFERROR(Y211*I211/H211,"0")</f>
        <v/>
      </c>
      <c r="BO211" s="64">
        <f>IFERROR(1/J211*(X211/H211),"0")</f>
        <v/>
      </c>
      <c r="BP211" s="64">
        <f>IFERROR(1/J211*(Y211/H211),"0")</f>
        <v/>
      </c>
    </row>
    <row r="212">
      <c r="A212" s="801" t="n"/>
      <c r="B212" s="800" t="n"/>
      <c r="C212" s="800" t="n"/>
      <c r="D212" s="800" t="n"/>
      <c r="E212" s="800" t="n"/>
      <c r="F212" s="800" t="n"/>
      <c r="G212" s="800" t="n"/>
      <c r="H212" s="800" t="n"/>
      <c r="I212" s="800" t="n"/>
      <c r="J212" s="800" t="n"/>
      <c r="K212" s="800" t="n"/>
      <c r="L212" s="800" t="n"/>
      <c r="M212" s="800" t="n"/>
      <c r="N212" s="800" t="n"/>
      <c r="O212" s="802" t="n"/>
      <c r="P212" s="796" t="inlineStr">
        <is>
          <t>Итого</t>
        </is>
      </c>
      <c r="Q212" s="793" t="n"/>
      <c r="R212" s="793" t="n"/>
      <c r="S212" s="793" t="n"/>
      <c r="T212" s="793" t="n"/>
      <c r="U212" s="793" t="n"/>
      <c r="V212" s="794" t="n"/>
      <c r="W212" s="37" t="inlineStr">
        <is>
          <t>кор</t>
        </is>
      </c>
      <c r="X212" s="1223">
        <f>IFERROR(X210/H210,"0")+IFERROR(X211/H211,"0")</f>
        <v/>
      </c>
      <c r="Y212" s="1223">
        <f>IFERROR(Y210/H210,"0")+IFERROR(Y211/H211,"0")</f>
        <v/>
      </c>
      <c r="Z212" s="1223">
        <f>IFERROR(IF(Z210="",0,Z210),"0")+IFERROR(IF(Z211="",0,Z211),"0")</f>
        <v/>
      </c>
      <c r="AA212" s="1224" t="n"/>
      <c r="AB212" s="1224" t="n"/>
      <c r="AC212" s="1224" t="n"/>
    </row>
    <row r="213">
      <c r="A213" s="800" t="n"/>
      <c r="B213" s="800" t="n"/>
      <c r="C213" s="800" t="n"/>
      <c r="D213" s="800" t="n"/>
      <c r="E213" s="800" t="n"/>
      <c r="F213" s="800" t="n"/>
      <c r="G213" s="800" t="n"/>
      <c r="H213" s="800" t="n"/>
      <c r="I213" s="800" t="n"/>
      <c r="J213" s="800" t="n"/>
      <c r="K213" s="800" t="n"/>
      <c r="L213" s="800" t="n"/>
      <c r="M213" s="800" t="n"/>
      <c r="N213" s="800" t="n"/>
      <c r="O213" s="802" t="n"/>
      <c r="P213" s="796" t="inlineStr">
        <is>
          <t>Итого</t>
        </is>
      </c>
      <c r="Q213" s="793" t="n"/>
      <c r="R213" s="793" t="n"/>
      <c r="S213" s="793" t="n"/>
      <c r="T213" s="793" t="n"/>
      <c r="U213" s="793" t="n"/>
      <c r="V213" s="794" t="n"/>
      <c r="W213" s="37" t="inlineStr">
        <is>
          <t>кг</t>
        </is>
      </c>
      <c r="X213" s="1223">
        <f>IFERROR(SUM(X210:X211),"0")</f>
        <v/>
      </c>
      <c r="Y213" s="1223">
        <f>IFERROR(SUM(Y210:Y211),"0")</f>
        <v/>
      </c>
      <c r="Z213" s="37" t="n"/>
      <c r="AA213" s="1224" t="n"/>
      <c r="AB213" s="1224" t="n"/>
      <c r="AC213" s="1224" t="n"/>
    </row>
    <row r="214" ht="14.25" customHeight="1">
      <c r="A214" s="799" t="inlineStr">
        <is>
          <t>Копченые колбасы</t>
        </is>
      </c>
      <c r="B214" s="800" t="n"/>
      <c r="C214" s="800" t="n"/>
      <c r="D214" s="800" t="n"/>
      <c r="E214" s="800" t="n"/>
      <c r="F214" s="800" t="n"/>
      <c r="G214" s="800" t="n"/>
      <c r="H214" s="800" t="n"/>
      <c r="I214" s="800" t="n"/>
      <c r="J214" s="800" t="n"/>
      <c r="K214" s="800" t="n"/>
      <c r="L214" s="800" t="n"/>
      <c r="M214" s="800" t="n"/>
      <c r="N214" s="800" t="n"/>
      <c r="O214" s="800" t="n"/>
      <c r="P214" s="800" t="n"/>
      <c r="Q214" s="800" t="n"/>
      <c r="R214" s="800" t="n"/>
      <c r="S214" s="800" t="n"/>
      <c r="T214" s="800" t="n"/>
      <c r="U214" s="800" t="n"/>
      <c r="V214" s="800" t="n"/>
      <c r="W214" s="800" t="n"/>
      <c r="X214" s="800" t="n"/>
      <c r="Y214" s="800" t="n"/>
      <c r="Z214" s="800" t="n"/>
      <c r="AA214" s="799" t="n"/>
      <c r="AB214" s="799" t="n"/>
      <c r="AC214" s="799" t="n"/>
    </row>
    <row r="215" ht="27" customHeight="1">
      <c r="A215" s="54" t="inlineStr">
        <is>
          <t>SU002941</t>
        </is>
      </c>
      <c r="B215" s="54" t="inlineStr">
        <is>
          <t>P003387</t>
        </is>
      </c>
      <c r="C215" s="31" t="n">
        <v>4301031224</v>
      </c>
      <c r="D215" s="782" t="n">
        <v>4680115882683</v>
      </c>
      <c r="E215" s="783" t="n"/>
      <c r="F215" s="1220" t="n">
        <v>0.9</v>
      </c>
      <c r="G215" s="32" t="n">
        <v>6</v>
      </c>
      <c r="H215" s="1220" t="n">
        <v>5.4</v>
      </c>
      <c r="I215" s="1220" t="n">
        <v>5.61</v>
      </c>
      <c r="J215" s="32" t="n">
        <v>132</v>
      </c>
      <c r="K215" s="32" t="inlineStr">
        <is>
          <t>12</t>
        </is>
      </c>
      <c r="L215" s="32" t="n"/>
      <c r="M215" s="33" t="inlineStr">
        <is>
          <t>СК2</t>
        </is>
      </c>
      <c r="N215" s="33" t="n"/>
      <c r="O215" s="32" t="n">
        <v>40</v>
      </c>
      <c r="P215" s="1195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Q215" s="785" t="n"/>
      <c r="R215" s="785" t="n"/>
      <c r="S215" s="785" t="n"/>
      <c r="T215" s="786" t="n"/>
      <c r="U215" s="34" t="n"/>
      <c r="V215" s="34" t="n"/>
      <c r="W215" s="35" t="inlineStr">
        <is>
          <t>кг</t>
        </is>
      </c>
      <c r="X215" s="1221" t="n">
        <v>100</v>
      </c>
      <c r="Y215" s="1222">
        <f>IFERROR(IF(X215="",0,CEILING((X215/$H215),1)*$H215),"")</f>
        <v/>
      </c>
      <c r="Z215" s="36">
        <f>IFERROR(IF(Y215=0,"",ROUNDUP(Y215/H215,0)*0.00902),"")</f>
        <v/>
      </c>
      <c r="AA215" s="56" t="n"/>
      <c r="AB215" s="57" t="n"/>
      <c r="AC215" s="273" t="inlineStr">
        <is>
          <t>ЕАЭС N RU Д-RU.РА04.В.74420/23</t>
        </is>
      </c>
      <c r="AG215" s="64" t="n"/>
      <c r="AJ215" s="68" t="n"/>
      <c r="AK215" s="68" t="n">
        <v>0</v>
      </c>
      <c r="BB215" s="274" t="inlineStr">
        <is>
          <t>КИ</t>
        </is>
      </c>
      <c r="BM215" s="64">
        <f>IFERROR(X215*I215/H215,"0")</f>
        <v/>
      </c>
      <c r="BN215" s="64">
        <f>IFERROR(Y215*I215/H215,"0")</f>
        <v/>
      </c>
      <c r="BO215" s="64">
        <f>IFERROR(1/J215*(X215/H215),"0")</f>
        <v/>
      </c>
      <c r="BP215" s="64">
        <f>IFERROR(1/J215*(Y215/H215),"0")</f>
        <v/>
      </c>
    </row>
    <row r="216" ht="27" customHeight="1">
      <c r="A216" s="54" t="inlineStr">
        <is>
          <t>SU002943</t>
        </is>
      </c>
      <c r="B216" s="54" t="inlineStr">
        <is>
          <t>P003401</t>
        </is>
      </c>
      <c r="C216" s="31" t="n">
        <v>4301031230</v>
      </c>
      <c r="D216" s="782" t="n">
        <v>4680115882690</v>
      </c>
      <c r="E216" s="783" t="n"/>
      <c r="F216" s="1220" t="n">
        <v>0.9</v>
      </c>
      <c r="G216" s="32" t="n">
        <v>6</v>
      </c>
      <c r="H216" s="1220" t="n">
        <v>5.4</v>
      </c>
      <c r="I216" s="1220" t="n">
        <v>5.61</v>
      </c>
      <c r="J216" s="32" t="n">
        <v>132</v>
      </c>
      <c r="K216" s="32" t="inlineStr">
        <is>
          <t>12</t>
        </is>
      </c>
      <c r="L216" s="32" t="n"/>
      <c r="M216" s="33" t="inlineStr">
        <is>
          <t>СК2</t>
        </is>
      </c>
      <c r="N216" s="33" t="n"/>
      <c r="O216" s="32" t="n">
        <v>40</v>
      </c>
      <c r="P216" s="1039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Q216" s="785" t="n"/>
      <c r="R216" s="785" t="n"/>
      <c r="S216" s="785" t="n"/>
      <c r="T216" s="786" t="n"/>
      <c r="U216" s="34" t="n"/>
      <c r="V216" s="34" t="n"/>
      <c r="W216" s="35" t="inlineStr">
        <is>
          <t>кг</t>
        </is>
      </c>
      <c r="X216" s="1221" t="n">
        <v>0</v>
      </c>
      <c r="Y216" s="1222">
        <f>IFERROR(IF(X216="",0,CEILING((X216/$H216),1)*$H216),"")</f>
        <v/>
      </c>
      <c r="Z216" s="36">
        <f>IFERROR(IF(Y216=0,"",ROUNDUP(Y216/H216,0)*0.00902),"")</f>
        <v/>
      </c>
      <c r="AA216" s="56" t="n"/>
      <c r="AB216" s="57" t="n"/>
      <c r="AC216" s="275" t="inlineStr">
        <is>
          <t>ЕАЭС N RU Д-RU.РА04.В.74256/23</t>
        </is>
      </c>
      <c r="AG216" s="64" t="n"/>
      <c r="AJ216" s="68" t="n"/>
      <c r="AK216" s="68" t="n">
        <v>0</v>
      </c>
      <c r="BB216" s="276" t="inlineStr">
        <is>
          <t>КИ</t>
        </is>
      </c>
      <c r="BM216" s="64">
        <f>IFERROR(X216*I216/H216,"0")</f>
        <v/>
      </c>
      <c r="BN216" s="64">
        <f>IFERROR(Y216*I216/H216,"0")</f>
        <v/>
      </c>
      <c r="BO216" s="64">
        <f>IFERROR(1/J216*(X216/H216),"0")</f>
        <v/>
      </c>
      <c r="BP216" s="64">
        <f>IFERROR(1/J216*(Y216/H216),"0")</f>
        <v/>
      </c>
    </row>
    <row r="217" ht="27" customHeight="1">
      <c r="A217" s="54" t="inlineStr">
        <is>
          <t>SU002945</t>
        </is>
      </c>
      <c r="B217" s="54" t="inlineStr">
        <is>
          <t>P003383</t>
        </is>
      </c>
      <c r="C217" s="31" t="n">
        <v>4301031220</v>
      </c>
      <c r="D217" s="782" t="n">
        <v>4680115882669</v>
      </c>
      <c r="E217" s="783" t="n"/>
      <c r="F217" s="1220" t="n">
        <v>0.9</v>
      </c>
      <c r="G217" s="32" t="n">
        <v>6</v>
      </c>
      <c r="H217" s="1220" t="n">
        <v>5.4</v>
      </c>
      <c r="I217" s="1220" t="n">
        <v>5.61</v>
      </c>
      <c r="J217" s="32" t="n">
        <v>132</v>
      </c>
      <c r="K217" s="32" t="inlineStr">
        <is>
          <t>12</t>
        </is>
      </c>
      <c r="L217" s="32" t="n"/>
      <c r="M217" s="33" t="inlineStr">
        <is>
          <t>СК2</t>
        </is>
      </c>
      <c r="N217" s="33" t="n"/>
      <c r="O217" s="32" t="n">
        <v>40</v>
      </c>
      <c r="P217" s="991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Q217" s="785" t="n"/>
      <c r="R217" s="785" t="n"/>
      <c r="S217" s="785" t="n"/>
      <c r="T217" s="786" t="n"/>
      <c r="U217" s="34" t="n"/>
      <c r="V217" s="34" t="n"/>
      <c r="W217" s="35" t="inlineStr">
        <is>
          <t>кг</t>
        </is>
      </c>
      <c r="X217" s="1221" t="n">
        <v>100</v>
      </c>
      <c r="Y217" s="1222">
        <f>IFERROR(IF(X217="",0,CEILING((X217/$H217),1)*$H217),"")</f>
        <v/>
      </c>
      <c r="Z217" s="36">
        <f>IFERROR(IF(Y217=0,"",ROUNDUP(Y217/H217,0)*0.00902),"")</f>
        <v/>
      </c>
      <c r="AA217" s="56" t="n"/>
      <c r="AB217" s="57" t="n"/>
      <c r="AC217" s="277" t="inlineStr">
        <is>
          <t>ЕАЭС N RU Д-RU.РА04.В.93220/23</t>
        </is>
      </c>
      <c r="AG217" s="64" t="n"/>
      <c r="AJ217" s="68" t="n"/>
      <c r="AK217" s="68" t="n">
        <v>0</v>
      </c>
      <c r="BB217" s="278" t="inlineStr">
        <is>
          <t>КИ</t>
        </is>
      </c>
      <c r="BM217" s="64">
        <f>IFERROR(X217*I217/H217,"0")</f>
        <v/>
      </c>
      <c r="BN217" s="64">
        <f>IFERROR(Y217*I217/H217,"0")</f>
        <v/>
      </c>
      <c r="BO217" s="64">
        <f>IFERROR(1/J217*(X217/H217),"0")</f>
        <v/>
      </c>
      <c r="BP217" s="64">
        <f>IFERROR(1/J217*(Y217/H217),"0")</f>
        <v/>
      </c>
    </row>
    <row r="218" ht="27" customHeight="1">
      <c r="A218" s="54" t="inlineStr">
        <is>
          <t>SU002947</t>
        </is>
      </c>
      <c r="B218" s="54" t="inlineStr">
        <is>
          <t>P003384</t>
        </is>
      </c>
      <c r="C218" s="31" t="n">
        <v>4301031221</v>
      </c>
      <c r="D218" s="782" t="n">
        <v>4680115882676</v>
      </c>
      <c r="E218" s="783" t="n"/>
      <c r="F218" s="1220" t="n">
        <v>0.9</v>
      </c>
      <c r="G218" s="32" t="n">
        <v>6</v>
      </c>
      <c r="H218" s="1220" t="n">
        <v>5.4</v>
      </c>
      <c r="I218" s="1220" t="n">
        <v>5.61</v>
      </c>
      <c r="J218" s="32" t="n">
        <v>132</v>
      </c>
      <c r="K218" s="32" t="inlineStr">
        <is>
          <t>12</t>
        </is>
      </c>
      <c r="L218" s="32" t="n"/>
      <c r="M218" s="33" t="inlineStr">
        <is>
          <t>СК2</t>
        </is>
      </c>
      <c r="N218" s="33" t="n"/>
      <c r="O218" s="32" t="n">
        <v>40</v>
      </c>
      <c r="P218" s="806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Q218" s="785" t="n"/>
      <c r="R218" s="785" t="n"/>
      <c r="S218" s="785" t="n"/>
      <c r="T218" s="786" t="n"/>
      <c r="U218" s="34" t="n"/>
      <c r="V218" s="34" t="n"/>
      <c r="W218" s="35" t="inlineStr">
        <is>
          <t>кг</t>
        </is>
      </c>
      <c r="X218" s="1221" t="n">
        <v>100</v>
      </c>
      <c r="Y218" s="1222">
        <f>IFERROR(IF(X218="",0,CEILING((X218/$H218),1)*$H218),"")</f>
        <v/>
      </c>
      <c r="Z218" s="36">
        <f>IFERROR(IF(Y218=0,"",ROUNDUP(Y218/H218,0)*0.00902),"")</f>
        <v/>
      </c>
      <c r="AA218" s="56" t="n"/>
      <c r="AB218" s="57" t="n"/>
      <c r="AC218" s="279" t="inlineStr">
        <is>
          <t>ЕАЭС N RU Д-RU.РА04.В.93161/23</t>
        </is>
      </c>
      <c r="AG218" s="64" t="n"/>
      <c r="AJ218" s="68" t="n"/>
      <c r="AK218" s="68" t="n">
        <v>0</v>
      </c>
      <c r="BB218" s="280" t="inlineStr">
        <is>
          <t>КИ</t>
        </is>
      </c>
      <c r="BM218" s="64">
        <f>IFERROR(X218*I218/H218,"0")</f>
        <v/>
      </c>
      <c r="BN218" s="64">
        <f>IFERROR(Y218*I218/H218,"0")</f>
        <v/>
      </c>
      <c r="BO218" s="64">
        <f>IFERROR(1/J218*(X218/H218),"0")</f>
        <v/>
      </c>
      <c r="BP218" s="64">
        <f>IFERROR(1/J218*(Y218/H218),"0")</f>
        <v/>
      </c>
    </row>
    <row r="219" ht="27" customHeight="1">
      <c r="A219" s="54" t="inlineStr">
        <is>
          <t>SU002944</t>
        </is>
      </c>
      <c r="B219" s="54" t="inlineStr">
        <is>
          <t>P003386</t>
        </is>
      </c>
      <c r="C219" s="31" t="n">
        <v>4301031223</v>
      </c>
      <c r="D219" s="782" t="n">
        <v>4680115884014</v>
      </c>
      <c r="E219" s="783" t="n"/>
      <c r="F219" s="1220" t="n">
        <v>0.3</v>
      </c>
      <c r="G219" s="32" t="n">
        <v>6</v>
      </c>
      <c r="H219" s="1220" t="n">
        <v>1.8</v>
      </c>
      <c r="I219" s="1220" t="n">
        <v>1.93</v>
      </c>
      <c r="J219" s="32" t="n">
        <v>234</v>
      </c>
      <c r="K219" s="32" t="inlineStr">
        <is>
          <t>18</t>
        </is>
      </c>
      <c r="L219" s="32" t="n"/>
      <c r="M219" s="33" t="inlineStr">
        <is>
          <t>СК2</t>
        </is>
      </c>
      <c r="N219" s="33" t="n"/>
      <c r="O219" s="32" t="n">
        <v>40</v>
      </c>
      <c r="P219" s="1072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/>
      </c>
      <c r="Q219" s="785" t="n"/>
      <c r="R219" s="785" t="n"/>
      <c r="S219" s="785" t="n"/>
      <c r="T219" s="786" t="n"/>
      <c r="U219" s="34" t="n"/>
      <c r="V219" s="34" t="n"/>
      <c r="W219" s="35" t="inlineStr">
        <is>
          <t>кг</t>
        </is>
      </c>
      <c r="X219" s="1221" t="n">
        <v>0</v>
      </c>
      <c r="Y219" s="1222">
        <f>IFERROR(IF(X219="",0,CEILING((X219/$H219),1)*$H219),"")</f>
        <v/>
      </c>
      <c r="Z219" s="36">
        <f>IFERROR(IF(Y219=0,"",ROUNDUP(Y219/H219,0)*0.00502),"")</f>
        <v/>
      </c>
      <c r="AA219" s="56" t="n"/>
      <c r="AB219" s="57" t="n"/>
      <c r="AC219" s="281" t="inlineStr">
        <is>
          <t>ЕАЭС N RU Д-RU.РА04.В.74420/23</t>
        </is>
      </c>
      <c r="AG219" s="64" t="n"/>
      <c r="AJ219" s="68" t="n"/>
      <c r="AK219" s="68" t="n">
        <v>0</v>
      </c>
      <c r="BB219" s="282" t="inlineStr">
        <is>
          <t>КИ</t>
        </is>
      </c>
      <c r="BM219" s="64">
        <f>IFERROR(X219*I219/H219,"0")</f>
        <v/>
      </c>
      <c r="BN219" s="64">
        <f>IFERROR(Y219*I219/H219,"0")</f>
        <v/>
      </c>
      <c r="BO219" s="64">
        <f>IFERROR(1/J219*(X219/H219),"0")</f>
        <v/>
      </c>
      <c r="BP219" s="64">
        <f>IFERROR(1/J219*(Y219/H219),"0")</f>
        <v/>
      </c>
    </row>
    <row r="220" ht="27" customHeight="1">
      <c r="A220" s="54" t="inlineStr">
        <is>
          <t>SU002942</t>
        </is>
      </c>
      <c r="B220" s="54" t="inlineStr">
        <is>
          <t>P003385</t>
        </is>
      </c>
      <c r="C220" s="31" t="n">
        <v>4301031222</v>
      </c>
      <c r="D220" s="782" t="n">
        <v>4680115884007</v>
      </c>
      <c r="E220" s="783" t="n"/>
      <c r="F220" s="1220" t="n">
        <v>0.3</v>
      </c>
      <c r="G220" s="32" t="n">
        <v>6</v>
      </c>
      <c r="H220" s="1220" t="n">
        <v>1.8</v>
      </c>
      <c r="I220" s="1220" t="n">
        <v>1.9</v>
      </c>
      <c r="J220" s="32" t="n">
        <v>234</v>
      </c>
      <c r="K220" s="32" t="inlineStr">
        <is>
          <t>18</t>
        </is>
      </c>
      <c r="L220" s="32" t="n"/>
      <c r="M220" s="33" t="inlineStr">
        <is>
          <t>СК2</t>
        </is>
      </c>
      <c r="N220" s="33" t="n"/>
      <c r="O220" s="32" t="n">
        <v>40</v>
      </c>
      <c r="P220" s="1201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/>
      </c>
      <c r="Q220" s="785" t="n"/>
      <c r="R220" s="785" t="n"/>
      <c r="S220" s="785" t="n"/>
      <c r="T220" s="786" t="n"/>
      <c r="U220" s="34" t="n"/>
      <c r="V220" s="34" t="n"/>
      <c r="W220" s="35" t="inlineStr">
        <is>
          <t>кг</t>
        </is>
      </c>
      <c r="X220" s="1221" t="n">
        <v>0</v>
      </c>
      <c r="Y220" s="1222">
        <f>IFERROR(IF(X220="",0,CEILING((X220/$H220),1)*$H220),"")</f>
        <v/>
      </c>
      <c r="Z220" s="36">
        <f>IFERROR(IF(Y220=0,"",ROUNDUP(Y220/H220,0)*0.00502),"")</f>
        <v/>
      </c>
      <c r="AA220" s="56" t="n"/>
      <c r="AB220" s="57" t="n"/>
      <c r="AC220" s="283" t="inlineStr">
        <is>
          <t>ЕАЭС N RU Д-RU.РА04.В.74256/23</t>
        </is>
      </c>
      <c r="AG220" s="64" t="n"/>
      <c r="AJ220" s="68" t="n"/>
      <c r="AK220" s="68" t="n">
        <v>0</v>
      </c>
      <c r="BB220" s="284" t="inlineStr">
        <is>
          <t>КИ</t>
        </is>
      </c>
      <c r="BM220" s="64">
        <f>IFERROR(X220*I220/H220,"0")</f>
        <v/>
      </c>
      <c r="BN220" s="64">
        <f>IFERROR(Y220*I220/H220,"0")</f>
        <v/>
      </c>
      <c r="BO220" s="64">
        <f>IFERROR(1/J220*(X220/H220),"0")</f>
        <v/>
      </c>
      <c r="BP220" s="64">
        <f>IFERROR(1/J220*(Y220/H220),"0")</f>
        <v/>
      </c>
    </row>
    <row r="221" ht="27" customHeight="1">
      <c r="A221" s="54" t="inlineStr">
        <is>
          <t>SU002946</t>
        </is>
      </c>
      <c r="B221" s="54" t="inlineStr">
        <is>
          <t>P003400</t>
        </is>
      </c>
      <c r="C221" s="31" t="n">
        <v>4301031229</v>
      </c>
      <c r="D221" s="782" t="n">
        <v>4680115884038</v>
      </c>
      <c r="E221" s="783" t="n"/>
      <c r="F221" s="1220" t="n">
        <v>0.3</v>
      </c>
      <c r="G221" s="32" t="n">
        <v>6</v>
      </c>
      <c r="H221" s="1220" t="n">
        <v>1.8</v>
      </c>
      <c r="I221" s="1220" t="n">
        <v>1.9</v>
      </c>
      <c r="J221" s="32" t="n">
        <v>234</v>
      </c>
      <c r="K221" s="32" t="inlineStr">
        <is>
          <t>18</t>
        </is>
      </c>
      <c r="L221" s="32" t="n"/>
      <c r="M221" s="33" t="inlineStr">
        <is>
          <t>СК2</t>
        </is>
      </c>
      <c r="N221" s="33" t="n"/>
      <c r="O221" s="32" t="n">
        <v>40</v>
      </c>
      <c r="P221" s="1191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/>
      </c>
      <c r="Q221" s="785" t="n"/>
      <c r="R221" s="785" t="n"/>
      <c r="S221" s="785" t="n"/>
      <c r="T221" s="786" t="n"/>
      <c r="U221" s="34" t="n"/>
      <c r="V221" s="34" t="n"/>
      <c r="W221" s="35" t="inlineStr">
        <is>
          <t>кг</t>
        </is>
      </c>
      <c r="X221" s="1221" t="n">
        <v>0</v>
      </c>
      <c r="Y221" s="1222">
        <f>IFERROR(IF(X221="",0,CEILING((X221/$H221),1)*$H221),"")</f>
        <v/>
      </c>
      <c r="Z221" s="36">
        <f>IFERROR(IF(Y221=0,"",ROUNDUP(Y221/H221,0)*0.00502),"")</f>
        <v/>
      </c>
      <c r="AA221" s="56" t="n"/>
      <c r="AB221" s="57" t="n"/>
      <c r="AC221" s="285" t="inlineStr">
        <is>
          <t>ЕАЭС N RU Д-RU.РА04.В.93220/23</t>
        </is>
      </c>
      <c r="AG221" s="64" t="n"/>
      <c r="AJ221" s="68" t="n"/>
      <c r="AK221" s="68" t="n">
        <v>0</v>
      </c>
      <c r="BB221" s="286" t="inlineStr">
        <is>
          <t>КИ</t>
        </is>
      </c>
      <c r="BM221" s="64">
        <f>IFERROR(X221*I221/H221,"0")</f>
        <v/>
      </c>
      <c r="BN221" s="64">
        <f>IFERROR(Y221*I221/H221,"0")</f>
        <v/>
      </c>
      <c r="BO221" s="64">
        <f>IFERROR(1/J221*(X221/H221),"0")</f>
        <v/>
      </c>
      <c r="BP221" s="64">
        <f>IFERROR(1/J221*(Y221/H221),"0")</f>
        <v/>
      </c>
    </row>
    <row r="222" ht="27" customHeight="1">
      <c r="A222" s="54" t="inlineStr">
        <is>
          <t>SU002948</t>
        </is>
      </c>
      <c r="B222" s="54" t="inlineStr">
        <is>
          <t>P003390</t>
        </is>
      </c>
      <c r="C222" s="31" t="n">
        <v>4301031225</v>
      </c>
      <c r="D222" s="782" t="n">
        <v>4680115884021</v>
      </c>
      <c r="E222" s="783" t="n"/>
      <c r="F222" s="1220" t="n">
        <v>0.3</v>
      </c>
      <c r="G222" s="32" t="n">
        <v>6</v>
      </c>
      <c r="H222" s="1220" t="n">
        <v>1.8</v>
      </c>
      <c r="I222" s="1220" t="n">
        <v>1.9</v>
      </c>
      <c r="J222" s="32" t="n">
        <v>234</v>
      </c>
      <c r="K222" s="32" t="inlineStr">
        <is>
          <t>18</t>
        </is>
      </c>
      <c r="L222" s="32" t="n"/>
      <c r="M222" s="33" t="inlineStr">
        <is>
          <t>СК2</t>
        </is>
      </c>
      <c r="N222" s="33" t="n"/>
      <c r="O222" s="32" t="n">
        <v>40</v>
      </c>
      <c r="P222" s="955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/>
      </c>
      <c r="Q222" s="785" t="n"/>
      <c r="R222" s="785" t="n"/>
      <c r="S222" s="785" t="n"/>
      <c r="T222" s="786" t="n"/>
      <c r="U222" s="34" t="n"/>
      <c r="V222" s="34" t="n"/>
      <c r="W222" s="35" t="inlineStr">
        <is>
          <t>кг</t>
        </is>
      </c>
      <c r="X222" s="1221" t="n">
        <v>0</v>
      </c>
      <c r="Y222" s="1222">
        <f>IFERROR(IF(X222="",0,CEILING((X222/$H222),1)*$H222),"")</f>
        <v/>
      </c>
      <c r="Z222" s="36">
        <f>IFERROR(IF(Y222=0,"",ROUNDUP(Y222/H222,0)*0.00502),"")</f>
        <v/>
      </c>
      <c r="AA222" s="56" t="n"/>
      <c r="AB222" s="57" t="n"/>
      <c r="AC222" s="287" t="inlineStr">
        <is>
          <t>ЕАЭС N RU Д-RU.РА04.В.93161/23</t>
        </is>
      </c>
      <c r="AG222" s="64" t="n"/>
      <c r="AJ222" s="68" t="n"/>
      <c r="AK222" s="68" t="n">
        <v>0</v>
      </c>
      <c r="BB222" s="288" t="inlineStr">
        <is>
          <t>КИ</t>
        </is>
      </c>
      <c r="BM222" s="64">
        <f>IFERROR(X222*I222/H222,"0")</f>
        <v/>
      </c>
      <c r="BN222" s="64">
        <f>IFERROR(Y222*I222/H222,"0")</f>
        <v/>
      </c>
      <c r="BO222" s="64">
        <f>IFERROR(1/J222*(X222/H222),"0")</f>
        <v/>
      </c>
      <c r="BP222" s="64">
        <f>IFERROR(1/J222*(Y222/H222),"0")</f>
        <v/>
      </c>
    </row>
    <row r="223">
      <c r="A223" s="801" t="n"/>
      <c r="B223" s="800" t="n"/>
      <c r="C223" s="800" t="n"/>
      <c r="D223" s="800" t="n"/>
      <c r="E223" s="800" t="n"/>
      <c r="F223" s="800" t="n"/>
      <c r="G223" s="800" t="n"/>
      <c r="H223" s="800" t="n"/>
      <c r="I223" s="800" t="n"/>
      <c r="J223" s="800" t="n"/>
      <c r="K223" s="800" t="n"/>
      <c r="L223" s="800" t="n"/>
      <c r="M223" s="800" t="n"/>
      <c r="N223" s="800" t="n"/>
      <c r="O223" s="802" t="n"/>
      <c r="P223" s="796" t="inlineStr">
        <is>
          <t>Итого</t>
        </is>
      </c>
      <c r="Q223" s="793" t="n"/>
      <c r="R223" s="793" t="n"/>
      <c r="S223" s="793" t="n"/>
      <c r="T223" s="793" t="n"/>
      <c r="U223" s="793" t="n"/>
      <c r="V223" s="794" t="n"/>
      <c r="W223" s="37" t="inlineStr">
        <is>
          <t>кор</t>
        </is>
      </c>
      <c r="X223" s="1223">
        <f>IFERROR(X215/H215,"0")+IFERROR(X216/H216,"0")+IFERROR(X217/H217,"0")+IFERROR(X218/H218,"0")+IFERROR(X219/H219,"0")+IFERROR(X220/H220,"0")+IFERROR(X221/H221,"0")+IFERROR(X222/H222,"0")</f>
        <v/>
      </c>
      <c r="Y223" s="1223">
        <f>IFERROR(Y215/H215,"0")+IFERROR(Y216/H216,"0")+IFERROR(Y217/H217,"0")+IFERROR(Y218/H218,"0")+IFERROR(Y219/H219,"0")+IFERROR(Y220/H220,"0")+IFERROR(Y221/H221,"0")+IFERROR(Y222/H222,"0")</f>
        <v/>
      </c>
      <c r="Z223" s="1223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/>
      </c>
      <c r="AA223" s="1224" t="n"/>
      <c r="AB223" s="1224" t="n"/>
      <c r="AC223" s="1224" t="n"/>
    </row>
    <row r="224">
      <c r="A224" s="800" t="n"/>
      <c r="B224" s="800" t="n"/>
      <c r="C224" s="800" t="n"/>
      <c r="D224" s="800" t="n"/>
      <c r="E224" s="800" t="n"/>
      <c r="F224" s="800" t="n"/>
      <c r="G224" s="800" t="n"/>
      <c r="H224" s="800" t="n"/>
      <c r="I224" s="800" t="n"/>
      <c r="J224" s="800" t="n"/>
      <c r="K224" s="800" t="n"/>
      <c r="L224" s="800" t="n"/>
      <c r="M224" s="800" t="n"/>
      <c r="N224" s="800" t="n"/>
      <c r="O224" s="802" t="n"/>
      <c r="P224" s="796" t="inlineStr">
        <is>
          <t>Итого</t>
        </is>
      </c>
      <c r="Q224" s="793" t="n"/>
      <c r="R224" s="793" t="n"/>
      <c r="S224" s="793" t="n"/>
      <c r="T224" s="793" t="n"/>
      <c r="U224" s="793" t="n"/>
      <c r="V224" s="794" t="n"/>
      <c r="W224" s="37" t="inlineStr">
        <is>
          <t>кг</t>
        </is>
      </c>
      <c r="X224" s="1223">
        <f>IFERROR(SUM(X215:X222),"0")</f>
        <v/>
      </c>
      <c r="Y224" s="1223">
        <f>IFERROR(SUM(Y215:Y222),"0")</f>
        <v/>
      </c>
      <c r="Z224" s="37" t="n"/>
      <c r="AA224" s="1224" t="n"/>
      <c r="AB224" s="1224" t="n"/>
      <c r="AC224" s="1224" t="n"/>
    </row>
    <row r="225" ht="14.25" customHeight="1">
      <c r="A225" s="799" t="inlineStr">
        <is>
          <t>Сосиски</t>
        </is>
      </c>
      <c r="B225" s="800" t="n"/>
      <c r="C225" s="800" t="n"/>
      <c r="D225" s="800" t="n"/>
      <c r="E225" s="800" t="n"/>
      <c r="F225" s="800" t="n"/>
      <c r="G225" s="800" t="n"/>
      <c r="H225" s="800" t="n"/>
      <c r="I225" s="800" t="n"/>
      <c r="J225" s="800" t="n"/>
      <c r="K225" s="800" t="n"/>
      <c r="L225" s="800" t="n"/>
      <c r="M225" s="800" t="n"/>
      <c r="N225" s="800" t="n"/>
      <c r="O225" s="800" t="n"/>
      <c r="P225" s="800" t="n"/>
      <c r="Q225" s="800" t="n"/>
      <c r="R225" s="800" t="n"/>
      <c r="S225" s="800" t="n"/>
      <c r="T225" s="800" t="n"/>
      <c r="U225" s="800" t="n"/>
      <c r="V225" s="800" t="n"/>
      <c r="W225" s="800" t="n"/>
      <c r="X225" s="800" t="n"/>
      <c r="Y225" s="800" t="n"/>
      <c r="Z225" s="800" t="n"/>
      <c r="AA225" s="799" t="n"/>
      <c r="AB225" s="799" t="n"/>
      <c r="AC225" s="799" t="n"/>
    </row>
    <row r="226" ht="37.5" customHeight="1">
      <c r="A226" s="54" t="inlineStr">
        <is>
          <t>SU002843</t>
        </is>
      </c>
      <c r="B226" s="54" t="inlineStr">
        <is>
          <t>P003263</t>
        </is>
      </c>
      <c r="C226" s="31" t="n">
        <v>4301051408</v>
      </c>
      <c r="D226" s="782" t="n">
        <v>4680115881594</v>
      </c>
      <c r="E226" s="783" t="n"/>
      <c r="F226" s="1220" t="n">
        <v>1.35</v>
      </c>
      <c r="G226" s="32" t="n">
        <v>6</v>
      </c>
      <c r="H226" s="1220" t="n">
        <v>8.1</v>
      </c>
      <c r="I226" s="1220" t="n">
        <v>8.664</v>
      </c>
      <c r="J226" s="32" t="n">
        <v>56</v>
      </c>
      <c r="K226" s="32" t="inlineStr">
        <is>
          <t>8</t>
        </is>
      </c>
      <c r="L226" s="32" t="n"/>
      <c r="M226" s="33" t="inlineStr">
        <is>
          <t>СК3</t>
        </is>
      </c>
      <c r="N226" s="33" t="n"/>
      <c r="O226" s="32" t="n">
        <v>40</v>
      </c>
      <c r="P226" s="928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Q226" s="785" t="n"/>
      <c r="R226" s="785" t="n"/>
      <c r="S226" s="785" t="n"/>
      <c r="T226" s="786" t="n"/>
      <c r="U226" s="34" t="n"/>
      <c r="V226" s="34" t="n"/>
      <c r="W226" s="35" t="inlineStr">
        <is>
          <t>кг</t>
        </is>
      </c>
      <c r="X226" s="1221" t="n">
        <v>0</v>
      </c>
      <c r="Y226" s="1222">
        <f>IFERROR(IF(X226="",0,CEILING((X226/$H226),1)*$H226),"")</f>
        <v/>
      </c>
      <c r="Z226" s="36">
        <f>IFERROR(IF(Y226=0,"",ROUNDUP(Y226/H226,0)*0.02175),"")</f>
        <v/>
      </c>
      <c r="AA226" s="56" t="n"/>
      <c r="AB226" s="57" t="n"/>
      <c r="AC226" s="289" t="inlineStr">
        <is>
          <t>ЕАЭС N RU Д-RU.РА01.В.99284/23, ЕАЭС N RU Д-RU.РА01.В.99309/23, ЕАЭС N RU Д-RU.РА01.В.99334/23</t>
        </is>
      </c>
      <c r="AG226" s="64" t="n"/>
      <c r="AJ226" s="68" t="n"/>
      <c r="AK226" s="68" t="n">
        <v>0</v>
      </c>
      <c r="BB226" s="290" t="inlineStr">
        <is>
          <t>КИ</t>
        </is>
      </c>
      <c r="BM226" s="64">
        <f>IFERROR(X226*I226/H226,"0")</f>
        <v/>
      </c>
      <c r="BN226" s="64">
        <f>IFERROR(Y226*I226/H226,"0")</f>
        <v/>
      </c>
      <c r="BO226" s="64">
        <f>IFERROR(1/J226*(X226/H226),"0")</f>
        <v/>
      </c>
      <c r="BP226" s="64">
        <f>IFERROR(1/J226*(Y226/H226),"0")</f>
        <v/>
      </c>
    </row>
    <row r="227" ht="27" customHeight="1">
      <c r="A227" s="54" t="inlineStr">
        <is>
          <t>SU002795</t>
        </is>
      </c>
      <c r="B227" s="54" t="inlineStr">
        <is>
          <t>P004180</t>
        </is>
      </c>
      <c r="C227" s="31" t="n">
        <v>4301051754</v>
      </c>
      <c r="D227" s="782" t="n">
        <v>4680115880962</v>
      </c>
      <c r="E227" s="783" t="n"/>
      <c r="F227" s="1220" t="n">
        <v>1.3</v>
      </c>
      <c r="G227" s="32" t="n">
        <v>6</v>
      </c>
      <c r="H227" s="1220" t="n">
        <v>7.8</v>
      </c>
      <c r="I227" s="1220" t="n">
        <v>8.364000000000001</v>
      </c>
      <c r="J227" s="32" t="n">
        <v>56</v>
      </c>
      <c r="K227" s="32" t="inlineStr">
        <is>
          <t>8</t>
        </is>
      </c>
      <c r="L227" s="32" t="n"/>
      <c r="M227" s="33" t="inlineStr">
        <is>
          <t>СК2</t>
        </is>
      </c>
      <c r="N227" s="33" t="n"/>
      <c r="O227" s="32" t="n">
        <v>40</v>
      </c>
      <c r="P227" s="924">
        <f>HYPERLINK("https://abi.ru/products/Охлажденные/Стародворье/Сочинка/Сосиски/P004180/","Сосиски Сочинки с сыром Бордо Весовой п/а Стародворье")</f>
        <v/>
      </c>
      <c r="Q227" s="785" t="n"/>
      <c r="R227" s="785" t="n"/>
      <c r="S227" s="785" t="n"/>
      <c r="T227" s="786" t="n"/>
      <c r="U227" s="34" t="n"/>
      <c r="V227" s="34" t="n"/>
      <c r="W227" s="35" t="inlineStr">
        <is>
          <t>кг</t>
        </is>
      </c>
      <c r="X227" s="1221" t="n">
        <v>0</v>
      </c>
      <c r="Y227" s="1222">
        <f>IFERROR(IF(X227="",0,CEILING((X227/$H227),1)*$H227),"")</f>
        <v/>
      </c>
      <c r="Z227" s="36">
        <f>IFERROR(IF(Y227=0,"",ROUNDUP(Y227/H227,0)*0.02175),"")</f>
        <v/>
      </c>
      <c r="AA227" s="56" t="n"/>
      <c r="AB227" s="57" t="n"/>
      <c r="AC227" s="291" t="inlineStr">
        <is>
          <t>ЕАЭС N RU Д-RU.РА02.В.51431/24, ЕАЭС N RU Д-RU.РА02.В.51546/24</t>
        </is>
      </c>
      <c r="AG227" s="64" t="n"/>
      <c r="AJ227" s="68" t="n"/>
      <c r="AK227" s="68" t="n">
        <v>0</v>
      </c>
      <c r="BB227" s="292" t="inlineStr">
        <is>
          <t>КИ</t>
        </is>
      </c>
      <c r="BM227" s="64">
        <f>IFERROR(X227*I227/H227,"0")</f>
        <v/>
      </c>
      <c r="BN227" s="64">
        <f>IFERROR(Y227*I227/H227,"0")</f>
        <v/>
      </c>
      <c r="BO227" s="64">
        <f>IFERROR(1/J227*(X227/H227),"0")</f>
        <v/>
      </c>
      <c r="BP227" s="64">
        <f>IFERROR(1/J227*(Y227/H227),"0")</f>
        <v/>
      </c>
    </row>
    <row r="228" ht="37.5" customHeight="1">
      <c r="A228" s="54" t="inlineStr">
        <is>
          <t>SU002845</t>
        </is>
      </c>
      <c r="B228" s="54" t="inlineStr">
        <is>
          <t>P003266</t>
        </is>
      </c>
      <c r="C228" s="31" t="n">
        <v>4301051411</v>
      </c>
      <c r="D228" s="782" t="n">
        <v>4680115881617</v>
      </c>
      <c r="E228" s="783" t="n"/>
      <c r="F228" s="1220" t="n">
        <v>1.35</v>
      </c>
      <c r="G228" s="32" t="n">
        <v>6</v>
      </c>
      <c r="H228" s="1220" t="n">
        <v>8.1</v>
      </c>
      <c r="I228" s="1220" t="n">
        <v>8.646000000000001</v>
      </c>
      <c r="J228" s="32" t="n">
        <v>56</v>
      </c>
      <c r="K228" s="32" t="inlineStr">
        <is>
          <t>8</t>
        </is>
      </c>
      <c r="L228" s="32" t="n"/>
      <c r="M228" s="33" t="inlineStr">
        <is>
          <t>СК3</t>
        </is>
      </c>
      <c r="N228" s="33" t="n"/>
      <c r="O228" s="32" t="n">
        <v>40</v>
      </c>
      <c r="P228" s="841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Q228" s="785" t="n"/>
      <c r="R228" s="785" t="n"/>
      <c r="S228" s="785" t="n"/>
      <c r="T228" s="786" t="n"/>
      <c r="U228" s="34" t="n"/>
      <c r="V228" s="34" t="n"/>
      <c r="W228" s="35" t="inlineStr">
        <is>
          <t>кг</t>
        </is>
      </c>
      <c r="X228" s="1221" t="n">
        <v>0</v>
      </c>
      <c r="Y228" s="1222">
        <f>IFERROR(IF(X228="",0,CEILING((X228/$H228),1)*$H228),"")</f>
        <v/>
      </c>
      <c r="Z228" s="36">
        <f>IFERROR(IF(Y228=0,"",ROUNDUP(Y228/H228,0)*0.02175),"")</f>
        <v/>
      </c>
      <c r="AA228" s="56" t="n"/>
      <c r="AB228" s="57" t="n"/>
      <c r="AC228" s="293" t="inlineStr">
        <is>
          <t>ЕАЭС N RU Д-RU.РА01.В.99153/23, ЕАЭС N RU Д-RU.РА01.В.99184/23, ЕАЭС N RU Д-RU.РА01.В.99209/23</t>
        </is>
      </c>
      <c r="AG228" s="64" t="n"/>
      <c r="AJ228" s="68" t="n"/>
      <c r="AK228" s="68" t="n">
        <v>0</v>
      </c>
      <c r="BB228" s="294" t="inlineStr">
        <is>
          <t>КИ</t>
        </is>
      </c>
      <c r="BM228" s="64">
        <f>IFERROR(X228*I228/H228,"0")</f>
        <v/>
      </c>
      <c r="BN228" s="64">
        <f>IFERROR(Y228*I228/H228,"0")</f>
        <v/>
      </c>
      <c r="BO228" s="64">
        <f>IFERROR(1/J228*(X228/H228),"0")</f>
        <v/>
      </c>
      <c r="BP228" s="64">
        <f>IFERROR(1/J228*(Y228/H228),"0")</f>
        <v/>
      </c>
    </row>
    <row r="229" ht="27" customHeight="1">
      <c r="A229" s="54" t="inlineStr">
        <is>
          <t>SU002725</t>
        </is>
      </c>
      <c r="B229" s="54" t="inlineStr">
        <is>
          <t>P003959</t>
        </is>
      </c>
      <c r="C229" s="31" t="n">
        <v>4301051632</v>
      </c>
      <c r="D229" s="782" t="n">
        <v>4680115880573</v>
      </c>
      <c r="E229" s="783" t="n"/>
      <c r="F229" s="1220" t="n">
        <v>1.45</v>
      </c>
      <c r="G229" s="32" t="n">
        <v>6</v>
      </c>
      <c r="H229" s="1220" t="n">
        <v>8.699999999999999</v>
      </c>
      <c r="I229" s="1220" t="n">
        <v>9.263999999999999</v>
      </c>
      <c r="J229" s="32" t="n">
        <v>56</v>
      </c>
      <c r="K229" s="32" t="inlineStr">
        <is>
          <t>8</t>
        </is>
      </c>
      <c r="L229" s="32" t="n"/>
      <c r="M229" s="33" t="inlineStr">
        <is>
          <t>СК2</t>
        </is>
      </c>
      <c r="N229" s="33" t="n"/>
      <c r="O229" s="32" t="n">
        <v>45</v>
      </c>
      <c r="P229" s="1029">
        <f>HYPERLINK("https://abi.ru/products/Охлажденные/Стародворье/Сочинка/Сосиски/P003959/","Сосиски «Сочинки» Весовой п/а ТМ «Стародворье»")</f>
        <v/>
      </c>
      <c r="Q229" s="785" t="n"/>
      <c r="R229" s="785" t="n"/>
      <c r="S229" s="785" t="n"/>
      <c r="T229" s="786" t="n"/>
      <c r="U229" s="34" t="n"/>
      <c r="V229" s="34" t="n"/>
      <c r="W229" s="35" t="inlineStr">
        <is>
          <t>кг</t>
        </is>
      </c>
      <c r="X229" s="1221" t="n">
        <v>0</v>
      </c>
      <c r="Y229" s="1222">
        <f>IFERROR(IF(X229="",0,CEILING((X229/$H229),1)*$H229),"")</f>
        <v/>
      </c>
      <c r="Z229" s="36">
        <f>IFERROR(IF(Y229=0,"",ROUNDUP(Y229/H229,0)*0.02175),"")</f>
        <v/>
      </c>
      <c r="AA229" s="56" t="n"/>
      <c r="AB229" s="57" t="n"/>
      <c r="AC229" s="295" t="inlineStr">
        <is>
          <t>ЕАЭС N RU Д-RU.РА01.В.93966/24, ЕАЭС N RU Д-RU.РА01.В.98062/24</t>
        </is>
      </c>
      <c r="AG229" s="64" t="n"/>
      <c r="AJ229" s="68" t="n"/>
      <c r="AK229" s="68" t="n">
        <v>0</v>
      </c>
      <c r="BB229" s="296" t="inlineStr">
        <is>
          <t>КИ</t>
        </is>
      </c>
      <c r="BM229" s="64">
        <f>IFERROR(X229*I229/H229,"0")</f>
        <v/>
      </c>
      <c r="BN229" s="64">
        <f>IFERROR(Y229*I229/H229,"0")</f>
        <v/>
      </c>
      <c r="BO229" s="64">
        <f>IFERROR(1/J229*(X229/H229),"0")</f>
        <v/>
      </c>
      <c r="BP229" s="64">
        <f>IFERROR(1/J229*(Y229/H229),"0")</f>
        <v/>
      </c>
    </row>
    <row r="230" ht="37.5" customHeight="1">
      <c r="A230" s="54" t="inlineStr">
        <is>
          <t>SU002842</t>
        </is>
      </c>
      <c r="B230" s="54" t="inlineStr">
        <is>
          <t>P003262</t>
        </is>
      </c>
      <c r="C230" s="31" t="n">
        <v>4301051407</v>
      </c>
      <c r="D230" s="782" t="n">
        <v>4680115882195</v>
      </c>
      <c r="E230" s="783" t="n"/>
      <c r="F230" s="1220" t="n">
        <v>0.4</v>
      </c>
      <c r="G230" s="32" t="n">
        <v>6</v>
      </c>
      <c r="H230" s="1220" t="n">
        <v>2.4</v>
      </c>
      <c r="I230" s="1220" t="n">
        <v>2.67</v>
      </c>
      <c r="J230" s="32" t="n">
        <v>182</v>
      </c>
      <c r="K230" s="32" t="inlineStr">
        <is>
          <t>14</t>
        </is>
      </c>
      <c r="L230" s="32" t="n"/>
      <c r="M230" s="33" t="inlineStr">
        <is>
          <t>СК3</t>
        </is>
      </c>
      <c r="N230" s="33" t="n"/>
      <c r="O230" s="32" t="n">
        <v>40</v>
      </c>
      <c r="P230" s="1177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Q230" s="785" t="n"/>
      <c r="R230" s="785" t="n"/>
      <c r="S230" s="785" t="n"/>
      <c r="T230" s="786" t="n"/>
      <c r="U230" s="34" t="n"/>
      <c r="V230" s="34" t="n"/>
      <c r="W230" s="35" t="inlineStr">
        <is>
          <t>кг</t>
        </is>
      </c>
      <c r="X230" s="1221" t="n">
        <v>0</v>
      </c>
      <c r="Y230" s="1222">
        <f>IFERROR(IF(X230="",0,CEILING((X230/$H230),1)*$H230),"")</f>
        <v/>
      </c>
      <c r="Z230" s="36">
        <f>IFERROR(IF(Y230=0,"",ROUNDUP(Y230/H230,0)*0.00651),"")</f>
        <v/>
      </c>
      <c r="AA230" s="56" t="n"/>
      <c r="AB230" s="57" t="n"/>
      <c r="AC230" s="297" t="inlineStr">
        <is>
          <t>ЕАЭС N RU Д-RU.РА01.В.99284/23, ЕАЭС N RU Д-RU.РА01.В.99309/23, ЕАЭС N RU Д-RU.РА01.В.99334/23</t>
        </is>
      </c>
      <c r="AG230" s="64" t="n"/>
      <c r="AJ230" s="68" t="n"/>
      <c r="AK230" s="68" t="n">
        <v>0</v>
      </c>
      <c r="BB230" s="298" t="inlineStr">
        <is>
          <t>КИ</t>
        </is>
      </c>
      <c r="BM230" s="64">
        <f>IFERROR(X230*I230/H230,"0")</f>
        <v/>
      </c>
      <c r="BN230" s="64">
        <f>IFERROR(Y230*I230/H230,"0")</f>
        <v/>
      </c>
      <c r="BO230" s="64">
        <f>IFERROR(1/J230*(X230/H230),"0")</f>
        <v/>
      </c>
      <c r="BP230" s="64">
        <f>IFERROR(1/J230*(Y230/H230),"0")</f>
        <v/>
      </c>
    </row>
    <row r="231" ht="37.5" customHeight="1">
      <c r="A231" s="54" t="inlineStr">
        <is>
          <t>SU002992</t>
        </is>
      </c>
      <c r="B231" s="54" t="inlineStr">
        <is>
          <t>P004147</t>
        </is>
      </c>
      <c r="C231" s="31" t="n">
        <v>4301051752</v>
      </c>
      <c r="D231" s="782" t="n">
        <v>4680115882607</v>
      </c>
      <c r="E231" s="783" t="n"/>
      <c r="F231" s="1220" t="n">
        <v>0.3</v>
      </c>
      <c r="G231" s="32" t="n">
        <v>6</v>
      </c>
      <c r="H231" s="1220" t="n">
        <v>1.8</v>
      </c>
      <c r="I231" s="1220" t="n">
        <v>2.052</v>
      </c>
      <c r="J231" s="32" t="n">
        <v>182</v>
      </c>
      <c r="K231" s="32" t="inlineStr">
        <is>
          <t>14</t>
        </is>
      </c>
      <c r="L231" s="32" t="n"/>
      <c r="M231" s="33" t="inlineStr">
        <is>
          <t>СК4</t>
        </is>
      </c>
      <c r="N231" s="33" t="n"/>
      <c r="O231" s="32" t="n">
        <v>45</v>
      </c>
      <c r="P231" s="1213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/>
      </c>
      <c r="Q231" s="785" t="n"/>
      <c r="R231" s="785" t="n"/>
      <c r="S231" s="785" t="n"/>
      <c r="T231" s="786" t="n"/>
      <c r="U231" s="34" t="n"/>
      <c r="V231" s="34" t="n"/>
      <c r="W231" s="35" t="inlineStr">
        <is>
          <t>кг</t>
        </is>
      </c>
      <c r="X231" s="1221" t="n">
        <v>0</v>
      </c>
      <c r="Y231" s="1222">
        <f>IFERROR(IF(X231="",0,CEILING((X231/$H231),1)*$H231),"")</f>
        <v/>
      </c>
      <c r="Z231" s="36">
        <f>IFERROR(IF(Y231=0,"",ROUNDUP(Y231/H231,0)*0.00651),"")</f>
        <v/>
      </c>
      <c r="AA231" s="56" t="n"/>
      <c r="AB231" s="57" t="n"/>
      <c r="AC231" s="299" t="inlineStr">
        <is>
          <t>ЕАЭС N RU Д-RU.РА01.В.93966/24, ЕАЭС N RU Д-RU.РА01.В.98062/24, ЕАЭС N RU Д-RU.РА08.В.57431/22</t>
        </is>
      </c>
      <c r="AG231" s="64" t="n"/>
      <c r="AJ231" s="68" t="n"/>
      <c r="AK231" s="68" t="n">
        <v>0</v>
      </c>
      <c r="BB231" s="300" t="inlineStr">
        <is>
          <t>КИ</t>
        </is>
      </c>
      <c r="BM231" s="64">
        <f>IFERROR(X231*I231/H231,"0")</f>
        <v/>
      </c>
      <c r="BN231" s="64">
        <f>IFERROR(Y231*I231/H231,"0")</f>
        <v/>
      </c>
      <c r="BO231" s="64">
        <f>IFERROR(1/J231*(X231/H231),"0")</f>
        <v/>
      </c>
      <c r="BP231" s="64">
        <f>IFERROR(1/J231*(Y231/H231),"0")</f>
        <v/>
      </c>
    </row>
    <row r="232" ht="27" customHeight="1">
      <c r="A232" s="54" t="inlineStr">
        <is>
          <t>SU002618</t>
        </is>
      </c>
      <c r="B232" s="54" t="inlineStr">
        <is>
          <t>P003957</t>
        </is>
      </c>
      <c r="C232" s="31" t="n">
        <v>4301051630</v>
      </c>
      <c r="D232" s="782" t="n">
        <v>4680115880092</v>
      </c>
      <c r="E232" s="783" t="n"/>
      <c r="F232" s="1220" t="n">
        <v>0.4</v>
      </c>
      <c r="G232" s="32" t="n">
        <v>6</v>
      </c>
      <c r="H232" s="1220" t="n">
        <v>2.4</v>
      </c>
      <c r="I232" s="1220" t="n">
        <v>2.652</v>
      </c>
      <c r="J232" s="32" t="n">
        <v>182</v>
      </c>
      <c r="K232" s="32" t="inlineStr">
        <is>
          <t>14</t>
        </is>
      </c>
      <c r="L232" s="32" t="n"/>
      <c r="M232" s="33" t="inlineStr">
        <is>
          <t>СК2</t>
        </is>
      </c>
      <c r="N232" s="33" t="n"/>
      <c r="O232" s="32" t="n">
        <v>45</v>
      </c>
      <c r="P232" s="1217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/>
      </c>
      <c r="Q232" s="785" t="n"/>
      <c r="R232" s="785" t="n"/>
      <c r="S232" s="785" t="n"/>
      <c r="T232" s="786" t="n"/>
      <c r="U232" s="34" t="n"/>
      <c r="V232" s="34" t="n"/>
      <c r="W232" s="35" t="inlineStr">
        <is>
          <t>кг</t>
        </is>
      </c>
      <c r="X232" s="1221" t="n">
        <v>0</v>
      </c>
      <c r="Y232" s="1222">
        <f>IFERROR(IF(X232="",0,CEILING((X232/$H232),1)*$H232),"")</f>
        <v/>
      </c>
      <c r="Z232" s="36">
        <f>IFERROR(IF(Y232=0,"",ROUNDUP(Y232/H232,0)*0.00651),"")</f>
        <v/>
      </c>
      <c r="AA232" s="56" t="n"/>
      <c r="AB232" s="57" t="n"/>
      <c r="AC232" s="301" t="inlineStr">
        <is>
          <t>ЕАЭС N RU Д-RU.РА01.В.93966/24</t>
        </is>
      </c>
      <c r="AG232" s="64" t="n"/>
      <c r="AJ232" s="68" t="n"/>
      <c r="AK232" s="68" t="n">
        <v>0</v>
      </c>
      <c r="BB232" s="302" t="inlineStr">
        <is>
          <t>КИ</t>
        </is>
      </c>
      <c r="BM232" s="64">
        <f>IFERROR(X232*I232/H232,"0")</f>
        <v/>
      </c>
      <c r="BN232" s="64">
        <f>IFERROR(Y232*I232/H232,"0")</f>
        <v/>
      </c>
      <c r="BO232" s="64">
        <f>IFERROR(1/J232*(X232/H232),"0")</f>
        <v/>
      </c>
      <c r="BP232" s="64">
        <f>IFERROR(1/J232*(Y232/H232),"0")</f>
        <v/>
      </c>
    </row>
    <row r="233" ht="27" customHeight="1">
      <c r="A233" s="54" t="inlineStr">
        <is>
          <t>SU002621</t>
        </is>
      </c>
      <c r="B233" s="54" t="inlineStr">
        <is>
          <t>P003958</t>
        </is>
      </c>
      <c r="C233" s="31" t="n">
        <v>4301051631</v>
      </c>
      <c r="D233" s="782" t="n">
        <v>4680115880221</v>
      </c>
      <c r="E233" s="783" t="n"/>
      <c r="F233" s="1220" t="n">
        <v>0.4</v>
      </c>
      <c r="G233" s="32" t="n">
        <v>6</v>
      </c>
      <c r="H233" s="1220" t="n">
        <v>2.4</v>
      </c>
      <c r="I233" s="1220" t="n">
        <v>2.652</v>
      </c>
      <c r="J233" s="32" t="n">
        <v>182</v>
      </c>
      <c r="K233" s="32" t="inlineStr">
        <is>
          <t>14</t>
        </is>
      </c>
      <c r="L233" s="32" t="n"/>
      <c r="M233" s="33" t="inlineStr">
        <is>
          <t>СК2</t>
        </is>
      </c>
      <c r="N233" s="33" t="n"/>
      <c r="O233" s="32" t="n">
        <v>45</v>
      </c>
      <c r="P233" s="1021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/>
      </c>
      <c r="Q233" s="785" t="n"/>
      <c r="R233" s="785" t="n"/>
      <c r="S233" s="785" t="n"/>
      <c r="T233" s="786" t="n"/>
      <c r="U233" s="34" t="n"/>
      <c r="V233" s="34" t="n"/>
      <c r="W233" s="35" t="inlineStr">
        <is>
          <t>кг</t>
        </is>
      </c>
      <c r="X233" s="1221" t="n">
        <v>0</v>
      </c>
      <c r="Y233" s="1222">
        <f>IFERROR(IF(X233="",0,CEILING((X233/$H233),1)*$H233),"")</f>
        <v/>
      </c>
      <c r="Z233" s="36">
        <f>IFERROR(IF(Y233=0,"",ROUNDUP(Y233/H233,0)*0.00651),"")</f>
        <v/>
      </c>
      <c r="AA233" s="56" t="n"/>
      <c r="AB233" s="57" t="n"/>
      <c r="AC233" s="303" t="inlineStr">
        <is>
          <t>ЕАЭС N RU Д-RU.РА01.В.93966/24, ЕАЭС N RU Д-RU.РА01.В.98062/24</t>
        </is>
      </c>
      <c r="AG233" s="64" t="n"/>
      <c r="AJ233" s="68" t="n"/>
      <c r="AK233" s="68" t="n">
        <v>0</v>
      </c>
      <c r="BB233" s="304" t="inlineStr">
        <is>
          <t>КИ</t>
        </is>
      </c>
      <c r="BM233" s="64">
        <f>IFERROR(X233*I233/H233,"0")</f>
        <v/>
      </c>
      <c r="BN233" s="64">
        <f>IFERROR(Y233*I233/H233,"0")</f>
        <v/>
      </c>
      <c r="BO233" s="64">
        <f>IFERROR(1/J233*(X233/H233),"0")</f>
        <v/>
      </c>
      <c r="BP233" s="64">
        <f>IFERROR(1/J233*(Y233/H233),"0")</f>
        <v/>
      </c>
    </row>
    <row r="234" ht="27" customHeight="1">
      <c r="A234" s="54" t="inlineStr">
        <is>
          <t>SU003073</t>
        </is>
      </c>
      <c r="B234" s="54" t="inlineStr">
        <is>
          <t>P004148</t>
        </is>
      </c>
      <c r="C234" s="31" t="n">
        <v>4301051749</v>
      </c>
      <c r="D234" s="782" t="n">
        <v>4680115882942</v>
      </c>
      <c r="E234" s="783" t="n"/>
      <c r="F234" s="1220" t="n">
        <v>0.3</v>
      </c>
      <c r="G234" s="32" t="n">
        <v>6</v>
      </c>
      <c r="H234" s="1220" t="n">
        <v>1.8</v>
      </c>
      <c r="I234" s="1220" t="n">
        <v>2.052</v>
      </c>
      <c r="J234" s="32" t="n">
        <v>182</v>
      </c>
      <c r="K234" s="32" t="inlineStr">
        <is>
          <t>14</t>
        </is>
      </c>
      <c r="L234" s="32" t="n"/>
      <c r="M234" s="33" t="inlineStr">
        <is>
          <t>СК2</t>
        </is>
      </c>
      <c r="N234" s="33" t="n"/>
      <c r="O234" s="32" t="n">
        <v>40</v>
      </c>
      <c r="P234" s="1176">
        <f>HYPERLINK("https://abi.ru/products/Охлажденные/Стародворье/Сочинка/Сосиски/P004148/","Сосиски «Сочинки с сыром» ф/в 0,3 кг п/а ТМ «Стародворье»")</f>
        <v/>
      </c>
      <c r="Q234" s="785" t="n"/>
      <c r="R234" s="785" t="n"/>
      <c r="S234" s="785" t="n"/>
      <c r="T234" s="786" t="n"/>
      <c r="U234" s="34" t="n"/>
      <c r="V234" s="34" t="n"/>
      <c r="W234" s="35" t="inlineStr">
        <is>
          <t>кг</t>
        </is>
      </c>
      <c r="X234" s="1221" t="n">
        <v>0</v>
      </c>
      <c r="Y234" s="1222">
        <f>IFERROR(IF(X234="",0,CEILING((X234/$H234),1)*$H234),"")</f>
        <v/>
      </c>
      <c r="Z234" s="36">
        <f>IFERROR(IF(Y234=0,"",ROUNDUP(Y234/H234,0)*0.00651),"")</f>
        <v/>
      </c>
      <c r="AA234" s="56" t="n"/>
      <c r="AB234" s="57" t="n"/>
      <c r="AC234" s="305" t="inlineStr">
        <is>
          <t>ЕАЭС N RU Д-RU.РА02.В.51431/24, ЕАЭС N RU Д-RU.РА02.В.51546/24</t>
        </is>
      </c>
      <c r="AG234" s="64" t="n"/>
      <c r="AJ234" s="68" t="n"/>
      <c r="AK234" s="68" t="n">
        <v>0</v>
      </c>
      <c r="BB234" s="306" t="inlineStr">
        <is>
          <t>КИ</t>
        </is>
      </c>
      <c r="BM234" s="64">
        <f>IFERROR(X234*I234/H234,"0")</f>
        <v/>
      </c>
      <c r="BN234" s="64">
        <f>IFERROR(Y234*I234/H234,"0")</f>
        <v/>
      </c>
      <c r="BO234" s="64">
        <f>IFERROR(1/J234*(X234/H234),"0")</f>
        <v/>
      </c>
      <c r="BP234" s="64">
        <f>IFERROR(1/J234*(Y234/H234),"0")</f>
        <v/>
      </c>
    </row>
    <row r="235" ht="27" customHeight="1">
      <c r="A235" s="54" t="inlineStr">
        <is>
          <t>SU002686</t>
        </is>
      </c>
      <c r="B235" s="54" t="inlineStr">
        <is>
          <t>P004178</t>
        </is>
      </c>
      <c r="C235" s="31" t="n">
        <v>4301051753</v>
      </c>
      <c r="D235" s="782" t="n">
        <v>4680115880504</v>
      </c>
      <c r="E235" s="783" t="n"/>
      <c r="F235" s="1220" t="n">
        <v>0.4</v>
      </c>
      <c r="G235" s="32" t="n">
        <v>6</v>
      </c>
      <c r="H235" s="1220" t="n">
        <v>2.4</v>
      </c>
      <c r="I235" s="1220" t="n">
        <v>2.652</v>
      </c>
      <c r="J235" s="32" t="n">
        <v>182</v>
      </c>
      <c r="K235" s="32" t="inlineStr">
        <is>
          <t>14</t>
        </is>
      </c>
      <c r="L235" s="32" t="n"/>
      <c r="M235" s="33" t="inlineStr">
        <is>
          <t>СК2</t>
        </is>
      </c>
      <c r="N235" s="33" t="n"/>
      <c r="O235" s="32" t="n">
        <v>40</v>
      </c>
      <c r="P235" s="1001">
        <f>HYPERLINK("https://abi.ru/products/Охлажденные/Стародворье/Сочинка/Сосиски/P004178/","Сосиски Сочинки с сыром Бордо ф/в 0,4 кг п/а Стародворье")</f>
        <v/>
      </c>
      <c r="Q235" s="785" t="n"/>
      <c r="R235" s="785" t="n"/>
      <c r="S235" s="785" t="n"/>
      <c r="T235" s="786" t="n"/>
      <c r="U235" s="34" t="n"/>
      <c r="V235" s="34" t="n"/>
      <c r="W235" s="35" t="inlineStr">
        <is>
          <t>кг</t>
        </is>
      </c>
      <c r="X235" s="1221" t="n">
        <v>0</v>
      </c>
      <c r="Y235" s="1222">
        <f>IFERROR(IF(X235="",0,CEILING((X235/$H235),1)*$H235),"")</f>
        <v/>
      </c>
      <c r="Z235" s="36">
        <f>IFERROR(IF(Y235=0,"",ROUNDUP(Y235/H235,0)*0.00651),"")</f>
        <v/>
      </c>
      <c r="AA235" s="56" t="n"/>
      <c r="AB235" s="57" t="n"/>
      <c r="AC235" s="307" t="inlineStr">
        <is>
          <t>ЕАЭС N RU Д-RU.РА02.В.51431/24, ЕАЭС N RU Д-RU.РА02.В.51546/24</t>
        </is>
      </c>
      <c r="AG235" s="64" t="n"/>
      <c r="AJ235" s="68" t="n"/>
      <c r="AK235" s="68" t="n">
        <v>0</v>
      </c>
      <c r="BB235" s="308" t="inlineStr">
        <is>
          <t>КИ</t>
        </is>
      </c>
      <c r="BM235" s="64">
        <f>IFERROR(X235*I235/H235,"0")</f>
        <v/>
      </c>
      <c r="BN235" s="64">
        <f>IFERROR(Y235*I235/H235,"0")</f>
        <v/>
      </c>
      <c r="BO235" s="64">
        <f>IFERROR(1/J235*(X235/H235),"0")</f>
        <v/>
      </c>
      <c r="BP235" s="64">
        <f>IFERROR(1/J235*(Y235/H235),"0")</f>
        <v/>
      </c>
    </row>
    <row r="236" ht="27" customHeight="1">
      <c r="A236" s="54" t="inlineStr">
        <is>
          <t>SU002844</t>
        </is>
      </c>
      <c r="B236" s="54" t="inlineStr">
        <is>
          <t>P003265</t>
        </is>
      </c>
      <c r="C236" s="31" t="n">
        <v>4301051410</v>
      </c>
      <c r="D236" s="782" t="n">
        <v>4680115882164</v>
      </c>
      <c r="E236" s="783" t="n"/>
      <c r="F236" s="1220" t="n">
        <v>0.4</v>
      </c>
      <c r="G236" s="32" t="n">
        <v>6</v>
      </c>
      <c r="H236" s="1220" t="n">
        <v>2.4</v>
      </c>
      <c r="I236" s="1220" t="n">
        <v>2.658</v>
      </c>
      <c r="J236" s="32" t="n">
        <v>182</v>
      </c>
      <c r="K236" s="32" t="inlineStr">
        <is>
          <t>14</t>
        </is>
      </c>
      <c r="L236" s="32" t="n"/>
      <c r="M236" s="33" t="inlineStr">
        <is>
          <t>СК3</t>
        </is>
      </c>
      <c r="N236" s="33" t="n"/>
      <c r="O236" s="32" t="n">
        <v>40</v>
      </c>
      <c r="P236" s="1161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Q236" s="785" t="n"/>
      <c r="R236" s="785" t="n"/>
      <c r="S236" s="785" t="n"/>
      <c r="T236" s="786" t="n"/>
      <c r="U236" s="34" t="n"/>
      <c r="V236" s="34" t="n"/>
      <c r="W236" s="35" t="inlineStr">
        <is>
          <t>кг</t>
        </is>
      </c>
      <c r="X236" s="1221" t="n">
        <v>0</v>
      </c>
      <c r="Y236" s="1222">
        <f>IFERROR(IF(X236="",0,CEILING((X236/$H236),1)*$H236),"")</f>
        <v/>
      </c>
      <c r="Z236" s="36">
        <f>IFERROR(IF(Y236=0,"",ROUNDUP(Y236/H236,0)*0.00651),"")</f>
        <v/>
      </c>
      <c r="AA236" s="56" t="n"/>
      <c r="AB236" s="57" t="n"/>
      <c r="AC236" s="309" t="inlineStr">
        <is>
          <t>ЕАЭС N RU Д-RU.РА01.В.99184/23, ЕАЭС N RU Д-RU.РА01.В.99209/23</t>
        </is>
      </c>
      <c r="AG236" s="64" t="n"/>
      <c r="AJ236" s="68" t="n"/>
      <c r="AK236" s="68" t="n">
        <v>0</v>
      </c>
      <c r="BB236" s="310" t="inlineStr">
        <is>
          <t>КИ</t>
        </is>
      </c>
      <c r="BM236" s="64">
        <f>IFERROR(X236*I236/H236,"0")</f>
        <v/>
      </c>
      <c r="BN236" s="64">
        <f>IFERROR(Y236*I236/H236,"0")</f>
        <v/>
      </c>
      <c r="BO236" s="64">
        <f>IFERROR(1/J236*(X236/H236),"0")</f>
        <v/>
      </c>
      <c r="BP236" s="64">
        <f>IFERROR(1/J236*(Y236/H236),"0")</f>
        <v/>
      </c>
    </row>
    <row r="237">
      <c r="A237" s="801" t="n"/>
      <c r="B237" s="800" t="n"/>
      <c r="C237" s="800" t="n"/>
      <c r="D237" s="800" t="n"/>
      <c r="E237" s="800" t="n"/>
      <c r="F237" s="800" t="n"/>
      <c r="G237" s="800" t="n"/>
      <c r="H237" s="800" t="n"/>
      <c r="I237" s="800" t="n"/>
      <c r="J237" s="800" t="n"/>
      <c r="K237" s="800" t="n"/>
      <c r="L237" s="800" t="n"/>
      <c r="M237" s="800" t="n"/>
      <c r="N237" s="800" t="n"/>
      <c r="O237" s="802" t="n"/>
      <c r="P237" s="796" t="inlineStr">
        <is>
          <t>Итого</t>
        </is>
      </c>
      <c r="Q237" s="793" t="n"/>
      <c r="R237" s="793" t="n"/>
      <c r="S237" s="793" t="n"/>
      <c r="T237" s="793" t="n"/>
      <c r="U237" s="793" t="n"/>
      <c r="V237" s="794" t="n"/>
      <c r="W237" s="37" t="inlineStr">
        <is>
          <t>кор</t>
        </is>
      </c>
      <c r="X237" s="1223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/>
      </c>
      <c r="Y237" s="1223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/>
      </c>
      <c r="Z237" s="1223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/>
      </c>
      <c r="AA237" s="1224" t="n"/>
      <c r="AB237" s="1224" t="n"/>
      <c r="AC237" s="1224" t="n"/>
    </row>
    <row r="238">
      <c r="A238" s="800" t="n"/>
      <c r="B238" s="800" t="n"/>
      <c r="C238" s="800" t="n"/>
      <c r="D238" s="800" t="n"/>
      <c r="E238" s="800" t="n"/>
      <c r="F238" s="800" t="n"/>
      <c r="G238" s="800" t="n"/>
      <c r="H238" s="800" t="n"/>
      <c r="I238" s="800" t="n"/>
      <c r="J238" s="800" t="n"/>
      <c r="K238" s="800" t="n"/>
      <c r="L238" s="800" t="n"/>
      <c r="M238" s="800" t="n"/>
      <c r="N238" s="800" t="n"/>
      <c r="O238" s="802" t="n"/>
      <c r="P238" s="796" t="inlineStr">
        <is>
          <t>Итого</t>
        </is>
      </c>
      <c r="Q238" s="793" t="n"/>
      <c r="R238" s="793" t="n"/>
      <c r="S238" s="793" t="n"/>
      <c r="T238" s="793" t="n"/>
      <c r="U238" s="793" t="n"/>
      <c r="V238" s="794" t="n"/>
      <c r="W238" s="37" t="inlineStr">
        <is>
          <t>кг</t>
        </is>
      </c>
      <c r="X238" s="1223">
        <f>IFERROR(SUM(X226:X236),"0")</f>
        <v/>
      </c>
      <c r="Y238" s="1223">
        <f>IFERROR(SUM(Y226:Y236),"0")</f>
        <v/>
      </c>
      <c r="Z238" s="37" t="n"/>
      <c r="AA238" s="1224" t="n"/>
      <c r="AB238" s="1224" t="n"/>
      <c r="AC238" s="1224" t="n"/>
    </row>
    <row r="239" ht="14.25" customHeight="1">
      <c r="A239" s="799" t="inlineStr">
        <is>
          <t>Сардельки</t>
        </is>
      </c>
      <c r="B239" s="800" t="n"/>
      <c r="C239" s="800" t="n"/>
      <c r="D239" s="800" t="n"/>
      <c r="E239" s="800" t="n"/>
      <c r="F239" s="800" t="n"/>
      <c r="G239" s="800" t="n"/>
      <c r="H239" s="800" t="n"/>
      <c r="I239" s="800" t="n"/>
      <c r="J239" s="800" t="n"/>
      <c r="K239" s="800" t="n"/>
      <c r="L239" s="800" t="n"/>
      <c r="M239" s="800" t="n"/>
      <c r="N239" s="800" t="n"/>
      <c r="O239" s="800" t="n"/>
      <c r="P239" s="800" t="n"/>
      <c r="Q239" s="800" t="n"/>
      <c r="R239" s="800" t="n"/>
      <c r="S239" s="800" t="n"/>
      <c r="T239" s="800" t="n"/>
      <c r="U239" s="800" t="n"/>
      <c r="V239" s="800" t="n"/>
      <c r="W239" s="800" t="n"/>
      <c r="X239" s="800" t="n"/>
      <c r="Y239" s="800" t="n"/>
      <c r="Z239" s="800" t="n"/>
      <c r="AA239" s="799" t="n"/>
      <c r="AB239" s="799" t="n"/>
      <c r="AC239" s="799" t="n"/>
    </row>
    <row r="240" ht="16.5" customHeight="1">
      <c r="A240" s="54" t="inlineStr">
        <is>
          <t>SU003042</t>
        </is>
      </c>
      <c r="B240" s="54" t="inlineStr">
        <is>
          <t>P004232</t>
        </is>
      </c>
      <c r="C240" s="31" t="n">
        <v>4301060404</v>
      </c>
      <c r="D240" s="782" t="n">
        <v>4680115882874</v>
      </c>
      <c r="E240" s="783" t="n"/>
      <c r="F240" s="1220" t="n">
        <v>0.8</v>
      </c>
      <c r="G240" s="32" t="n">
        <v>4</v>
      </c>
      <c r="H240" s="1220" t="n">
        <v>3.2</v>
      </c>
      <c r="I240" s="1220" t="n">
        <v>3.466</v>
      </c>
      <c r="J240" s="32" t="n">
        <v>132</v>
      </c>
      <c r="K240" s="32" t="inlineStr">
        <is>
          <t>12</t>
        </is>
      </c>
      <c r="L240" s="32" t="n"/>
      <c r="M240" s="33" t="inlineStr">
        <is>
          <t>СК2</t>
        </is>
      </c>
      <c r="N240" s="33" t="n"/>
      <c r="O240" s="32" t="n">
        <v>40</v>
      </c>
      <c r="P240" s="1138">
        <f>HYPERLINK("https://abi.ru/products/Охлажденные/Стародворье/Сочинка/Сардельки/P004232/","Сардельки «Сочинки» Весовой н/о ТМ «Стародворье»")</f>
        <v/>
      </c>
      <c r="Q240" s="785" t="n"/>
      <c r="R240" s="785" t="n"/>
      <c r="S240" s="785" t="n"/>
      <c r="T240" s="786" t="n"/>
      <c r="U240" s="34" t="n"/>
      <c r="V240" s="34" t="n"/>
      <c r="W240" s="35" t="inlineStr">
        <is>
          <t>кг</t>
        </is>
      </c>
      <c r="X240" s="1221" t="n">
        <v>0</v>
      </c>
      <c r="Y240" s="1222">
        <f>IFERROR(IF(X240="",0,CEILING((X240/$H240),1)*$H240),"")</f>
        <v/>
      </c>
      <c r="Z240" s="36">
        <f>IFERROR(IF(Y240=0,"",ROUNDUP(Y240/H240,0)*0.00902),"")</f>
        <v/>
      </c>
      <c r="AA240" s="56" t="n"/>
      <c r="AB240" s="57" t="n"/>
      <c r="AC240" s="311" t="inlineStr">
        <is>
          <t>ЕАЭС N RU Д-RU.РА01.В.93036/24</t>
        </is>
      </c>
      <c r="AG240" s="64" t="n"/>
      <c r="AJ240" s="68" t="n"/>
      <c r="AK240" s="68" t="n">
        <v>0</v>
      </c>
      <c r="BB240" s="312" t="inlineStr">
        <is>
          <t>КИ</t>
        </is>
      </c>
      <c r="BM240" s="64">
        <f>IFERROR(X240*I240/H240,"0")</f>
        <v/>
      </c>
      <c r="BN240" s="64">
        <f>IFERROR(Y240*I240/H240,"0")</f>
        <v/>
      </c>
      <c r="BO240" s="64">
        <f>IFERROR(1/J240*(X240/H240),"0")</f>
        <v/>
      </c>
      <c r="BP240" s="64">
        <f>IFERROR(1/J240*(Y240/H240),"0")</f>
        <v/>
      </c>
    </row>
    <row r="241" ht="16.5" customHeight="1">
      <c r="A241" s="54" t="inlineStr">
        <is>
          <t>SU003042</t>
        </is>
      </c>
      <c r="B241" s="54" t="inlineStr">
        <is>
          <t>P003608</t>
        </is>
      </c>
      <c r="C241" s="31" t="n">
        <v>4301060360</v>
      </c>
      <c r="D241" s="782" t="n">
        <v>4680115882874</v>
      </c>
      <c r="E241" s="783" t="n"/>
      <c r="F241" s="1220" t="n">
        <v>0.8</v>
      </c>
      <c r="G241" s="32" t="n">
        <v>4</v>
      </c>
      <c r="H241" s="1220" t="n">
        <v>3.2</v>
      </c>
      <c r="I241" s="1220" t="n">
        <v>3.466</v>
      </c>
      <c r="J241" s="32" t="n">
        <v>120</v>
      </c>
      <c r="K241" s="32" t="inlineStr">
        <is>
          <t>12</t>
        </is>
      </c>
      <c r="L241" s="32" t="n"/>
      <c r="M241" s="33" t="inlineStr">
        <is>
          <t>СК2</t>
        </is>
      </c>
      <c r="N241" s="33" t="n"/>
      <c r="O241" s="32" t="n">
        <v>30</v>
      </c>
      <c r="P241" s="910">
        <f>HYPERLINK("https://abi.ru/products/Охлажденные/Стародворье/Сочинка/Сардельки/P003608/","Сардельки «Сочинки» Весовой н/о ТМ «Стародворье»")</f>
        <v/>
      </c>
      <c r="Q241" s="785" t="n"/>
      <c r="R241" s="785" t="n"/>
      <c r="S241" s="785" t="n"/>
      <c r="T241" s="786" t="n"/>
      <c r="U241" s="34" t="n"/>
      <c r="V241" s="34" t="n"/>
      <c r="W241" s="35" t="inlineStr">
        <is>
          <t>кг</t>
        </is>
      </c>
      <c r="X241" s="1221" t="n">
        <v>0</v>
      </c>
      <c r="Y241" s="1222">
        <f>IFERROR(IF(X241="",0,CEILING((X241/$H241),1)*$H241),"")</f>
        <v/>
      </c>
      <c r="Z241" s="36">
        <f>IFERROR(IF(Y241=0,"",ROUNDUP(Y241/H241,0)*0.00937),"")</f>
        <v/>
      </c>
      <c r="AA241" s="56" t="n"/>
      <c r="AB241" s="57" t="n"/>
      <c r="AC241" s="313" t="inlineStr">
        <is>
          <t>ЕАЭС N RU Д-RU.РА07.В.82328/22</t>
        </is>
      </c>
      <c r="AG241" s="64" t="n"/>
      <c r="AJ241" s="68" t="n"/>
      <c r="AK241" s="68" t="n">
        <v>0</v>
      </c>
      <c r="BB241" s="314" t="inlineStr">
        <is>
          <t>КИ</t>
        </is>
      </c>
      <c r="BM241" s="64">
        <f>IFERROR(X241*I241/H241,"0")</f>
        <v/>
      </c>
      <c r="BN241" s="64">
        <f>IFERROR(Y241*I241/H241,"0")</f>
        <v/>
      </c>
      <c r="BO241" s="64">
        <f>IFERROR(1/J241*(X241/H241),"0")</f>
        <v/>
      </c>
      <c r="BP241" s="64">
        <f>IFERROR(1/J241*(Y241/H241),"0")</f>
        <v/>
      </c>
    </row>
    <row r="242" ht="16.5" customHeight="1">
      <c r="A242" s="54" t="inlineStr">
        <is>
          <t>SU003042</t>
        </is>
      </c>
      <c r="B242" s="54" t="inlineStr">
        <is>
          <t>P004884</t>
        </is>
      </c>
      <c r="C242" s="31" t="n">
        <v>4301060460</v>
      </c>
      <c r="D242" s="782" t="n">
        <v>4680115882874</v>
      </c>
      <c r="E242" s="783" t="n"/>
      <c r="F242" s="1220" t="n">
        <v>0.8</v>
      </c>
      <c r="G242" s="32" t="n">
        <v>4</v>
      </c>
      <c r="H242" s="1220" t="n">
        <v>3.2</v>
      </c>
      <c r="I242" s="1220" t="n">
        <v>3.466</v>
      </c>
      <c r="J242" s="32" t="n">
        <v>132</v>
      </c>
      <c r="K242" s="32" t="inlineStr">
        <is>
          <t>12</t>
        </is>
      </c>
      <c r="L242" s="32" t="n"/>
      <c r="M242" s="33" t="inlineStr">
        <is>
          <t>СК4</t>
        </is>
      </c>
      <c r="N242" s="33" t="n"/>
      <c r="O242" s="32" t="n">
        <v>30</v>
      </c>
      <c r="P242" s="1146" t="inlineStr">
        <is>
          <t>Сардельки «Сочинки» Весовой черева ТМ «Стародворье»</t>
        </is>
      </c>
      <c r="Q242" s="785" t="n"/>
      <c r="R242" s="785" t="n"/>
      <c r="S242" s="785" t="n"/>
      <c r="T242" s="786" t="n"/>
      <c r="U242" s="34" t="n"/>
      <c r="V242" s="34" t="n"/>
      <c r="W242" s="35" t="inlineStr">
        <is>
          <t>кг</t>
        </is>
      </c>
      <c r="X242" s="1221" t="n">
        <v>0</v>
      </c>
      <c r="Y242" s="1222">
        <f>IFERROR(IF(X242="",0,CEILING((X242/$H242),1)*$H242),"")</f>
        <v/>
      </c>
      <c r="Z242" s="36">
        <f>IFERROR(IF(Y242=0,"",ROUNDUP(Y242/H242,0)*0.00902),"")</f>
        <v/>
      </c>
      <c r="AA242" s="56" t="n"/>
      <c r="AB242" s="57" t="n"/>
      <c r="AC242" s="315" t="inlineStr">
        <is>
          <t>ЕАЭС N RU Д-RU.РА01.В.93294/24</t>
        </is>
      </c>
      <c r="AG242" s="64" t="n"/>
      <c r="AJ242" s="68" t="n"/>
      <c r="AK242" s="68" t="n">
        <v>0</v>
      </c>
      <c r="BB242" s="316" t="inlineStr">
        <is>
          <t>КИ</t>
        </is>
      </c>
      <c r="BM242" s="64">
        <f>IFERROR(X242*I242/H242,"0")</f>
        <v/>
      </c>
      <c r="BN242" s="64">
        <f>IFERROR(Y242*I242/H242,"0")</f>
        <v/>
      </c>
      <c r="BO242" s="64">
        <f>IFERROR(1/J242*(X242/H242),"0")</f>
        <v/>
      </c>
      <c r="BP242" s="64">
        <f>IFERROR(1/J242*(Y242/H242),"0")</f>
        <v/>
      </c>
    </row>
    <row r="243" ht="27" customHeight="1">
      <c r="A243" s="54" t="inlineStr">
        <is>
          <t>SU003043</t>
        </is>
      </c>
      <c r="B243" s="54" t="inlineStr">
        <is>
          <t>P003604</t>
        </is>
      </c>
      <c r="C243" s="31" t="n">
        <v>4301060359</v>
      </c>
      <c r="D243" s="782" t="n">
        <v>4680115884434</v>
      </c>
      <c r="E243" s="783" t="n"/>
      <c r="F243" s="1220" t="n">
        <v>0.8</v>
      </c>
      <c r="G243" s="32" t="n">
        <v>4</v>
      </c>
      <c r="H243" s="1220" t="n">
        <v>3.2</v>
      </c>
      <c r="I243" s="1220" t="n">
        <v>3.466</v>
      </c>
      <c r="J243" s="32" t="n">
        <v>132</v>
      </c>
      <c r="K243" s="32" t="inlineStr">
        <is>
          <t>12</t>
        </is>
      </c>
      <c r="L243" s="32" t="n"/>
      <c r="M243" s="33" t="inlineStr">
        <is>
          <t>СК2</t>
        </is>
      </c>
      <c r="N243" s="33" t="n"/>
      <c r="O243" s="32" t="n">
        <v>30</v>
      </c>
      <c r="P243" s="850">
        <f>HYPERLINK("https://abi.ru/products/Охлажденные/Стародворье/Сочинка/Сардельки/P003604/","Сардельки «Шпикачки Сочинки» Весовой н/о ТМ «Стародворье»")</f>
        <v/>
      </c>
      <c r="Q243" s="785" t="n"/>
      <c r="R243" s="785" t="n"/>
      <c r="S243" s="785" t="n"/>
      <c r="T243" s="786" t="n"/>
      <c r="U243" s="34" t="n"/>
      <c r="V243" s="34" t="n"/>
      <c r="W243" s="35" t="inlineStr">
        <is>
          <t>кг</t>
        </is>
      </c>
      <c r="X243" s="1221" t="n">
        <v>0</v>
      </c>
      <c r="Y243" s="1222">
        <f>IFERROR(IF(X243="",0,CEILING((X243/$H243),1)*$H243),"")</f>
        <v/>
      </c>
      <c r="Z243" s="36">
        <f>IFERROR(IF(Y243=0,"",ROUNDUP(Y243/H243,0)*0.00902),"")</f>
        <v/>
      </c>
      <c r="AA243" s="56" t="n"/>
      <c r="AB243" s="57" t="n"/>
      <c r="AC243" s="317" t="inlineStr">
        <is>
          <t>ЕАЭС N RU Д-RU.РА06.В.64030/23, ЕАЭС N RU Д-RU.РА10.В.01617/23</t>
        </is>
      </c>
      <c r="AG243" s="64" t="n"/>
      <c r="AJ243" s="68" t="n"/>
      <c r="AK243" s="68" t="n">
        <v>0</v>
      </c>
      <c r="BB243" s="318" t="inlineStr">
        <is>
          <t>КИ</t>
        </is>
      </c>
      <c r="BM243" s="64">
        <f>IFERROR(X243*I243/H243,"0")</f>
        <v/>
      </c>
      <c r="BN243" s="64">
        <f>IFERROR(Y243*I243/H243,"0")</f>
        <v/>
      </c>
      <c r="BO243" s="64">
        <f>IFERROR(1/J243*(X243/H243),"0")</f>
        <v/>
      </c>
      <c r="BP243" s="64">
        <f>IFERROR(1/J243*(Y243/H243),"0")</f>
        <v/>
      </c>
    </row>
    <row r="244" ht="27" customHeight="1">
      <c r="A244" s="54" t="inlineStr">
        <is>
          <t>SU002759</t>
        </is>
      </c>
      <c r="B244" s="54" t="inlineStr">
        <is>
          <t>P003961</t>
        </is>
      </c>
      <c r="C244" s="31" t="n">
        <v>4301060375</v>
      </c>
      <c r="D244" s="782" t="n">
        <v>4680115880818</v>
      </c>
      <c r="E244" s="783" t="n"/>
      <c r="F244" s="1220" t="n">
        <v>0.4</v>
      </c>
      <c r="G244" s="32" t="n">
        <v>6</v>
      </c>
      <c r="H244" s="1220" t="n">
        <v>2.4</v>
      </c>
      <c r="I244" s="1220" t="n">
        <v>2.652</v>
      </c>
      <c r="J244" s="32" t="n">
        <v>182</v>
      </c>
      <c r="K244" s="32" t="inlineStr">
        <is>
          <t>14</t>
        </is>
      </c>
      <c r="L244" s="32" t="n"/>
      <c r="M244" s="33" t="inlineStr">
        <is>
          <t>СК2</t>
        </is>
      </c>
      <c r="N244" s="33" t="n"/>
      <c r="O244" s="32" t="n">
        <v>40</v>
      </c>
      <c r="P244" s="1208">
        <f>HYPERLINK("https://abi.ru/products/Охлажденные/Стародворье/Сочинка/Сардельки/P003961/","Сардельки «Сочинки с сыром» Фикс.вес 0,4 п/а ТМ «Стародворье»")</f>
        <v/>
      </c>
      <c r="Q244" s="785" t="n"/>
      <c r="R244" s="785" t="n"/>
      <c r="S244" s="785" t="n"/>
      <c r="T244" s="786" t="n"/>
      <c r="U244" s="34" t="n"/>
      <c r="V244" s="34" t="n"/>
      <c r="W244" s="35" t="inlineStr">
        <is>
          <t>кг</t>
        </is>
      </c>
      <c r="X244" s="1221" t="n">
        <v>0</v>
      </c>
      <c r="Y244" s="1222">
        <f>IFERROR(IF(X244="",0,CEILING((X244/$H244),1)*$H244),"")</f>
        <v/>
      </c>
      <c r="Z244" s="36">
        <f>IFERROR(IF(Y244=0,"",ROUNDUP(Y244/H244,0)*0.00651),"")</f>
        <v/>
      </c>
      <c r="AA244" s="56" t="n"/>
      <c r="AB244" s="57" t="n"/>
      <c r="AC244" s="319" t="inlineStr">
        <is>
          <t>ЕАЭС N RU Д-RU.РА01.В.93572/24, ЕАЭС N RU Д-RU.РА01.В.93743/24</t>
        </is>
      </c>
      <c r="AG244" s="64" t="n"/>
      <c r="AJ244" s="68" t="n"/>
      <c r="AK244" s="68" t="n">
        <v>0</v>
      </c>
      <c r="BB244" s="320" t="inlineStr">
        <is>
          <t>КИ</t>
        </is>
      </c>
      <c r="BM244" s="64">
        <f>IFERROR(X244*I244/H244,"0")</f>
        <v/>
      </c>
      <c r="BN244" s="64">
        <f>IFERROR(Y244*I244/H244,"0")</f>
        <v/>
      </c>
      <c r="BO244" s="64">
        <f>IFERROR(1/J244*(X244/H244),"0")</f>
        <v/>
      </c>
      <c r="BP244" s="64">
        <f>IFERROR(1/J244*(Y244/H244),"0")</f>
        <v/>
      </c>
    </row>
    <row r="245" ht="37.5" customHeight="1">
      <c r="A245" s="54" t="inlineStr">
        <is>
          <t>SU002758</t>
        </is>
      </c>
      <c r="B245" s="54" t="inlineStr">
        <is>
          <t>P003960</t>
        </is>
      </c>
      <c r="C245" s="31" t="n">
        <v>4301060389</v>
      </c>
      <c r="D245" s="782" t="n">
        <v>4680115880801</v>
      </c>
      <c r="E245" s="783" t="n"/>
      <c r="F245" s="1220" t="n">
        <v>0.4</v>
      </c>
      <c r="G245" s="32" t="n">
        <v>6</v>
      </c>
      <c r="H245" s="1220" t="n">
        <v>2.4</v>
      </c>
      <c r="I245" s="1220" t="n">
        <v>2.652</v>
      </c>
      <c r="J245" s="32" t="n">
        <v>182</v>
      </c>
      <c r="K245" s="32" t="inlineStr">
        <is>
          <t>14</t>
        </is>
      </c>
      <c r="L245" s="32" t="n"/>
      <c r="M245" s="33" t="inlineStr">
        <is>
          <t>СК3</t>
        </is>
      </c>
      <c r="N245" s="33" t="n"/>
      <c r="O245" s="32" t="n">
        <v>40</v>
      </c>
      <c r="P245" s="1045">
        <f>HYPERLINK("https://abi.ru/products/Охлажденные/Стародворье/Сочинка/Сардельки/P003960/","Сардельки «Сочинки» Фикс.вес 0,4 п/а ТМ «Стародворье»")</f>
        <v/>
      </c>
      <c r="Q245" s="785" t="n"/>
      <c r="R245" s="785" t="n"/>
      <c r="S245" s="785" t="n"/>
      <c r="T245" s="786" t="n"/>
      <c r="U245" s="34" t="n"/>
      <c r="V245" s="34" t="n"/>
      <c r="W245" s="35" t="inlineStr">
        <is>
          <t>кг</t>
        </is>
      </c>
      <c r="X245" s="1221" t="n">
        <v>0</v>
      </c>
      <c r="Y245" s="1222">
        <f>IFERROR(IF(X245="",0,CEILING((X245/$H245),1)*$H245),"")</f>
        <v/>
      </c>
      <c r="Z245" s="36">
        <f>IFERROR(IF(Y245=0,"",ROUNDUP(Y245/H245,0)*0.00651),"")</f>
        <v/>
      </c>
      <c r="AA245" s="56" t="n"/>
      <c r="AB245" s="57" t="n"/>
      <c r="AC245" s="321" t="inlineStr">
        <is>
          <t>ЕАЭС N RU Д-RU.РА01.В.93036/24, ЕАЭС N RU Д-RU.РА01.В.93159/24, ЕАЭС N RU Д-RU.РА01.В.93294/24</t>
        </is>
      </c>
      <c r="AG245" s="64" t="n"/>
      <c r="AJ245" s="68" t="n"/>
      <c r="AK245" s="68" t="n">
        <v>0</v>
      </c>
      <c r="BB245" s="322" t="inlineStr">
        <is>
          <t>КИ</t>
        </is>
      </c>
      <c r="BM245" s="64">
        <f>IFERROR(X245*I245/H245,"0")</f>
        <v/>
      </c>
      <c r="BN245" s="64">
        <f>IFERROR(Y245*I245/H245,"0")</f>
        <v/>
      </c>
      <c r="BO245" s="64">
        <f>IFERROR(1/J245*(X245/H245),"0")</f>
        <v/>
      </c>
      <c r="BP245" s="64">
        <f>IFERROR(1/J245*(Y245/H245),"0")</f>
        <v/>
      </c>
    </row>
    <row r="246">
      <c r="A246" s="801" t="n"/>
      <c r="B246" s="800" t="n"/>
      <c r="C246" s="800" t="n"/>
      <c r="D246" s="800" t="n"/>
      <c r="E246" s="800" t="n"/>
      <c r="F246" s="800" t="n"/>
      <c r="G246" s="800" t="n"/>
      <c r="H246" s="800" t="n"/>
      <c r="I246" s="800" t="n"/>
      <c r="J246" s="800" t="n"/>
      <c r="K246" s="800" t="n"/>
      <c r="L246" s="800" t="n"/>
      <c r="M246" s="800" t="n"/>
      <c r="N246" s="800" t="n"/>
      <c r="O246" s="802" t="n"/>
      <c r="P246" s="796" t="inlineStr">
        <is>
          <t>Итого</t>
        </is>
      </c>
      <c r="Q246" s="793" t="n"/>
      <c r="R246" s="793" t="n"/>
      <c r="S246" s="793" t="n"/>
      <c r="T246" s="793" t="n"/>
      <c r="U246" s="793" t="n"/>
      <c r="V246" s="794" t="n"/>
      <c r="W246" s="37" t="inlineStr">
        <is>
          <t>кор</t>
        </is>
      </c>
      <c r="X246" s="1223">
        <f>IFERROR(X240/H240,"0")+IFERROR(X241/H241,"0")+IFERROR(X242/H242,"0")+IFERROR(X243/H243,"0")+IFERROR(X244/H244,"0")+IFERROR(X245/H245,"0")</f>
        <v/>
      </c>
      <c r="Y246" s="1223">
        <f>IFERROR(Y240/H240,"0")+IFERROR(Y241/H241,"0")+IFERROR(Y242/H242,"0")+IFERROR(Y243/H243,"0")+IFERROR(Y244/H244,"0")+IFERROR(Y245/H245,"0")</f>
        <v/>
      </c>
      <c r="Z246" s="1223">
        <f>IFERROR(IF(Z240="",0,Z240),"0")+IFERROR(IF(Z241="",0,Z241),"0")+IFERROR(IF(Z242="",0,Z242),"0")+IFERROR(IF(Z243="",0,Z243),"0")+IFERROR(IF(Z244="",0,Z244),"0")+IFERROR(IF(Z245="",0,Z245),"0")</f>
        <v/>
      </c>
      <c r="AA246" s="1224" t="n"/>
      <c r="AB246" s="1224" t="n"/>
      <c r="AC246" s="1224" t="n"/>
    </row>
    <row r="247">
      <c r="A247" s="800" t="n"/>
      <c r="B247" s="800" t="n"/>
      <c r="C247" s="800" t="n"/>
      <c r="D247" s="800" t="n"/>
      <c r="E247" s="800" t="n"/>
      <c r="F247" s="800" t="n"/>
      <c r="G247" s="800" t="n"/>
      <c r="H247" s="800" t="n"/>
      <c r="I247" s="800" t="n"/>
      <c r="J247" s="800" t="n"/>
      <c r="K247" s="800" t="n"/>
      <c r="L247" s="800" t="n"/>
      <c r="M247" s="800" t="n"/>
      <c r="N247" s="800" t="n"/>
      <c r="O247" s="802" t="n"/>
      <c r="P247" s="796" t="inlineStr">
        <is>
          <t>Итого</t>
        </is>
      </c>
      <c r="Q247" s="793" t="n"/>
      <c r="R247" s="793" t="n"/>
      <c r="S247" s="793" t="n"/>
      <c r="T247" s="793" t="n"/>
      <c r="U247" s="793" t="n"/>
      <c r="V247" s="794" t="n"/>
      <c r="W247" s="37" t="inlineStr">
        <is>
          <t>кг</t>
        </is>
      </c>
      <c r="X247" s="1223">
        <f>IFERROR(SUM(X240:X245),"0")</f>
        <v/>
      </c>
      <c r="Y247" s="1223">
        <f>IFERROR(SUM(Y240:Y245),"0")</f>
        <v/>
      </c>
      <c r="Z247" s="37" t="n"/>
      <c r="AA247" s="1224" t="n"/>
      <c r="AB247" s="1224" t="n"/>
      <c r="AC247" s="1224" t="n"/>
    </row>
    <row r="248" ht="16.5" customHeight="1">
      <c r="A248" s="807" t="inlineStr">
        <is>
          <t>Филедворская</t>
        </is>
      </c>
      <c r="B248" s="800" t="n"/>
      <c r="C248" s="800" t="n"/>
      <c r="D248" s="800" t="n"/>
      <c r="E248" s="800" t="n"/>
      <c r="F248" s="800" t="n"/>
      <c r="G248" s="800" t="n"/>
      <c r="H248" s="800" t="n"/>
      <c r="I248" s="800" t="n"/>
      <c r="J248" s="800" t="n"/>
      <c r="K248" s="800" t="n"/>
      <c r="L248" s="800" t="n"/>
      <c r="M248" s="800" t="n"/>
      <c r="N248" s="800" t="n"/>
      <c r="O248" s="800" t="n"/>
      <c r="P248" s="800" t="n"/>
      <c r="Q248" s="800" t="n"/>
      <c r="R248" s="800" t="n"/>
      <c r="S248" s="800" t="n"/>
      <c r="T248" s="800" t="n"/>
      <c r="U248" s="800" t="n"/>
      <c r="V248" s="800" t="n"/>
      <c r="W248" s="800" t="n"/>
      <c r="X248" s="800" t="n"/>
      <c r="Y248" s="800" t="n"/>
      <c r="Z248" s="800" t="n"/>
      <c r="AA248" s="807" t="n"/>
      <c r="AB248" s="807" t="n"/>
      <c r="AC248" s="807" t="n"/>
    </row>
    <row r="249" ht="14.25" customHeight="1">
      <c r="A249" s="799" t="inlineStr">
        <is>
          <t>Вареные колбасы</t>
        </is>
      </c>
      <c r="B249" s="800" t="n"/>
      <c r="C249" s="800" t="n"/>
      <c r="D249" s="800" t="n"/>
      <c r="E249" s="800" t="n"/>
      <c r="F249" s="800" t="n"/>
      <c r="G249" s="800" t="n"/>
      <c r="H249" s="800" t="n"/>
      <c r="I249" s="800" t="n"/>
      <c r="J249" s="800" t="n"/>
      <c r="K249" s="800" t="n"/>
      <c r="L249" s="800" t="n"/>
      <c r="M249" s="800" t="n"/>
      <c r="N249" s="800" t="n"/>
      <c r="O249" s="800" t="n"/>
      <c r="P249" s="800" t="n"/>
      <c r="Q249" s="800" t="n"/>
      <c r="R249" s="800" t="n"/>
      <c r="S249" s="800" t="n"/>
      <c r="T249" s="800" t="n"/>
      <c r="U249" s="800" t="n"/>
      <c r="V249" s="800" t="n"/>
      <c r="W249" s="800" t="n"/>
      <c r="X249" s="800" t="n"/>
      <c r="Y249" s="800" t="n"/>
      <c r="Z249" s="800" t="n"/>
      <c r="AA249" s="799" t="n"/>
      <c r="AB249" s="799" t="n"/>
      <c r="AC249" s="799" t="n"/>
    </row>
    <row r="250" ht="27" customHeight="1">
      <c r="A250" s="54" t="inlineStr">
        <is>
          <t>SU003267</t>
        </is>
      </c>
      <c r="B250" s="54" t="inlineStr">
        <is>
          <t>P003941</t>
        </is>
      </c>
      <c r="C250" s="31" t="n">
        <v>4301011717</v>
      </c>
      <c r="D250" s="782" t="n">
        <v>4680115884274</v>
      </c>
      <c r="E250" s="783" t="n"/>
      <c r="F250" s="1220" t="n">
        <v>1.45</v>
      </c>
      <c r="G250" s="32" t="n">
        <v>8</v>
      </c>
      <c r="H250" s="1220" t="n">
        <v>11.6</v>
      </c>
      <c r="I250" s="1220" t="n">
        <v>12.08</v>
      </c>
      <c r="J250" s="32" t="n">
        <v>56</v>
      </c>
      <c r="K250" s="32" t="inlineStr">
        <is>
          <t>8</t>
        </is>
      </c>
      <c r="L250" s="32" t="n"/>
      <c r="M250" s="33" t="inlineStr">
        <is>
          <t>СК1</t>
        </is>
      </c>
      <c r="N250" s="33" t="n"/>
      <c r="O250" s="32" t="n">
        <v>55</v>
      </c>
      <c r="P250" s="1129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/>
      </c>
      <c r="Q250" s="785" t="n"/>
      <c r="R250" s="785" t="n"/>
      <c r="S250" s="785" t="n"/>
      <c r="T250" s="786" t="n"/>
      <c r="U250" s="34" t="n"/>
      <c r="V250" s="34" t="n"/>
      <c r="W250" s="35" t="inlineStr">
        <is>
          <t>кг</t>
        </is>
      </c>
      <c r="X250" s="1221" t="n">
        <v>0</v>
      </c>
      <c r="Y250" s="1222">
        <f>IFERROR(IF(X250="",0,CEILING((X250/$H250),1)*$H250),"")</f>
        <v/>
      </c>
      <c r="Z250" s="36">
        <f>IFERROR(IF(Y250=0,"",ROUNDUP(Y250/H250,0)*0.02175),"")</f>
        <v/>
      </c>
      <c r="AA250" s="56" t="n"/>
      <c r="AB250" s="57" t="n"/>
      <c r="AC250" s="323" t="inlineStr">
        <is>
          <t>ЕАЭС N RU Д-RU.РА01.В.19834/24</t>
        </is>
      </c>
      <c r="AG250" s="64" t="n"/>
      <c r="AJ250" s="68" t="n"/>
      <c r="AK250" s="68" t="n">
        <v>0</v>
      </c>
      <c r="BB250" s="324" t="inlineStr">
        <is>
          <t>КИ</t>
        </is>
      </c>
      <c r="BM250" s="64">
        <f>IFERROR(X250*I250/H250,"0")</f>
        <v/>
      </c>
      <c r="BN250" s="64">
        <f>IFERROR(Y250*I250/H250,"0")</f>
        <v/>
      </c>
      <c r="BO250" s="64">
        <f>IFERROR(1/J250*(X250/H250),"0")</f>
        <v/>
      </c>
      <c r="BP250" s="64">
        <f>IFERROR(1/J250*(Y250/H250),"0")</f>
        <v/>
      </c>
    </row>
    <row r="251" ht="27" customHeight="1">
      <c r="A251" s="54" t="inlineStr">
        <is>
          <t>SU003267</t>
        </is>
      </c>
      <c r="B251" s="54" t="inlineStr">
        <is>
          <t>P004300</t>
        </is>
      </c>
      <c r="C251" s="31" t="n">
        <v>4301011945</v>
      </c>
      <c r="D251" s="782" t="n">
        <v>4680115884274</v>
      </c>
      <c r="E251" s="783" t="n"/>
      <c r="F251" s="1220" t="n">
        <v>1.45</v>
      </c>
      <c r="G251" s="32" t="n">
        <v>8</v>
      </c>
      <c r="H251" s="1220" t="n">
        <v>11.6</v>
      </c>
      <c r="I251" s="1220" t="n">
        <v>12.08</v>
      </c>
      <c r="J251" s="32" t="n">
        <v>48</v>
      </c>
      <c r="K251" s="32" t="inlineStr">
        <is>
          <t>8</t>
        </is>
      </c>
      <c r="L251" s="32" t="n"/>
      <c r="M251" s="33" t="inlineStr">
        <is>
          <t>ВЗ</t>
        </is>
      </c>
      <c r="N251" s="33" t="n"/>
      <c r="O251" s="32" t="n">
        <v>55</v>
      </c>
      <c r="P251" s="970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/>
      </c>
      <c r="Q251" s="785" t="n"/>
      <c r="R251" s="785" t="n"/>
      <c r="S251" s="785" t="n"/>
      <c r="T251" s="786" t="n"/>
      <c r="U251" s="34" t="n"/>
      <c r="V251" s="34" t="n"/>
      <c r="W251" s="35" t="inlineStr">
        <is>
          <t>кг</t>
        </is>
      </c>
      <c r="X251" s="1221" t="n">
        <v>0</v>
      </c>
      <c r="Y251" s="1222">
        <f>IFERROR(IF(X251="",0,CEILING((X251/$H251),1)*$H251),"")</f>
        <v/>
      </c>
      <c r="Z251" s="36">
        <f>IFERROR(IF(Y251=0,"",ROUNDUP(Y251/H251,0)*0.02039),"")</f>
        <v/>
      </c>
      <c r="AA251" s="56" t="n"/>
      <c r="AB251" s="57" t="n"/>
      <c r="AC251" s="325" t="inlineStr">
        <is>
          <t>ЕАЭС N RU Д-RU.РА03.В.61516/24</t>
        </is>
      </c>
      <c r="AG251" s="64" t="n"/>
      <c r="AJ251" s="68" t="n"/>
      <c r="AK251" s="68" t="n">
        <v>0</v>
      </c>
      <c r="BB251" s="326" t="inlineStr">
        <is>
          <t>КИ</t>
        </is>
      </c>
      <c r="BM251" s="64">
        <f>IFERROR(X251*I251/H251,"0")</f>
        <v/>
      </c>
      <c r="BN251" s="64">
        <f>IFERROR(Y251*I251/H251,"0")</f>
        <v/>
      </c>
      <c r="BO251" s="64">
        <f>IFERROR(1/J251*(X251/H251),"0")</f>
        <v/>
      </c>
      <c r="BP251" s="64">
        <f>IFERROR(1/J251*(Y251/H251),"0")</f>
        <v/>
      </c>
    </row>
    <row r="252" ht="27" customHeight="1">
      <c r="A252" s="54" t="inlineStr">
        <is>
          <t>SU003269</t>
        </is>
      </c>
      <c r="B252" s="54" t="inlineStr">
        <is>
          <t>P003943</t>
        </is>
      </c>
      <c r="C252" s="31" t="n">
        <v>4301011719</v>
      </c>
      <c r="D252" s="782" t="n">
        <v>4680115884298</v>
      </c>
      <c r="E252" s="783" t="n"/>
      <c r="F252" s="1220" t="n">
        <v>1.45</v>
      </c>
      <c r="G252" s="32" t="n">
        <v>8</v>
      </c>
      <c r="H252" s="1220" t="n">
        <v>11.6</v>
      </c>
      <c r="I252" s="1220" t="n">
        <v>12.08</v>
      </c>
      <c r="J252" s="32" t="n">
        <v>56</v>
      </c>
      <c r="K252" s="32" t="inlineStr">
        <is>
          <t>8</t>
        </is>
      </c>
      <c r="L252" s="32" t="n"/>
      <c r="M252" s="33" t="inlineStr">
        <is>
          <t>СК1</t>
        </is>
      </c>
      <c r="N252" s="33" t="n"/>
      <c r="O252" s="32" t="n">
        <v>55</v>
      </c>
      <c r="P252" s="1182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/>
      </c>
      <c r="Q252" s="785" t="n"/>
      <c r="R252" s="785" t="n"/>
      <c r="S252" s="785" t="n"/>
      <c r="T252" s="786" t="n"/>
      <c r="U252" s="34" t="n"/>
      <c r="V252" s="34" t="n"/>
      <c r="W252" s="35" t="inlineStr">
        <is>
          <t>кг</t>
        </is>
      </c>
      <c r="X252" s="1221" t="n">
        <v>0</v>
      </c>
      <c r="Y252" s="1222">
        <f>IFERROR(IF(X252="",0,CEILING((X252/$H252),1)*$H252),"")</f>
        <v/>
      </c>
      <c r="Z252" s="36">
        <f>IFERROR(IF(Y252=0,"",ROUNDUP(Y252/H252,0)*0.02175),"")</f>
        <v/>
      </c>
      <c r="AA252" s="56" t="n"/>
      <c r="AB252" s="57" t="n"/>
      <c r="AC252" s="327" t="inlineStr">
        <is>
          <t>ЕАЭС N RU Д-RU.РА01.В.16349/24</t>
        </is>
      </c>
      <c r="AG252" s="64" t="n"/>
      <c r="AJ252" s="68" t="n"/>
      <c r="AK252" s="68" t="n">
        <v>0</v>
      </c>
      <c r="BB252" s="328" t="inlineStr">
        <is>
          <t>КИ</t>
        </is>
      </c>
      <c r="BM252" s="64">
        <f>IFERROR(X252*I252/H252,"0")</f>
        <v/>
      </c>
      <c r="BN252" s="64">
        <f>IFERROR(Y252*I252/H252,"0")</f>
        <v/>
      </c>
      <c r="BO252" s="64">
        <f>IFERROR(1/J252*(X252/H252),"0")</f>
        <v/>
      </c>
      <c r="BP252" s="64">
        <f>IFERROR(1/J252*(Y252/H252),"0")</f>
        <v/>
      </c>
    </row>
    <row r="253" ht="27" customHeight="1">
      <c r="A253" s="54" t="inlineStr">
        <is>
          <t>SU003265</t>
        </is>
      </c>
      <c r="B253" s="54" t="inlineStr">
        <is>
          <t>P003939</t>
        </is>
      </c>
      <c r="C253" s="31" t="n">
        <v>4301011733</v>
      </c>
      <c r="D253" s="782" t="n">
        <v>4680115884250</v>
      </c>
      <c r="E253" s="783" t="n"/>
      <c r="F253" s="1220" t="n">
        <v>1.45</v>
      </c>
      <c r="G253" s="32" t="n">
        <v>8</v>
      </c>
      <c r="H253" s="1220" t="n">
        <v>11.6</v>
      </c>
      <c r="I253" s="1220" t="n">
        <v>12.08</v>
      </c>
      <c r="J253" s="32" t="n">
        <v>56</v>
      </c>
      <c r="K253" s="32" t="inlineStr">
        <is>
          <t>8</t>
        </is>
      </c>
      <c r="L253" s="32" t="n"/>
      <c r="M253" s="33" t="inlineStr">
        <is>
          <t>СК3</t>
        </is>
      </c>
      <c r="N253" s="33" t="n"/>
      <c r="O253" s="32" t="n">
        <v>55</v>
      </c>
      <c r="P253" s="876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/>
      </c>
      <c r="Q253" s="785" t="n"/>
      <c r="R253" s="785" t="n"/>
      <c r="S253" s="785" t="n"/>
      <c r="T253" s="786" t="n"/>
      <c r="U253" s="34" t="n"/>
      <c r="V253" s="34" t="n"/>
      <c r="W253" s="35" t="inlineStr">
        <is>
          <t>кг</t>
        </is>
      </c>
      <c r="X253" s="1221" t="n">
        <v>0</v>
      </c>
      <c r="Y253" s="1222">
        <f>IFERROR(IF(X253="",0,CEILING((X253/$H253),1)*$H253),"")</f>
        <v/>
      </c>
      <c r="Z253" s="36">
        <f>IFERROR(IF(Y253=0,"",ROUNDUP(Y253/H253,0)*0.02175),"")</f>
        <v/>
      </c>
      <c r="AA253" s="56" t="n"/>
      <c r="AB253" s="57" t="n"/>
      <c r="AC253" s="329" t="inlineStr">
        <is>
          <t>ЕАЭС N RU Д-RU.РА05.В.81953/23</t>
        </is>
      </c>
      <c r="AG253" s="64" t="n"/>
      <c r="AJ253" s="68" t="n"/>
      <c r="AK253" s="68" t="n">
        <v>0</v>
      </c>
      <c r="BB253" s="330" t="inlineStr">
        <is>
          <t>КИ</t>
        </is>
      </c>
      <c r="BM253" s="64">
        <f>IFERROR(X253*I253/H253,"0")</f>
        <v/>
      </c>
      <c r="BN253" s="64">
        <f>IFERROR(Y253*I253/H253,"0")</f>
        <v/>
      </c>
      <c r="BO253" s="64">
        <f>IFERROR(1/J253*(X253/H253),"0")</f>
        <v/>
      </c>
      <c r="BP253" s="64">
        <f>IFERROR(1/J253*(Y253/H253),"0")</f>
        <v/>
      </c>
    </row>
    <row r="254" ht="27" customHeight="1">
      <c r="A254" s="54" t="inlineStr">
        <is>
          <t>SU003265</t>
        </is>
      </c>
      <c r="B254" s="54" t="inlineStr">
        <is>
          <t>P004299</t>
        </is>
      </c>
      <c r="C254" s="31" t="n">
        <v>4301011944</v>
      </c>
      <c r="D254" s="782" t="n">
        <v>4680115884250</v>
      </c>
      <c r="E254" s="783" t="n"/>
      <c r="F254" s="1220" t="n">
        <v>1.45</v>
      </c>
      <c r="G254" s="32" t="n">
        <v>8</v>
      </c>
      <c r="H254" s="1220" t="n">
        <v>11.6</v>
      </c>
      <c r="I254" s="1220" t="n">
        <v>12.08</v>
      </c>
      <c r="J254" s="32" t="n">
        <v>48</v>
      </c>
      <c r="K254" s="32" t="inlineStr">
        <is>
          <t>8</t>
        </is>
      </c>
      <c r="L254" s="32" t="n"/>
      <c r="M254" s="33" t="inlineStr">
        <is>
          <t>ВЗ</t>
        </is>
      </c>
      <c r="N254" s="33" t="n"/>
      <c r="O254" s="32" t="n">
        <v>55</v>
      </c>
      <c r="P254" s="969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/>
      </c>
      <c r="Q254" s="785" t="n"/>
      <c r="R254" s="785" t="n"/>
      <c r="S254" s="785" t="n"/>
      <c r="T254" s="786" t="n"/>
      <c r="U254" s="34" t="n"/>
      <c r="V254" s="34" t="n"/>
      <c r="W254" s="35" t="inlineStr">
        <is>
          <t>кг</t>
        </is>
      </c>
      <c r="X254" s="1221" t="n">
        <v>0</v>
      </c>
      <c r="Y254" s="1222">
        <f>IFERROR(IF(X254="",0,CEILING((X254/$H254),1)*$H254),"")</f>
        <v/>
      </c>
      <c r="Z254" s="36">
        <f>IFERROR(IF(Y254=0,"",ROUNDUP(Y254/H254,0)*0.02039),"")</f>
        <v/>
      </c>
      <c r="AA254" s="56" t="n"/>
      <c r="AB254" s="57" t="n"/>
      <c r="AC254" s="331" t="inlineStr">
        <is>
          <t>ЕАЭС N RU Д-RU.РА03.В.61516/24</t>
        </is>
      </c>
      <c r="AG254" s="64" t="n"/>
      <c r="AJ254" s="68" t="n"/>
      <c r="AK254" s="68" t="n">
        <v>0</v>
      </c>
      <c r="BB254" s="332" t="inlineStr">
        <is>
          <t>КИ</t>
        </is>
      </c>
      <c r="BM254" s="64">
        <f>IFERROR(X254*I254/H254,"0")</f>
        <v/>
      </c>
      <c r="BN254" s="64">
        <f>IFERROR(Y254*I254/H254,"0")</f>
        <v/>
      </c>
      <c r="BO254" s="64">
        <f>IFERROR(1/J254*(X254/H254),"0")</f>
        <v/>
      </c>
      <c r="BP254" s="64">
        <f>IFERROR(1/J254*(Y254/H254),"0")</f>
        <v/>
      </c>
    </row>
    <row r="255" ht="27" customHeight="1">
      <c r="A255" s="54" t="inlineStr">
        <is>
          <t>SU003268</t>
        </is>
      </c>
      <c r="B255" s="54" t="inlineStr">
        <is>
          <t>P003942</t>
        </is>
      </c>
      <c r="C255" s="31" t="n">
        <v>4301011718</v>
      </c>
      <c r="D255" s="782" t="n">
        <v>4680115884281</v>
      </c>
      <c r="E255" s="783" t="n"/>
      <c r="F255" s="1220" t="n">
        <v>0.4</v>
      </c>
      <c r="G255" s="32" t="n">
        <v>10</v>
      </c>
      <c r="H255" s="1220" t="n">
        <v>4</v>
      </c>
      <c r="I255" s="1220" t="n">
        <v>4.21</v>
      </c>
      <c r="J255" s="32" t="n">
        <v>132</v>
      </c>
      <c r="K255" s="32" t="inlineStr">
        <is>
          <t>12</t>
        </is>
      </c>
      <c r="L255" s="32" t="n"/>
      <c r="M255" s="33" t="inlineStr">
        <is>
          <t>СК1</t>
        </is>
      </c>
      <c r="N255" s="33" t="n"/>
      <c r="O255" s="32" t="n">
        <v>55</v>
      </c>
      <c r="P255" s="1123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/>
      </c>
      <c r="Q255" s="785" t="n"/>
      <c r="R255" s="785" t="n"/>
      <c r="S255" s="785" t="n"/>
      <c r="T255" s="786" t="n"/>
      <c r="U255" s="34" t="n"/>
      <c r="V255" s="34" t="n"/>
      <c r="W255" s="35" t="inlineStr">
        <is>
          <t>кг</t>
        </is>
      </c>
      <c r="X255" s="1221" t="n">
        <v>0</v>
      </c>
      <c r="Y255" s="1222">
        <f>IFERROR(IF(X255="",0,CEILING((X255/$H255),1)*$H255),"")</f>
        <v/>
      </c>
      <c r="Z255" s="36">
        <f>IFERROR(IF(Y255=0,"",ROUNDUP(Y255/H255,0)*0.00902),"")</f>
        <v/>
      </c>
      <c r="AA255" s="56" t="n"/>
      <c r="AB255" s="57" t="n"/>
      <c r="AC255" s="333" t="inlineStr">
        <is>
          <t>ЕАЭС N RU Д-RU.РА01.В.19834/24, ЕАЭС N RU Д-RU.РА01.В.20188/24</t>
        </is>
      </c>
      <c r="AG255" s="64" t="n"/>
      <c r="AJ255" s="68" t="n"/>
      <c r="AK255" s="68" t="n">
        <v>0</v>
      </c>
      <c r="BB255" s="334" t="inlineStr">
        <is>
          <t>КИ</t>
        </is>
      </c>
      <c r="BM255" s="64">
        <f>IFERROR(X255*I255/H255,"0")</f>
        <v/>
      </c>
      <c r="BN255" s="64">
        <f>IFERROR(Y255*I255/H255,"0")</f>
        <v/>
      </c>
      <c r="BO255" s="64">
        <f>IFERROR(1/J255*(X255/H255),"0")</f>
        <v/>
      </c>
      <c r="BP255" s="64">
        <f>IFERROR(1/J255*(Y255/H255),"0")</f>
        <v/>
      </c>
    </row>
    <row r="256" ht="27" customHeight="1">
      <c r="A256" s="54" t="inlineStr">
        <is>
          <t>SU003270</t>
        </is>
      </c>
      <c r="B256" s="54" t="inlineStr">
        <is>
          <t>P003944</t>
        </is>
      </c>
      <c r="C256" s="31" t="n">
        <v>4301011720</v>
      </c>
      <c r="D256" s="782" t="n">
        <v>4680115884199</v>
      </c>
      <c r="E256" s="783" t="n"/>
      <c r="F256" s="1220" t="n">
        <v>0.37</v>
      </c>
      <c r="G256" s="32" t="n">
        <v>10</v>
      </c>
      <c r="H256" s="1220" t="n">
        <v>3.7</v>
      </c>
      <c r="I256" s="1220" t="n">
        <v>3.91</v>
      </c>
      <c r="J256" s="32" t="n">
        <v>132</v>
      </c>
      <c r="K256" s="32" t="inlineStr">
        <is>
          <t>12</t>
        </is>
      </c>
      <c r="L256" s="32" t="n"/>
      <c r="M256" s="33" t="inlineStr">
        <is>
          <t>СК1</t>
        </is>
      </c>
      <c r="N256" s="33" t="n"/>
      <c r="O256" s="32" t="n">
        <v>55</v>
      </c>
      <c r="P256" s="972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/>
      </c>
      <c r="Q256" s="785" t="n"/>
      <c r="R256" s="785" t="n"/>
      <c r="S256" s="785" t="n"/>
      <c r="T256" s="786" t="n"/>
      <c r="U256" s="34" t="n"/>
      <c r="V256" s="34" t="n"/>
      <c r="W256" s="35" t="inlineStr">
        <is>
          <t>кг</t>
        </is>
      </c>
      <c r="X256" s="1221" t="n">
        <v>0</v>
      </c>
      <c r="Y256" s="1222">
        <f>IFERROR(IF(X256="",0,CEILING((X256/$H256),1)*$H256),"")</f>
        <v/>
      </c>
      <c r="Z256" s="36">
        <f>IFERROR(IF(Y256=0,"",ROUNDUP(Y256/H256,0)*0.00902),"")</f>
        <v/>
      </c>
      <c r="AA256" s="56" t="n"/>
      <c r="AB256" s="57" t="n"/>
      <c r="AC256" s="335" t="inlineStr">
        <is>
          <t>ЕАЭС N RU Д-RU.РА01.В.16349/24</t>
        </is>
      </c>
      <c r="AG256" s="64" t="n"/>
      <c r="AJ256" s="68" t="n"/>
      <c r="AK256" s="68" t="n">
        <v>0</v>
      </c>
      <c r="BB256" s="336" t="inlineStr">
        <is>
          <t>КИ</t>
        </is>
      </c>
      <c r="BM256" s="64">
        <f>IFERROR(X256*I256/H256,"0")</f>
        <v/>
      </c>
      <c r="BN256" s="64">
        <f>IFERROR(Y256*I256/H256,"0")</f>
        <v/>
      </c>
      <c r="BO256" s="64">
        <f>IFERROR(1/J256*(X256/H256),"0")</f>
        <v/>
      </c>
      <c r="BP256" s="64">
        <f>IFERROR(1/J256*(Y256/H256),"0")</f>
        <v/>
      </c>
    </row>
    <row r="257" ht="27" customHeight="1">
      <c r="A257" s="54" t="inlineStr">
        <is>
          <t>SU003266</t>
        </is>
      </c>
      <c r="B257" s="54" t="inlineStr">
        <is>
          <t>P003940</t>
        </is>
      </c>
      <c r="C257" s="31" t="n">
        <v>4301011716</v>
      </c>
      <c r="D257" s="782" t="n">
        <v>4680115884267</v>
      </c>
      <c r="E257" s="783" t="n"/>
      <c r="F257" s="1220" t="n">
        <v>0.4</v>
      </c>
      <c r="G257" s="32" t="n">
        <v>10</v>
      </c>
      <c r="H257" s="1220" t="n">
        <v>4</v>
      </c>
      <c r="I257" s="1220" t="n">
        <v>4.21</v>
      </c>
      <c r="J257" s="32" t="n">
        <v>132</v>
      </c>
      <c r="K257" s="32" t="inlineStr">
        <is>
          <t>12</t>
        </is>
      </c>
      <c r="L257" s="32" t="n"/>
      <c r="M257" s="33" t="inlineStr">
        <is>
          <t>СК1</t>
        </is>
      </c>
      <c r="N257" s="33" t="n"/>
      <c r="O257" s="32" t="n">
        <v>55</v>
      </c>
      <c r="P257" s="961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/>
      </c>
      <c r="Q257" s="785" t="n"/>
      <c r="R257" s="785" t="n"/>
      <c r="S257" s="785" t="n"/>
      <c r="T257" s="786" t="n"/>
      <c r="U257" s="34" t="n"/>
      <c r="V257" s="34" t="n"/>
      <c r="W257" s="35" t="inlineStr">
        <is>
          <t>кг</t>
        </is>
      </c>
      <c r="X257" s="1221" t="n">
        <v>0</v>
      </c>
      <c r="Y257" s="1222">
        <f>IFERROR(IF(X257="",0,CEILING((X257/$H257),1)*$H257),"")</f>
        <v/>
      </c>
      <c r="Z257" s="36">
        <f>IFERROR(IF(Y257=0,"",ROUNDUP(Y257/H257,0)*0.00902),"")</f>
        <v/>
      </c>
      <c r="AA257" s="56" t="n"/>
      <c r="AB257" s="57" t="n"/>
      <c r="AC257" s="337" t="inlineStr">
        <is>
          <t>ЕАЭС N RU Д-RU.РА05.В.81895/23, ЕАЭС N RU Д-RU.РА05.В.81953/23</t>
        </is>
      </c>
      <c r="AG257" s="64" t="n"/>
      <c r="AJ257" s="68" t="n"/>
      <c r="AK257" s="68" t="n">
        <v>0</v>
      </c>
      <c r="BB257" s="338" t="inlineStr">
        <is>
          <t>КИ</t>
        </is>
      </c>
      <c r="BM257" s="64">
        <f>IFERROR(X257*I257/H257,"0")</f>
        <v/>
      </c>
      <c r="BN257" s="64">
        <f>IFERROR(Y257*I257/H257,"0")</f>
        <v/>
      </c>
      <c r="BO257" s="64">
        <f>IFERROR(1/J257*(X257/H257),"0")</f>
        <v/>
      </c>
      <c r="BP257" s="64">
        <f>IFERROR(1/J257*(Y257/H257),"0")</f>
        <v/>
      </c>
    </row>
    <row r="258">
      <c r="A258" s="801" t="n"/>
      <c r="B258" s="800" t="n"/>
      <c r="C258" s="800" t="n"/>
      <c r="D258" s="800" t="n"/>
      <c r="E258" s="800" t="n"/>
      <c r="F258" s="800" t="n"/>
      <c r="G258" s="800" t="n"/>
      <c r="H258" s="800" t="n"/>
      <c r="I258" s="800" t="n"/>
      <c r="J258" s="800" t="n"/>
      <c r="K258" s="800" t="n"/>
      <c r="L258" s="800" t="n"/>
      <c r="M258" s="800" t="n"/>
      <c r="N258" s="800" t="n"/>
      <c r="O258" s="802" t="n"/>
      <c r="P258" s="796" t="inlineStr">
        <is>
          <t>Итого</t>
        </is>
      </c>
      <c r="Q258" s="793" t="n"/>
      <c r="R258" s="793" t="n"/>
      <c r="S258" s="793" t="n"/>
      <c r="T258" s="793" t="n"/>
      <c r="U258" s="793" t="n"/>
      <c r="V258" s="794" t="n"/>
      <c r="W258" s="37" t="inlineStr">
        <is>
          <t>кор</t>
        </is>
      </c>
      <c r="X258" s="1223">
        <f>IFERROR(X250/H250,"0")+IFERROR(X251/H251,"0")+IFERROR(X252/H252,"0")+IFERROR(X253/H253,"0")+IFERROR(X254/H254,"0")+IFERROR(X255/H255,"0")+IFERROR(X256/H256,"0")+IFERROR(X257/H257,"0")</f>
        <v/>
      </c>
      <c r="Y258" s="1223">
        <f>IFERROR(Y250/H250,"0")+IFERROR(Y251/H251,"0")+IFERROR(Y252/H252,"0")+IFERROR(Y253/H253,"0")+IFERROR(Y254/H254,"0")+IFERROR(Y255/H255,"0")+IFERROR(Y256/H256,"0")+IFERROR(Y257/H257,"0")</f>
        <v/>
      </c>
      <c r="Z258" s="1223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/>
      </c>
      <c r="AA258" s="1224" t="n"/>
      <c r="AB258" s="1224" t="n"/>
      <c r="AC258" s="1224" t="n"/>
    </row>
    <row r="259">
      <c r="A259" s="800" t="n"/>
      <c r="B259" s="800" t="n"/>
      <c r="C259" s="800" t="n"/>
      <c r="D259" s="800" t="n"/>
      <c r="E259" s="800" t="n"/>
      <c r="F259" s="800" t="n"/>
      <c r="G259" s="800" t="n"/>
      <c r="H259" s="800" t="n"/>
      <c r="I259" s="800" t="n"/>
      <c r="J259" s="800" t="n"/>
      <c r="K259" s="800" t="n"/>
      <c r="L259" s="800" t="n"/>
      <c r="M259" s="800" t="n"/>
      <c r="N259" s="800" t="n"/>
      <c r="O259" s="802" t="n"/>
      <c r="P259" s="796" t="inlineStr">
        <is>
          <t>Итого</t>
        </is>
      </c>
      <c r="Q259" s="793" t="n"/>
      <c r="R259" s="793" t="n"/>
      <c r="S259" s="793" t="n"/>
      <c r="T259" s="793" t="n"/>
      <c r="U259" s="793" t="n"/>
      <c r="V259" s="794" t="n"/>
      <c r="W259" s="37" t="inlineStr">
        <is>
          <t>кг</t>
        </is>
      </c>
      <c r="X259" s="1223">
        <f>IFERROR(SUM(X250:X257),"0")</f>
        <v/>
      </c>
      <c r="Y259" s="1223">
        <f>IFERROR(SUM(Y250:Y257),"0")</f>
        <v/>
      </c>
      <c r="Z259" s="37" t="n"/>
      <c r="AA259" s="1224" t="n"/>
      <c r="AB259" s="1224" t="n"/>
      <c r="AC259" s="1224" t="n"/>
    </row>
    <row r="260" ht="16.5" customHeight="1">
      <c r="A260" s="807" t="inlineStr">
        <is>
          <t>Стародворская</t>
        </is>
      </c>
      <c r="B260" s="800" t="n"/>
      <c r="C260" s="800" t="n"/>
      <c r="D260" s="800" t="n"/>
      <c r="E260" s="800" t="n"/>
      <c r="F260" s="800" t="n"/>
      <c r="G260" s="800" t="n"/>
      <c r="H260" s="800" t="n"/>
      <c r="I260" s="800" t="n"/>
      <c r="J260" s="800" t="n"/>
      <c r="K260" s="800" t="n"/>
      <c r="L260" s="800" t="n"/>
      <c r="M260" s="800" t="n"/>
      <c r="N260" s="800" t="n"/>
      <c r="O260" s="800" t="n"/>
      <c r="P260" s="800" t="n"/>
      <c r="Q260" s="800" t="n"/>
      <c r="R260" s="800" t="n"/>
      <c r="S260" s="800" t="n"/>
      <c r="T260" s="800" t="n"/>
      <c r="U260" s="800" t="n"/>
      <c r="V260" s="800" t="n"/>
      <c r="W260" s="800" t="n"/>
      <c r="X260" s="800" t="n"/>
      <c r="Y260" s="800" t="n"/>
      <c r="Z260" s="800" t="n"/>
      <c r="AA260" s="807" t="n"/>
      <c r="AB260" s="807" t="n"/>
      <c r="AC260" s="807" t="n"/>
    </row>
    <row r="261" ht="14.25" customHeight="1">
      <c r="A261" s="799" t="inlineStr">
        <is>
          <t>Вареные колбасы</t>
        </is>
      </c>
      <c r="B261" s="800" t="n"/>
      <c r="C261" s="800" t="n"/>
      <c r="D261" s="800" t="n"/>
      <c r="E261" s="800" t="n"/>
      <c r="F261" s="800" t="n"/>
      <c r="G261" s="800" t="n"/>
      <c r="H261" s="800" t="n"/>
      <c r="I261" s="800" t="n"/>
      <c r="J261" s="800" t="n"/>
      <c r="K261" s="800" t="n"/>
      <c r="L261" s="800" t="n"/>
      <c r="M261" s="800" t="n"/>
      <c r="N261" s="800" t="n"/>
      <c r="O261" s="800" t="n"/>
      <c r="P261" s="800" t="n"/>
      <c r="Q261" s="800" t="n"/>
      <c r="R261" s="800" t="n"/>
      <c r="S261" s="800" t="n"/>
      <c r="T261" s="800" t="n"/>
      <c r="U261" s="800" t="n"/>
      <c r="V261" s="800" t="n"/>
      <c r="W261" s="800" t="n"/>
      <c r="X261" s="800" t="n"/>
      <c r="Y261" s="800" t="n"/>
      <c r="Z261" s="800" t="n"/>
      <c r="AA261" s="799" t="n"/>
      <c r="AB261" s="799" t="n"/>
      <c r="AC261" s="799" t="n"/>
    </row>
    <row r="262" ht="27" customHeight="1">
      <c r="A262" s="54" t="inlineStr">
        <is>
          <t>SU003273</t>
        </is>
      </c>
      <c r="B262" s="54" t="inlineStr">
        <is>
          <t>P004070</t>
        </is>
      </c>
      <c r="C262" s="31" t="n">
        <v>4301011826</v>
      </c>
      <c r="D262" s="782" t="n">
        <v>4680115884137</v>
      </c>
      <c r="E262" s="783" t="n"/>
      <c r="F262" s="1220" t="n">
        <v>1.45</v>
      </c>
      <c r="G262" s="32" t="n">
        <v>8</v>
      </c>
      <c r="H262" s="1220" t="n">
        <v>11.6</v>
      </c>
      <c r="I262" s="1220" t="n">
        <v>12.08</v>
      </c>
      <c r="J262" s="32" t="n">
        <v>56</v>
      </c>
      <c r="K262" s="32" t="inlineStr">
        <is>
          <t>8</t>
        </is>
      </c>
      <c r="L262" s="32" t="n"/>
      <c r="M262" s="33" t="inlineStr">
        <is>
          <t>СК1</t>
        </is>
      </c>
      <c r="N262" s="33" t="n"/>
      <c r="O262" s="32" t="n">
        <v>55</v>
      </c>
      <c r="P262" s="848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/>
      </c>
      <c r="Q262" s="785" t="n"/>
      <c r="R262" s="785" t="n"/>
      <c r="S262" s="785" t="n"/>
      <c r="T262" s="786" t="n"/>
      <c r="U262" s="34" t="n"/>
      <c r="V262" s="34" t="n"/>
      <c r="W262" s="35" t="inlineStr">
        <is>
          <t>кг</t>
        </is>
      </c>
      <c r="X262" s="1221" t="n">
        <v>0</v>
      </c>
      <c r="Y262" s="1222">
        <f>IFERROR(IF(X262="",0,CEILING((X262/$H262),1)*$H262),"")</f>
        <v/>
      </c>
      <c r="Z262" s="36">
        <f>IFERROR(IF(Y262=0,"",ROUNDUP(Y262/H262,0)*0.02175),"")</f>
        <v/>
      </c>
      <c r="AA262" s="56" t="n"/>
      <c r="AB262" s="57" t="n"/>
      <c r="AC262" s="339" t="inlineStr">
        <is>
          <t>ЕАЭС N RU Д-RU.РА02.В.62676/22, ЕАЭС N RU Д-RU.РА04.В.69476/22</t>
        </is>
      </c>
      <c r="AG262" s="64" t="n"/>
      <c r="AJ262" s="68" t="n"/>
      <c r="AK262" s="68" t="n">
        <v>0</v>
      </c>
      <c r="BB262" s="340" t="inlineStr">
        <is>
          <t>КИ</t>
        </is>
      </c>
      <c r="BM262" s="64">
        <f>IFERROR(X262*I262/H262,"0")</f>
        <v/>
      </c>
      <c r="BN262" s="64">
        <f>IFERROR(Y262*I262/H262,"0")</f>
        <v/>
      </c>
      <c r="BO262" s="64">
        <f>IFERROR(1/J262*(X262/H262),"0")</f>
        <v/>
      </c>
      <c r="BP262" s="64">
        <f>IFERROR(1/J262*(Y262/H262),"0")</f>
        <v/>
      </c>
    </row>
    <row r="263" ht="27" customHeight="1">
      <c r="A263" s="54" t="inlineStr">
        <is>
          <t>SU003273</t>
        </is>
      </c>
      <c r="B263" s="54" t="inlineStr">
        <is>
          <t>P004316</t>
        </is>
      </c>
      <c r="C263" s="31" t="n">
        <v>4301011942</v>
      </c>
      <c r="D263" s="782" t="n">
        <v>4680115884137</v>
      </c>
      <c r="E263" s="783" t="n"/>
      <c r="F263" s="1220" t="n">
        <v>1.45</v>
      </c>
      <c r="G263" s="32" t="n">
        <v>8</v>
      </c>
      <c r="H263" s="1220" t="n">
        <v>11.6</v>
      </c>
      <c r="I263" s="1220" t="n">
        <v>12.08</v>
      </c>
      <c r="J263" s="32" t="n">
        <v>48</v>
      </c>
      <c r="K263" s="32" t="inlineStr">
        <is>
          <t>8</t>
        </is>
      </c>
      <c r="L263" s="32" t="n"/>
      <c r="M263" s="33" t="inlineStr">
        <is>
          <t>ВЗ</t>
        </is>
      </c>
      <c r="N263" s="33" t="n"/>
      <c r="O263" s="32" t="n">
        <v>55</v>
      </c>
      <c r="P263" s="838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/>
      </c>
      <c r="Q263" s="785" t="n"/>
      <c r="R263" s="785" t="n"/>
      <c r="S263" s="785" t="n"/>
      <c r="T263" s="786" t="n"/>
      <c r="U263" s="34" t="n"/>
      <c r="V263" s="34" t="n"/>
      <c r="W263" s="35" t="inlineStr">
        <is>
          <t>кг</t>
        </is>
      </c>
      <c r="X263" s="1221" t="n">
        <v>0</v>
      </c>
      <c r="Y263" s="1222">
        <f>IFERROR(IF(X263="",0,CEILING((X263/$H263),1)*$H263),"")</f>
        <v/>
      </c>
      <c r="Z263" s="36">
        <f>IFERROR(IF(Y263=0,"",ROUNDUP(Y263/H263,0)*0.02039),"")</f>
        <v/>
      </c>
      <c r="AA263" s="56" t="n"/>
      <c r="AB263" s="57" t="n"/>
      <c r="AC263" s="341" t="inlineStr">
        <is>
          <t>ЕАЭС N RU Д-RU.РА03.В.17296/24</t>
        </is>
      </c>
      <c r="AG263" s="64" t="n"/>
      <c r="AJ263" s="68" t="n"/>
      <c r="AK263" s="68" t="n">
        <v>0</v>
      </c>
      <c r="BB263" s="342" t="inlineStr">
        <is>
          <t>КИ</t>
        </is>
      </c>
      <c r="BM263" s="64">
        <f>IFERROR(X263*I263/H263,"0")</f>
        <v/>
      </c>
      <c r="BN263" s="64">
        <f>IFERROR(Y263*I263/H263,"0")</f>
        <v/>
      </c>
      <c r="BO263" s="64">
        <f>IFERROR(1/J263*(X263/H263),"0")</f>
        <v/>
      </c>
      <c r="BP263" s="64">
        <f>IFERROR(1/J263*(Y263/H263),"0")</f>
        <v/>
      </c>
    </row>
    <row r="264" ht="27" customHeight="1">
      <c r="A264" s="54" t="inlineStr">
        <is>
          <t>SU003275</t>
        </is>
      </c>
      <c r="B264" s="54" t="inlineStr">
        <is>
          <t>P003950</t>
        </is>
      </c>
      <c r="C264" s="31" t="n">
        <v>4301011724</v>
      </c>
      <c r="D264" s="782" t="n">
        <v>4680115884236</v>
      </c>
      <c r="E264" s="783" t="n"/>
      <c r="F264" s="1220" t="n">
        <v>1.45</v>
      </c>
      <c r="G264" s="32" t="n">
        <v>8</v>
      </c>
      <c r="H264" s="1220" t="n">
        <v>11.6</v>
      </c>
      <c r="I264" s="1220" t="n">
        <v>12.08</v>
      </c>
      <c r="J264" s="32" t="n">
        <v>56</v>
      </c>
      <c r="K264" s="32" t="inlineStr">
        <is>
          <t>8</t>
        </is>
      </c>
      <c r="L264" s="32" t="n"/>
      <c r="M264" s="33" t="inlineStr">
        <is>
          <t>СК1</t>
        </is>
      </c>
      <c r="N264" s="33" t="n"/>
      <c r="O264" s="32" t="n">
        <v>55</v>
      </c>
      <c r="P264" s="1108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/>
      </c>
      <c r="Q264" s="785" t="n"/>
      <c r="R264" s="785" t="n"/>
      <c r="S264" s="785" t="n"/>
      <c r="T264" s="786" t="n"/>
      <c r="U264" s="34" t="n"/>
      <c r="V264" s="34" t="n"/>
      <c r="W264" s="35" t="inlineStr">
        <is>
          <t>кг</t>
        </is>
      </c>
      <c r="X264" s="1221" t="n">
        <v>0</v>
      </c>
      <c r="Y264" s="1222">
        <f>IFERROR(IF(X264="",0,CEILING((X264/$H264),1)*$H264),"")</f>
        <v/>
      </c>
      <c r="Z264" s="36">
        <f>IFERROR(IF(Y264=0,"",ROUNDUP(Y264/H264,0)*0.02175),"")</f>
        <v/>
      </c>
      <c r="AA264" s="56" t="n"/>
      <c r="AB264" s="57" t="n"/>
      <c r="AC264" s="343" t="inlineStr">
        <is>
          <t>ЕАЭС N RU Д-RU.РА10.В.27759/23</t>
        </is>
      </c>
      <c r="AG264" s="64" t="n"/>
      <c r="AJ264" s="68" t="n"/>
      <c r="AK264" s="68" t="n">
        <v>0</v>
      </c>
      <c r="BB264" s="344" t="inlineStr">
        <is>
          <t>КИ</t>
        </is>
      </c>
      <c r="BM264" s="64">
        <f>IFERROR(X264*I264/H264,"0")</f>
        <v/>
      </c>
      <c r="BN264" s="64">
        <f>IFERROR(Y264*I264/H264,"0")</f>
        <v/>
      </c>
      <c r="BO264" s="64">
        <f>IFERROR(1/J264*(X264/H264),"0")</f>
        <v/>
      </c>
      <c r="BP264" s="64">
        <f>IFERROR(1/J264*(Y264/H264),"0")</f>
        <v/>
      </c>
    </row>
    <row r="265" ht="27" customHeight="1">
      <c r="A265" s="54" t="inlineStr">
        <is>
          <t>SU003271</t>
        </is>
      </c>
      <c r="B265" s="54" t="inlineStr">
        <is>
          <t>P003945</t>
        </is>
      </c>
      <c r="C265" s="31" t="n">
        <v>4301011721</v>
      </c>
      <c r="D265" s="782" t="n">
        <v>4680115884175</v>
      </c>
      <c r="E265" s="783" t="n"/>
      <c r="F265" s="1220" t="n">
        <v>1.45</v>
      </c>
      <c r="G265" s="32" t="n">
        <v>8</v>
      </c>
      <c r="H265" s="1220" t="n">
        <v>11.6</v>
      </c>
      <c r="I265" s="1220" t="n">
        <v>12.08</v>
      </c>
      <c r="J265" s="32" t="n">
        <v>56</v>
      </c>
      <c r="K265" s="32" t="inlineStr">
        <is>
          <t>8</t>
        </is>
      </c>
      <c r="L265" s="32" t="n"/>
      <c r="M265" s="33" t="inlineStr">
        <is>
          <t>СК1</t>
        </is>
      </c>
      <c r="N265" s="33" t="n"/>
      <c r="O265" s="32" t="n">
        <v>55</v>
      </c>
      <c r="P265" s="1167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/>
      </c>
      <c r="Q265" s="785" t="n"/>
      <c r="R265" s="785" t="n"/>
      <c r="S265" s="785" t="n"/>
      <c r="T265" s="786" t="n"/>
      <c r="U265" s="34" t="n"/>
      <c r="V265" s="34" t="n"/>
      <c r="W265" s="35" t="inlineStr">
        <is>
          <t>кг</t>
        </is>
      </c>
      <c r="X265" s="1221" t="n">
        <v>0</v>
      </c>
      <c r="Y265" s="1222">
        <f>IFERROR(IF(X265="",0,CEILING((X265/$H265),1)*$H265),"")</f>
        <v/>
      </c>
      <c r="Z265" s="36">
        <f>IFERROR(IF(Y265=0,"",ROUNDUP(Y265/H265,0)*0.02175),"")</f>
        <v/>
      </c>
      <c r="AA265" s="56" t="n"/>
      <c r="AB265" s="57" t="n"/>
      <c r="AC265" s="345" t="inlineStr">
        <is>
          <t>ЕАЭС N RU Д-RU.РА01.В.26920/22, ЕАЭС N RU Д-RU.РА02.В.59666/22</t>
        </is>
      </c>
      <c r="AG265" s="64" t="n"/>
      <c r="AJ265" s="68" t="n"/>
      <c r="AK265" s="68" t="n">
        <v>0</v>
      </c>
      <c r="BB265" s="346" t="inlineStr">
        <is>
          <t>КИ</t>
        </is>
      </c>
      <c r="BM265" s="64">
        <f>IFERROR(X265*I265/H265,"0")</f>
        <v/>
      </c>
      <c r="BN265" s="64">
        <f>IFERROR(Y265*I265/H265,"0")</f>
        <v/>
      </c>
      <c r="BO265" s="64">
        <f>IFERROR(1/J265*(X265/H265),"0")</f>
        <v/>
      </c>
      <c r="BP265" s="64">
        <f>IFERROR(1/J265*(Y265/H265),"0")</f>
        <v/>
      </c>
    </row>
    <row r="266" ht="27" customHeight="1">
      <c r="A266" s="54" t="inlineStr">
        <is>
          <t>SU003271</t>
        </is>
      </c>
      <c r="B266" s="54" t="inlineStr">
        <is>
          <t>P004298</t>
        </is>
      </c>
      <c r="C266" s="31" t="n">
        <v>4301011941</v>
      </c>
      <c r="D266" s="782" t="n">
        <v>4680115884175</v>
      </c>
      <c r="E266" s="783" t="n"/>
      <c r="F266" s="1220" t="n">
        <v>1.45</v>
      </c>
      <c r="G266" s="32" t="n">
        <v>8</v>
      </c>
      <c r="H266" s="1220" t="n">
        <v>11.6</v>
      </c>
      <c r="I266" s="1220" t="n">
        <v>12.08</v>
      </c>
      <c r="J266" s="32" t="n">
        <v>48</v>
      </c>
      <c r="K266" s="32" t="inlineStr">
        <is>
          <t>8</t>
        </is>
      </c>
      <c r="L266" s="32" t="n"/>
      <c r="M266" s="33" t="inlineStr">
        <is>
          <t>ВЗ</t>
        </is>
      </c>
      <c r="N266" s="33" t="n"/>
      <c r="O266" s="32" t="n">
        <v>55</v>
      </c>
      <c r="P266" s="1155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/>
      </c>
      <c r="Q266" s="785" t="n"/>
      <c r="R266" s="785" t="n"/>
      <c r="S266" s="785" t="n"/>
      <c r="T266" s="786" t="n"/>
      <c r="U266" s="34" t="n"/>
      <c r="V266" s="34" t="n"/>
      <c r="W266" s="35" t="inlineStr">
        <is>
          <t>кг</t>
        </is>
      </c>
      <c r="X266" s="1221" t="n">
        <v>0</v>
      </c>
      <c r="Y266" s="1222">
        <f>IFERROR(IF(X266="",0,CEILING((X266/$H266),1)*$H266),"")</f>
        <v/>
      </c>
      <c r="Z266" s="36">
        <f>IFERROR(IF(Y266=0,"",ROUNDUP(Y266/H266,0)*0.02039),"")</f>
        <v/>
      </c>
      <c r="AA266" s="56" t="n"/>
      <c r="AB266" s="57" t="n"/>
      <c r="AC266" s="347" t="inlineStr">
        <is>
          <t>ЕАЭС N RU Д-RU.РА03.В.17296/24</t>
        </is>
      </c>
      <c r="AG266" s="64" t="n"/>
      <c r="AJ266" s="68" t="n"/>
      <c r="AK266" s="68" t="n">
        <v>0</v>
      </c>
      <c r="BB266" s="348" t="inlineStr">
        <is>
          <t>КИ</t>
        </is>
      </c>
      <c r="BM266" s="64">
        <f>IFERROR(X266*I266/H266,"0")</f>
        <v/>
      </c>
      <c r="BN266" s="64">
        <f>IFERROR(Y266*I266/H266,"0")</f>
        <v/>
      </c>
      <c r="BO266" s="64">
        <f>IFERROR(1/J266*(X266/H266),"0")</f>
        <v/>
      </c>
      <c r="BP266" s="64">
        <f>IFERROR(1/J266*(Y266/H266),"0")</f>
        <v/>
      </c>
    </row>
    <row r="267" ht="27" customHeight="1">
      <c r="A267" s="54" t="inlineStr">
        <is>
          <t>SU003274</t>
        </is>
      </c>
      <c r="B267" s="54" t="inlineStr">
        <is>
          <t>P004067</t>
        </is>
      </c>
      <c r="C267" s="31" t="n">
        <v>4301011824</v>
      </c>
      <c r="D267" s="782" t="n">
        <v>4680115884144</v>
      </c>
      <c r="E267" s="783" t="n"/>
      <c r="F267" s="1220" t="n">
        <v>0.4</v>
      </c>
      <c r="G267" s="32" t="n">
        <v>10</v>
      </c>
      <c r="H267" s="1220" t="n">
        <v>4</v>
      </c>
      <c r="I267" s="1220" t="n">
        <v>4.21</v>
      </c>
      <c r="J267" s="32" t="n">
        <v>132</v>
      </c>
      <c r="K267" s="32" t="inlineStr">
        <is>
          <t>12</t>
        </is>
      </c>
      <c r="L267" s="32" t="n"/>
      <c r="M267" s="33" t="inlineStr">
        <is>
          <t>СК1</t>
        </is>
      </c>
      <c r="N267" s="33" t="n"/>
      <c r="O267" s="32" t="n">
        <v>55</v>
      </c>
      <c r="P267" s="1032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/>
      </c>
      <c r="Q267" s="785" t="n"/>
      <c r="R267" s="785" t="n"/>
      <c r="S267" s="785" t="n"/>
      <c r="T267" s="786" t="n"/>
      <c r="U267" s="34" t="n"/>
      <c r="V267" s="34" t="n"/>
      <c r="W267" s="35" t="inlineStr">
        <is>
          <t>кг</t>
        </is>
      </c>
      <c r="X267" s="1221" t="n">
        <v>0</v>
      </c>
      <c r="Y267" s="1222">
        <f>IFERROR(IF(X267="",0,CEILING((X267/$H267),1)*$H267),"")</f>
        <v/>
      </c>
      <c r="Z267" s="36">
        <f>IFERROR(IF(Y267=0,"",ROUNDUP(Y267/H267,0)*0.00902),"")</f>
        <v/>
      </c>
      <c r="AA267" s="56" t="n"/>
      <c r="AB267" s="57" t="n"/>
      <c r="AC267" s="349" t="inlineStr">
        <is>
          <t>ЕАЭС N RU Д-RU.РА02.В.62676/22, ЕАЭС N RU Д-RU.РА04.В.69476/22</t>
        </is>
      </c>
      <c r="AG267" s="64" t="n"/>
      <c r="AJ267" s="68" t="n"/>
      <c r="AK267" s="68" t="n">
        <v>0</v>
      </c>
      <c r="BB267" s="350" t="inlineStr">
        <is>
          <t>КИ</t>
        </is>
      </c>
      <c r="BM267" s="64">
        <f>IFERROR(X267*I267/H267,"0")</f>
        <v/>
      </c>
      <c r="BN267" s="64">
        <f>IFERROR(Y267*I267/H267,"0")</f>
        <v/>
      </c>
      <c r="BO267" s="64">
        <f>IFERROR(1/J267*(X267/H267),"0")</f>
        <v/>
      </c>
      <c r="BP267" s="64">
        <f>IFERROR(1/J267*(Y267/H267),"0")</f>
        <v/>
      </c>
    </row>
    <row r="268" ht="27" customHeight="1">
      <c r="A268" s="54" t="inlineStr">
        <is>
          <t>SU003508</t>
        </is>
      </c>
      <c r="B268" s="54" t="inlineStr">
        <is>
          <t>P004417</t>
        </is>
      </c>
      <c r="C268" s="31" t="n">
        <v>4301011963</v>
      </c>
      <c r="D268" s="782" t="n">
        <v>4680115885288</v>
      </c>
      <c r="E268" s="783" t="n"/>
      <c r="F268" s="1220" t="n">
        <v>0.37</v>
      </c>
      <c r="G268" s="32" t="n">
        <v>10</v>
      </c>
      <c r="H268" s="1220" t="n">
        <v>3.7</v>
      </c>
      <c r="I268" s="1220" t="n">
        <v>3.91</v>
      </c>
      <c r="J268" s="32" t="n">
        <v>132</v>
      </c>
      <c r="K268" s="32" t="inlineStr">
        <is>
          <t>12</t>
        </is>
      </c>
      <c r="L268" s="32" t="n"/>
      <c r="M268" s="33" t="inlineStr">
        <is>
          <t>СК1</t>
        </is>
      </c>
      <c r="N268" s="33" t="n"/>
      <c r="O268" s="32" t="n">
        <v>55</v>
      </c>
      <c r="P268" s="1174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/>
      </c>
      <c r="Q268" s="785" t="n"/>
      <c r="R268" s="785" t="n"/>
      <c r="S268" s="785" t="n"/>
      <c r="T268" s="786" t="n"/>
      <c r="U268" s="34" t="n"/>
      <c r="V268" s="34" t="n"/>
      <c r="W268" s="35" t="inlineStr">
        <is>
          <t>кг</t>
        </is>
      </c>
      <c r="X268" s="1221" t="n">
        <v>0</v>
      </c>
      <c r="Y268" s="1222">
        <f>IFERROR(IF(X268="",0,CEILING((X268/$H268),1)*$H268),"")</f>
        <v/>
      </c>
      <c r="Z268" s="36">
        <f>IFERROR(IF(Y268=0,"",ROUNDUP(Y268/H268,0)*0.00902),"")</f>
        <v/>
      </c>
      <c r="AA268" s="56" t="n"/>
      <c r="AB268" s="57" t="n"/>
      <c r="AC268" s="351" t="inlineStr">
        <is>
          <t>ЕАЭС N RU Д-RU.РА03.В.72061/24, ЕАЭС N RU Д-RU.РА03.В.76182/24</t>
        </is>
      </c>
      <c r="AG268" s="64" t="n"/>
      <c r="AJ268" s="68" t="n"/>
      <c r="AK268" s="68" t="n">
        <v>0</v>
      </c>
      <c r="BB268" s="352" t="inlineStr">
        <is>
          <t>КИ</t>
        </is>
      </c>
      <c r="BM268" s="64">
        <f>IFERROR(X268*I268/H268,"0")</f>
        <v/>
      </c>
      <c r="BN268" s="64">
        <f>IFERROR(Y268*I268/H268,"0")</f>
        <v/>
      </c>
      <c r="BO268" s="64">
        <f>IFERROR(1/J268*(X268/H268),"0")</f>
        <v/>
      </c>
      <c r="BP268" s="64">
        <f>IFERROR(1/J268*(Y268/H268),"0")</f>
        <v/>
      </c>
    </row>
    <row r="269" ht="27" customHeight="1">
      <c r="A269" s="54" t="inlineStr">
        <is>
          <t>SU003276</t>
        </is>
      </c>
      <c r="B269" s="54" t="inlineStr">
        <is>
          <t>P003956</t>
        </is>
      </c>
      <c r="C269" s="31" t="n">
        <v>4301011726</v>
      </c>
      <c r="D269" s="782" t="n">
        <v>4680115884182</v>
      </c>
      <c r="E269" s="783" t="n"/>
      <c r="F269" s="1220" t="n">
        <v>0.37</v>
      </c>
      <c r="G269" s="32" t="n">
        <v>10</v>
      </c>
      <c r="H269" s="1220" t="n">
        <v>3.7</v>
      </c>
      <c r="I269" s="1220" t="n">
        <v>3.91</v>
      </c>
      <c r="J269" s="32" t="n">
        <v>132</v>
      </c>
      <c r="K269" s="32" t="inlineStr">
        <is>
          <t>12</t>
        </is>
      </c>
      <c r="L269" s="32" t="n"/>
      <c r="M269" s="33" t="inlineStr">
        <is>
          <t>СК1</t>
        </is>
      </c>
      <c r="N269" s="33" t="n"/>
      <c r="O269" s="32" t="n">
        <v>55</v>
      </c>
      <c r="P269" s="927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/>
      </c>
      <c r="Q269" s="785" t="n"/>
      <c r="R269" s="785" t="n"/>
      <c r="S269" s="785" t="n"/>
      <c r="T269" s="786" t="n"/>
      <c r="U269" s="34" t="n"/>
      <c r="V269" s="34" t="n"/>
      <c r="W269" s="35" t="inlineStr">
        <is>
          <t>кг</t>
        </is>
      </c>
      <c r="X269" s="1221" t="n">
        <v>0</v>
      </c>
      <c r="Y269" s="1222">
        <f>IFERROR(IF(X269="",0,CEILING((X269/$H269),1)*$H269),"")</f>
        <v/>
      </c>
      <c r="Z269" s="36">
        <f>IFERROR(IF(Y269=0,"",ROUNDUP(Y269/H269,0)*0.00902),"")</f>
        <v/>
      </c>
      <c r="AA269" s="56" t="n"/>
      <c r="AB269" s="57" t="n"/>
      <c r="AC269" s="353" t="inlineStr">
        <is>
          <t>ЕАЭС N RU Д-RU.РА10.В.27759/23</t>
        </is>
      </c>
      <c r="AG269" s="64" t="n"/>
      <c r="AJ269" s="68" t="n"/>
      <c r="AK269" s="68" t="n">
        <v>0</v>
      </c>
      <c r="BB269" s="354" t="inlineStr">
        <is>
          <t>КИ</t>
        </is>
      </c>
      <c r="BM269" s="64">
        <f>IFERROR(X269*I269/H269,"0")</f>
        <v/>
      </c>
      <c r="BN269" s="64">
        <f>IFERROR(Y269*I269/H269,"0")</f>
        <v/>
      </c>
      <c r="BO269" s="64">
        <f>IFERROR(1/J269*(X269/H269),"0")</f>
        <v/>
      </c>
      <c r="BP269" s="64">
        <f>IFERROR(1/J269*(Y269/H269),"0")</f>
        <v/>
      </c>
    </row>
    <row r="270" ht="27" customHeight="1">
      <c r="A270" s="54" t="inlineStr">
        <is>
          <t>SU003272</t>
        </is>
      </c>
      <c r="B270" s="54" t="inlineStr">
        <is>
          <t>P003947</t>
        </is>
      </c>
      <c r="C270" s="31" t="n">
        <v>4301011722</v>
      </c>
      <c r="D270" s="782" t="n">
        <v>4680115884205</v>
      </c>
      <c r="E270" s="783" t="n"/>
      <c r="F270" s="1220" t="n">
        <v>0.4</v>
      </c>
      <c r="G270" s="32" t="n">
        <v>10</v>
      </c>
      <c r="H270" s="1220" t="n">
        <v>4</v>
      </c>
      <c r="I270" s="1220" t="n">
        <v>4.21</v>
      </c>
      <c r="J270" s="32" t="n">
        <v>132</v>
      </c>
      <c r="K270" s="32" t="inlineStr">
        <is>
          <t>12</t>
        </is>
      </c>
      <c r="L270" s="32" t="n"/>
      <c r="M270" s="33" t="inlineStr">
        <is>
          <t>СК1</t>
        </is>
      </c>
      <c r="N270" s="33" t="n"/>
      <c r="O270" s="32" t="n">
        <v>55</v>
      </c>
      <c r="P270" s="981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/>
      </c>
      <c r="Q270" s="785" t="n"/>
      <c r="R270" s="785" t="n"/>
      <c r="S270" s="785" t="n"/>
      <c r="T270" s="786" t="n"/>
      <c r="U270" s="34" t="n"/>
      <c r="V270" s="34" t="n"/>
      <c r="W270" s="35" t="inlineStr">
        <is>
          <t>кг</t>
        </is>
      </c>
      <c r="X270" s="1221" t="n">
        <v>0</v>
      </c>
      <c r="Y270" s="1222">
        <f>IFERROR(IF(X270="",0,CEILING((X270/$H270),1)*$H270),"")</f>
        <v/>
      </c>
      <c r="Z270" s="36">
        <f>IFERROR(IF(Y270=0,"",ROUNDUP(Y270/H270,0)*0.00902),"")</f>
        <v/>
      </c>
      <c r="AA270" s="56" t="n"/>
      <c r="AB270" s="57" t="n"/>
      <c r="AC270" s="355" t="inlineStr">
        <is>
          <t>ЕАЭС N RU Д-RU.РА01.В.26920/22, ЕАЭС N RU Д-RU.РА02.В.59666/22</t>
        </is>
      </c>
      <c r="AG270" s="64" t="n"/>
      <c r="AJ270" s="68" t="n"/>
      <c r="AK270" s="68" t="n">
        <v>0</v>
      </c>
      <c r="BB270" s="356" t="inlineStr">
        <is>
          <t>КИ</t>
        </is>
      </c>
      <c r="BM270" s="64">
        <f>IFERROR(X270*I270/H270,"0")</f>
        <v/>
      </c>
      <c r="BN270" s="64">
        <f>IFERROR(Y270*I270/H270,"0")</f>
        <v/>
      </c>
      <c r="BO270" s="64">
        <f>IFERROR(1/J270*(X270/H270),"0")</f>
        <v/>
      </c>
      <c r="BP270" s="64">
        <f>IFERROR(1/J270*(Y270/H270),"0")</f>
        <v/>
      </c>
    </row>
    <row r="271">
      <c r="A271" s="801" t="n"/>
      <c r="B271" s="800" t="n"/>
      <c r="C271" s="800" t="n"/>
      <c r="D271" s="800" t="n"/>
      <c r="E271" s="800" t="n"/>
      <c r="F271" s="800" t="n"/>
      <c r="G271" s="800" t="n"/>
      <c r="H271" s="800" t="n"/>
      <c r="I271" s="800" t="n"/>
      <c r="J271" s="800" t="n"/>
      <c r="K271" s="800" t="n"/>
      <c r="L271" s="800" t="n"/>
      <c r="M271" s="800" t="n"/>
      <c r="N271" s="800" t="n"/>
      <c r="O271" s="802" t="n"/>
      <c r="P271" s="796" t="inlineStr">
        <is>
          <t>Итого</t>
        </is>
      </c>
      <c r="Q271" s="793" t="n"/>
      <c r="R271" s="793" t="n"/>
      <c r="S271" s="793" t="n"/>
      <c r="T271" s="793" t="n"/>
      <c r="U271" s="793" t="n"/>
      <c r="V271" s="794" t="n"/>
      <c r="W271" s="37" t="inlineStr">
        <is>
          <t>кор</t>
        </is>
      </c>
      <c r="X271" s="1223">
        <f>IFERROR(X262/H262,"0")+IFERROR(X263/H263,"0")+IFERROR(X264/H264,"0")+IFERROR(X265/H265,"0")+IFERROR(X266/H266,"0")+IFERROR(X267/H267,"0")+IFERROR(X268/H268,"0")+IFERROR(X269/H269,"0")+IFERROR(X270/H270,"0")</f>
        <v/>
      </c>
      <c r="Y271" s="1223">
        <f>IFERROR(Y262/H262,"0")+IFERROR(Y263/H263,"0")+IFERROR(Y264/H264,"0")+IFERROR(Y265/H265,"0")+IFERROR(Y266/H266,"0")+IFERROR(Y267/H267,"0")+IFERROR(Y268/H268,"0")+IFERROR(Y269/H269,"0")+IFERROR(Y270/H270,"0")</f>
        <v/>
      </c>
      <c r="Z271" s="1223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/>
      </c>
      <c r="AA271" s="1224" t="n"/>
      <c r="AB271" s="1224" t="n"/>
      <c r="AC271" s="1224" t="n"/>
    </row>
    <row r="272">
      <c r="A272" s="800" t="n"/>
      <c r="B272" s="800" t="n"/>
      <c r="C272" s="800" t="n"/>
      <c r="D272" s="800" t="n"/>
      <c r="E272" s="800" t="n"/>
      <c r="F272" s="800" t="n"/>
      <c r="G272" s="800" t="n"/>
      <c r="H272" s="800" t="n"/>
      <c r="I272" s="800" t="n"/>
      <c r="J272" s="800" t="n"/>
      <c r="K272" s="800" t="n"/>
      <c r="L272" s="800" t="n"/>
      <c r="M272" s="800" t="n"/>
      <c r="N272" s="800" t="n"/>
      <c r="O272" s="802" t="n"/>
      <c r="P272" s="796" t="inlineStr">
        <is>
          <t>Итого</t>
        </is>
      </c>
      <c r="Q272" s="793" t="n"/>
      <c r="R272" s="793" t="n"/>
      <c r="S272" s="793" t="n"/>
      <c r="T272" s="793" t="n"/>
      <c r="U272" s="793" t="n"/>
      <c r="V272" s="794" t="n"/>
      <c r="W272" s="37" t="inlineStr">
        <is>
          <t>кг</t>
        </is>
      </c>
      <c r="X272" s="1223">
        <f>IFERROR(SUM(X262:X270),"0")</f>
        <v/>
      </c>
      <c r="Y272" s="1223">
        <f>IFERROR(SUM(Y262:Y270),"0")</f>
        <v/>
      </c>
      <c r="Z272" s="37" t="n"/>
      <c r="AA272" s="1224" t="n"/>
      <c r="AB272" s="1224" t="n"/>
      <c r="AC272" s="1224" t="n"/>
    </row>
    <row r="273" ht="14.25" customHeight="1">
      <c r="A273" s="799" t="inlineStr">
        <is>
          <t>Ветчины</t>
        </is>
      </c>
      <c r="B273" s="800" t="n"/>
      <c r="C273" s="800" t="n"/>
      <c r="D273" s="800" t="n"/>
      <c r="E273" s="800" t="n"/>
      <c r="F273" s="800" t="n"/>
      <c r="G273" s="800" t="n"/>
      <c r="H273" s="800" t="n"/>
      <c r="I273" s="800" t="n"/>
      <c r="J273" s="800" t="n"/>
      <c r="K273" s="800" t="n"/>
      <c r="L273" s="800" t="n"/>
      <c r="M273" s="800" t="n"/>
      <c r="N273" s="800" t="n"/>
      <c r="O273" s="800" t="n"/>
      <c r="P273" s="800" t="n"/>
      <c r="Q273" s="800" t="n"/>
      <c r="R273" s="800" t="n"/>
      <c r="S273" s="800" t="n"/>
      <c r="T273" s="800" t="n"/>
      <c r="U273" s="800" t="n"/>
      <c r="V273" s="800" t="n"/>
      <c r="W273" s="800" t="n"/>
      <c r="X273" s="800" t="n"/>
      <c r="Y273" s="800" t="n"/>
      <c r="Z273" s="800" t="n"/>
      <c r="AA273" s="799" t="n"/>
      <c r="AB273" s="799" t="n"/>
      <c r="AC273" s="799" t="n"/>
    </row>
    <row r="274" ht="27" customHeight="1">
      <c r="A274" s="54" t="inlineStr">
        <is>
          <t>SU003573</t>
        </is>
      </c>
      <c r="B274" s="54" t="inlineStr">
        <is>
          <t>P004524</t>
        </is>
      </c>
      <c r="C274" s="31" t="n">
        <v>4301020340</v>
      </c>
      <c r="D274" s="782" t="n">
        <v>4680115885721</v>
      </c>
      <c r="E274" s="783" t="n"/>
      <c r="F274" s="1220" t="n">
        <v>0.33</v>
      </c>
      <c r="G274" s="32" t="n">
        <v>6</v>
      </c>
      <c r="H274" s="1220" t="n">
        <v>1.98</v>
      </c>
      <c r="I274" s="1220" t="n">
        <v>2.08</v>
      </c>
      <c r="J274" s="32" t="n">
        <v>234</v>
      </c>
      <c r="K274" s="32" t="inlineStr">
        <is>
          <t>18</t>
        </is>
      </c>
      <c r="L274" s="32" t="n"/>
      <c r="M274" s="33" t="inlineStr">
        <is>
          <t>СК3</t>
        </is>
      </c>
      <c r="N274" s="33" t="n"/>
      <c r="O274" s="32" t="n">
        <v>50</v>
      </c>
      <c r="P274" s="952">
        <f>HYPERLINK("https://abi.ru/products/Охлажденные/Стародворье/Стародворская/Ветчины/P004524/","Ветчины «Стародворская» ф/в 0,33 п/а ТМ «Стародворье»")</f>
        <v/>
      </c>
      <c r="Q274" s="785" t="n"/>
      <c r="R274" s="785" t="n"/>
      <c r="S274" s="785" t="n"/>
      <c r="T274" s="786" t="n"/>
      <c r="U274" s="34" t="n"/>
      <c r="V274" s="34" t="n"/>
      <c r="W274" s="35" t="inlineStr">
        <is>
          <t>кг</t>
        </is>
      </c>
      <c r="X274" s="1221" t="n">
        <v>0</v>
      </c>
      <c r="Y274" s="1222">
        <f>IFERROR(IF(X274="",0,CEILING((X274/$H274),1)*$H274),"")</f>
        <v/>
      </c>
      <c r="Z274" s="36">
        <f>IFERROR(IF(Y274=0,"",ROUNDUP(Y274/H274,0)*0.00502),"")</f>
        <v/>
      </c>
      <c r="AA274" s="56" t="n"/>
      <c r="AB274" s="57" t="n"/>
      <c r="AC274" s="357" t="inlineStr">
        <is>
          <t>ЕАЭС N RU Д-RU.РА05.В.24697/24</t>
        </is>
      </c>
      <c r="AG274" s="64" t="n"/>
      <c r="AJ274" s="68" t="n"/>
      <c r="AK274" s="68" t="n">
        <v>0</v>
      </c>
      <c r="BB274" s="358" t="inlineStr">
        <is>
          <t>КИ</t>
        </is>
      </c>
      <c r="BM274" s="64">
        <f>IFERROR(X274*I274/H274,"0")</f>
        <v/>
      </c>
      <c r="BN274" s="64">
        <f>IFERROR(Y274*I274/H274,"0")</f>
        <v/>
      </c>
      <c r="BO274" s="64">
        <f>IFERROR(1/J274*(X274/H274),"0")</f>
        <v/>
      </c>
      <c r="BP274" s="64">
        <f>IFERROR(1/J274*(Y274/H274),"0")</f>
        <v/>
      </c>
    </row>
    <row r="275">
      <c r="A275" s="801" t="n"/>
      <c r="B275" s="800" t="n"/>
      <c r="C275" s="800" t="n"/>
      <c r="D275" s="800" t="n"/>
      <c r="E275" s="800" t="n"/>
      <c r="F275" s="800" t="n"/>
      <c r="G275" s="800" t="n"/>
      <c r="H275" s="800" t="n"/>
      <c r="I275" s="800" t="n"/>
      <c r="J275" s="800" t="n"/>
      <c r="K275" s="800" t="n"/>
      <c r="L275" s="800" t="n"/>
      <c r="M275" s="800" t="n"/>
      <c r="N275" s="800" t="n"/>
      <c r="O275" s="802" t="n"/>
      <c r="P275" s="796" t="inlineStr">
        <is>
          <t>Итого</t>
        </is>
      </c>
      <c r="Q275" s="793" t="n"/>
      <c r="R275" s="793" t="n"/>
      <c r="S275" s="793" t="n"/>
      <c r="T275" s="793" t="n"/>
      <c r="U275" s="793" t="n"/>
      <c r="V275" s="794" t="n"/>
      <c r="W275" s="37" t="inlineStr">
        <is>
          <t>кор</t>
        </is>
      </c>
      <c r="X275" s="1223">
        <f>IFERROR(X274/H274,"0")</f>
        <v/>
      </c>
      <c r="Y275" s="1223">
        <f>IFERROR(Y274/H274,"0")</f>
        <v/>
      </c>
      <c r="Z275" s="1223">
        <f>IFERROR(IF(Z274="",0,Z274),"0")</f>
        <v/>
      </c>
      <c r="AA275" s="1224" t="n"/>
      <c r="AB275" s="1224" t="n"/>
      <c r="AC275" s="1224" t="n"/>
    </row>
    <row r="276">
      <c r="A276" s="800" t="n"/>
      <c r="B276" s="800" t="n"/>
      <c r="C276" s="800" t="n"/>
      <c r="D276" s="800" t="n"/>
      <c r="E276" s="800" t="n"/>
      <c r="F276" s="800" t="n"/>
      <c r="G276" s="800" t="n"/>
      <c r="H276" s="800" t="n"/>
      <c r="I276" s="800" t="n"/>
      <c r="J276" s="800" t="n"/>
      <c r="K276" s="800" t="n"/>
      <c r="L276" s="800" t="n"/>
      <c r="M276" s="800" t="n"/>
      <c r="N276" s="800" t="n"/>
      <c r="O276" s="802" t="n"/>
      <c r="P276" s="796" t="inlineStr">
        <is>
          <t>Итого</t>
        </is>
      </c>
      <c r="Q276" s="793" t="n"/>
      <c r="R276" s="793" t="n"/>
      <c r="S276" s="793" t="n"/>
      <c r="T276" s="793" t="n"/>
      <c r="U276" s="793" t="n"/>
      <c r="V276" s="794" t="n"/>
      <c r="W276" s="37" t="inlineStr">
        <is>
          <t>кг</t>
        </is>
      </c>
      <c r="X276" s="1223">
        <f>IFERROR(SUM(X274:X274),"0")</f>
        <v/>
      </c>
      <c r="Y276" s="1223">
        <f>IFERROR(SUM(Y274:Y274),"0")</f>
        <v/>
      </c>
      <c r="Z276" s="37" t="n"/>
      <c r="AA276" s="1224" t="n"/>
      <c r="AB276" s="1224" t="n"/>
      <c r="AC276" s="1224" t="n"/>
    </row>
    <row r="277" ht="16.5" customHeight="1">
      <c r="A277" s="807" t="inlineStr">
        <is>
          <t>Филедворская по-стародворски</t>
        </is>
      </c>
      <c r="B277" s="800" t="n"/>
      <c r="C277" s="800" t="n"/>
      <c r="D277" s="800" t="n"/>
      <c r="E277" s="800" t="n"/>
      <c r="F277" s="800" t="n"/>
      <c r="G277" s="800" t="n"/>
      <c r="H277" s="800" t="n"/>
      <c r="I277" s="800" t="n"/>
      <c r="J277" s="800" t="n"/>
      <c r="K277" s="800" t="n"/>
      <c r="L277" s="800" t="n"/>
      <c r="M277" s="800" t="n"/>
      <c r="N277" s="800" t="n"/>
      <c r="O277" s="800" t="n"/>
      <c r="P277" s="800" t="n"/>
      <c r="Q277" s="800" t="n"/>
      <c r="R277" s="800" t="n"/>
      <c r="S277" s="800" t="n"/>
      <c r="T277" s="800" t="n"/>
      <c r="U277" s="800" t="n"/>
      <c r="V277" s="800" t="n"/>
      <c r="W277" s="800" t="n"/>
      <c r="X277" s="800" t="n"/>
      <c r="Y277" s="800" t="n"/>
      <c r="Z277" s="800" t="n"/>
      <c r="AA277" s="807" t="n"/>
      <c r="AB277" s="807" t="n"/>
      <c r="AC277" s="807" t="n"/>
    </row>
    <row r="278" ht="14.25" customHeight="1">
      <c r="A278" s="799" t="inlineStr">
        <is>
          <t>Вареные колбасы</t>
        </is>
      </c>
      <c r="B278" s="800" t="n"/>
      <c r="C278" s="800" t="n"/>
      <c r="D278" s="800" t="n"/>
      <c r="E278" s="800" t="n"/>
      <c r="F278" s="800" t="n"/>
      <c r="G278" s="800" t="n"/>
      <c r="H278" s="800" t="n"/>
      <c r="I278" s="800" t="n"/>
      <c r="J278" s="800" t="n"/>
      <c r="K278" s="800" t="n"/>
      <c r="L278" s="800" t="n"/>
      <c r="M278" s="800" t="n"/>
      <c r="N278" s="800" t="n"/>
      <c r="O278" s="800" t="n"/>
      <c r="P278" s="800" t="n"/>
      <c r="Q278" s="800" t="n"/>
      <c r="R278" s="800" t="n"/>
      <c r="S278" s="800" t="n"/>
      <c r="T278" s="800" t="n"/>
      <c r="U278" s="800" t="n"/>
      <c r="V278" s="800" t="n"/>
      <c r="W278" s="800" t="n"/>
      <c r="X278" s="800" t="n"/>
      <c r="Y278" s="800" t="n"/>
      <c r="Z278" s="800" t="n"/>
      <c r="AA278" s="799" t="n"/>
      <c r="AB278" s="799" t="n"/>
      <c r="AC278" s="799" t="n"/>
    </row>
    <row r="279" ht="27" customHeight="1">
      <c r="A279" s="54" t="inlineStr">
        <is>
          <t>SU003389</t>
        </is>
      </c>
      <c r="B279" s="54" t="inlineStr">
        <is>
          <t>P004212</t>
        </is>
      </c>
      <c r="C279" s="31" t="n">
        <v>4301011855</v>
      </c>
      <c r="D279" s="782" t="n">
        <v>4680115885837</v>
      </c>
      <c r="E279" s="783" t="n"/>
      <c r="F279" s="1220" t="n">
        <v>1.35</v>
      </c>
      <c r="G279" s="32" t="n">
        <v>8</v>
      </c>
      <c r="H279" s="1220" t="n">
        <v>10.8</v>
      </c>
      <c r="I279" s="1220" t="n">
        <v>11.28</v>
      </c>
      <c r="J279" s="32" t="n">
        <v>56</v>
      </c>
      <c r="K279" s="32" t="inlineStr">
        <is>
          <t>8</t>
        </is>
      </c>
      <c r="L279" s="32" t="n"/>
      <c r="M279" s="33" t="inlineStr">
        <is>
          <t>СК1</t>
        </is>
      </c>
      <c r="N279" s="33" t="n"/>
      <c r="O279" s="32" t="n">
        <v>55</v>
      </c>
      <c r="P279" s="967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/>
      </c>
      <c r="Q279" s="785" t="n"/>
      <c r="R279" s="785" t="n"/>
      <c r="S279" s="785" t="n"/>
      <c r="T279" s="786" t="n"/>
      <c r="U279" s="34" t="n"/>
      <c r="V279" s="34" t="n"/>
      <c r="W279" s="35" t="inlineStr">
        <is>
          <t>кг</t>
        </is>
      </c>
      <c r="X279" s="1221" t="n">
        <v>0</v>
      </c>
      <c r="Y279" s="1222">
        <f>IFERROR(IF(X279="",0,CEILING((X279/$H279),1)*$H279),"")</f>
        <v/>
      </c>
      <c r="Z279" s="36">
        <f>IFERROR(IF(Y279=0,"",ROUNDUP(Y279/H279,0)*0.02175),"")</f>
        <v/>
      </c>
      <c r="AA279" s="56" t="n"/>
      <c r="AB279" s="57" t="n"/>
      <c r="AC279" s="359" t="inlineStr">
        <is>
          <t>ЕАЭС N RU Д-RU.РА05.В.80817/24, ЕАЭС N RU Д-RU.РА05.В.80946/24</t>
        </is>
      </c>
      <c r="AG279" s="64" t="n"/>
      <c r="AJ279" s="68" t="n"/>
      <c r="AK279" s="68" t="n">
        <v>0</v>
      </c>
      <c r="BB279" s="360" t="inlineStr">
        <is>
          <t>КИ</t>
        </is>
      </c>
      <c r="BM279" s="64">
        <f>IFERROR(X279*I279/H279,"0")</f>
        <v/>
      </c>
      <c r="BN279" s="64">
        <f>IFERROR(Y279*I279/H279,"0")</f>
        <v/>
      </c>
      <c r="BO279" s="64">
        <f>IFERROR(1/J279*(X279/H279),"0")</f>
        <v/>
      </c>
      <c r="BP279" s="64">
        <f>IFERROR(1/J279*(Y279/H279),"0")</f>
        <v/>
      </c>
    </row>
    <row r="280" ht="27" customHeight="1">
      <c r="A280" s="54" t="inlineStr">
        <is>
          <t>SU001799</t>
        </is>
      </c>
      <c r="B280" s="54" t="inlineStr">
        <is>
          <t>P001799</t>
        </is>
      </c>
      <c r="C280" s="31" t="n">
        <v>4301011322</v>
      </c>
      <c r="D280" s="782" t="n">
        <v>4607091387452</v>
      </c>
      <c r="E280" s="783" t="n"/>
      <c r="F280" s="1220" t="n">
        <v>1.35</v>
      </c>
      <c r="G280" s="32" t="n">
        <v>8</v>
      </c>
      <c r="H280" s="1220" t="n">
        <v>10.8</v>
      </c>
      <c r="I280" s="1220" t="n">
        <v>11.28</v>
      </c>
      <c r="J280" s="32" t="n">
        <v>56</v>
      </c>
      <c r="K280" s="32" t="inlineStr">
        <is>
          <t>8</t>
        </is>
      </c>
      <c r="L280" s="32" t="n"/>
      <c r="M280" s="33" t="inlineStr">
        <is>
          <t>СК3</t>
        </is>
      </c>
      <c r="N280" s="33" t="n"/>
      <c r="O280" s="32" t="n">
        <v>55</v>
      </c>
      <c r="P280" s="1092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/>
      </c>
      <c r="Q280" s="785" t="n"/>
      <c r="R280" s="785" t="n"/>
      <c r="S280" s="785" t="n"/>
      <c r="T280" s="786" t="n"/>
      <c r="U280" s="34" t="n"/>
      <c r="V280" s="34" t="n"/>
      <c r="W280" s="35" t="inlineStr">
        <is>
          <t>кг</t>
        </is>
      </c>
      <c r="X280" s="1221" t="n">
        <v>0</v>
      </c>
      <c r="Y280" s="1222">
        <f>IFERROR(IF(X280="",0,CEILING((X280/$H280),1)*$H280),"")</f>
        <v/>
      </c>
      <c r="Z280" s="36">
        <f>IFERROR(IF(Y280=0,"",ROUNDUP(Y280/H280,0)*0.02175),"")</f>
        <v/>
      </c>
      <c r="AA280" s="56" t="n"/>
      <c r="AB280" s="57" t="n"/>
      <c r="AC280" s="361" t="inlineStr">
        <is>
          <t>ЕАЭС N RU Д-RU.РА02.В.59562/22</t>
        </is>
      </c>
      <c r="AG280" s="64" t="n"/>
      <c r="AJ280" s="68" t="n"/>
      <c r="AK280" s="68" t="n">
        <v>0</v>
      </c>
      <c r="BB280" s="362" t="inlineStr">
        <is>
          <t>КИ</t>
        </is>
      </c>
      <c r="BM280" s="64">
        <f>IFERROR(X280*I280/H280,"0")</f>
        <v/>
      </c>
      <c r="BN280" s="64">
        <f>IFERROR(Y280*I280/H280,"0")</f>
        <v/>
      </c>
      <c r="BO280" s="64">
        <f>IFERROR(1/J280*(X280/H280),"0")</f>
        <v/>
      </c>
      <c r="BP280" s="64">
        <f>IFERROR(1/J280*(Y280/H280),"0")</f>
        <v/>
      </c>
    </row>
    <row r="281" ht="27" customHeight="1">
      <c r="A281" s="54" t="inlineStr">
        <is>
          <t>SU003387</t>
        </is>
      </c>
      <c r="B281" s="54" t="inlineStr">
        <is>
          <t>P004206</t>
        </is>
      </c>
      <c r="C281" s="31" t="n">
        <v>4301011850</v>
      </c>
      <c r="D281" s="782" t="n">
        <v>4680115885806</v>
      </c>
      <c r="E281" s="783" t="n"/>
      <c r="F281" s="1220" t="n">
        <v>1.35</v>
      </c>
      <c r="G281" s="32" t="n">
        <v>8</v>
      </c>
      <c r="H281" s="1220" t="n">
        <v>10.8</v>
      </c>
      <c r="I281" s="1220" t="n">
        <v>11.28</v>
      </c>
      <c r="J281" s="32" t="n">
        <v>56</v>
      </c>
      <c r="K281" s="32" t="inlineStr">
        <is>
          <t>8</t>
        </is>
      </c>
      <c r="L281" s="32" t="n"/>
      <c r="M281" s="33" t="inlineStr">
        <is>
          <t>СК1</t>
        </is>
      </c>
      <c r="N281" s="33" t="n"/>
      <c r="O281" s="32" t="n">
        <v>55</v>
      </c>
      <c r="P281" s="1114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/>
      </c>
      <c r="Q281" s="785" t="n"/>
      <c r="R281" s="785" t="n"/>
      <c r="S281" s="785" t="n"/>
      <c r="T281" s="786" t="n"/>
      <c r="U281" s="34" t="n"/>
      <c r="V281" s="34" t="n"/>
      <c r="W281" s="35" t="inlineStr">
        <is>
          <t>кг</t>
        </is>
      </c>
      <c r="X281" s="1221" t="n">
        <v>0</v>
      </c>
      <c r="Y281" s="1222">
        <f>IFERROR(IF(X281="",0,CEILING((X281/$H281),1)*$H281),"")</f>
        <v/>
      </c>
      <c r="Z281" s="36">
        <f>IFERROR(IF(Y281=0,"",ROUNDUP(Y281/H281,0)*0.02175),"")</f>
        <v/>
      </c>
      <c r="AA281" s="56" t="n"/>
      <c r="AB281" s="57" t="n"/>
      <c r="AC281" s="363" t="inlineStr">
        <is>
          <t>ЕАЭС N RU Д-RU.РА05.В.80261/24, ЕАЭС N RU Д-RU.РА05.В.80546/24</t>
        </is>
      </c>
      <c r="AG281" s="64" t="n"/>
      <c r="AJ281" s="68" t="n"/>
      <c r="AK281" s="68" t="n">
        <v>0</v>
      </c>
      <c r="BB281" s="364" t="inlineStr">
        <is>
          <t>КИ</t>
        </is>
      </c>
      <c r="BM281" s="64">
        <f>IFERROR(X281*I281/H281,"0")</f>
        <v/>
      </c>
      <c r="BN281" s="64">
        <f>IFERROR(Y281*I281/H281,"0")</f>
        <v/>
      </c>
      <c r="BO281" s="64">
        <f>IFERROR(1/J281*(X281/H281),"0")</f>
        <v/>
      </c>
      <c r="BP281" s="64">
        <f>IFERROR(1/J281*(Y281/H281),"0")</f>
        <v/>
      </c>
    </row>
    <row r="282" ht="27" customHeight="1">
      <c r="A282" s="54" t="inlineStr">
        <is>
          <t>SU003387</t>
        </is>
      </c>
      <c r="B282" s="54" t="inlineStr">
        <is>
          <t>P004288</t>
        </is>
      </c>
      <c r="C282" s="31" t="n">
        <v>4301011910</v>
      </c>
      <c r="D282" s="782" t="n">
        <v>4680115885806</v>
      </c>
      <c r="E282" s="783" t="n"/>
      <c r="F282" s="1220" t="n">
        <v>1.35</v>
      </c>
      <c r="G282" s="32" t="n">
        <v>8</v>
      </c>
      <c r="H282" s="1220" t="n">
        <v>10.8</v>
      </c>
      <c r="I282" s="1220" t="n">
        <v>11.28</v>
      </c>
      <c r="J282" s="32" t="n">
        <v>48</v>
      </c>
      <c r="K282" s="32" t="inlineStr">
        <is>
          <t>8</t>
        </is>
      </c>
      <c r="L282" s="32" t="n"/>
      <c r="M282" s="33" t="inlineStr">
        <is>
          <t>ВЗ</t>
        </is>
      </c>
      <c r="N282" s="33" t="n"/>
      <c r="O282" s="32" t="n">
        <v>55</v>
      </c>
      <c r="P282" s="912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/>
      </c>
      <c r="Q282" s="785" t="n"/>
      <c r="R282" s="785" t="n"/>
      <c r="S282" s="785" t="n"/>
      <c r="T282" s="786" t="n"/>
      <c r="U282" s="34" t="n"/>
      <c r="V282" s="34" t="n"/>
      <c r="W282" s="35" t="inlineStr">
        <is>
          <t>кг</t>
        </is>
      </c>
      <c r="X282" s="1221" t="n">
        <v>0</v>
      </c>
      <c r="Y282" s="1222">
        <f>IFERROR(IF(X282="",0,CEILING((X282/$H282),1)*$H282),"")</f>
        <v/>
      </c>
      <c r="Z282" s="36">
        <f>IFERROR(IF(Y282=0,"",ROUNDUP(Y282/H282,0)*0.02039),"")</f>
        <v/>
      </c>
      <c r="AA282" s="56" t="n"/>
      <c r="AB282" s="57" t="n"/>
      <c r="AC282" s="365" t="inlineStr">
        <is>
          <t>ЕАЭС N RU Д-RU.РА06.В.26192/24</t>
        </is>
      </c>
      <c r="AG282" s="64" t="n"/>
      <c r="AJ282" s="68" t="n"/>
      <c r="AK282" s="68" t="n">
        <v>0</v>
      </c>
      <c r="BB282" s="366" t="inlineStr">
        <is>
          <t>КИ</t>
        </is>
      </c>
      <c r="BM282" s="64">
        <f>IFERROR(X282*I282/H282,"0")</f>
        <v/>
      </c>
      <c r="BN282" s="64">
        <f>IFERROR(Y282*I282/H282,"0")</f>
        <v/>
      </c>
      <c r="BO282" s="64">
        <f>IFERROR(1/J282*(X282/H282),"0")</f>
        <v/>
      </c>
      <c r="BP282" s="64">
        <f>IFERROR(1/J282*(Y282/H282),"0")</f>
        <v/>
      </c>
    </row>
    <row r="283" ht="37.5" customHeight="1">
      <c r="A283" s="54" t="inlineStr">
        <is>
          <t>SU003391</t>
        </is>
      </c>
      <c r="B283" s="54" t="inlineStr">
        <is>
          <t>P004209</t>
        </is>
      </c>
      <c r="C283" s="31" t="n">
        <v>4301011853</v>
      </c>
      <c r="D283" s="782" t="n">
        <v>4680115885851</v>
      </c>
      <c r="E283" s="783" t="n"/>
      <c r="F283" s="1220" t="n">
        <v>1.35</v>
      </c>
      <c r="G283" s="32" t="n">
        <v>8</v>
      </c>
      <c r="H283" s="1220" t="n">
        <v>10.8</v>
      </c>
      <c r="I283" s="1220" t="n">
        <v>11.28</v>
      </c>
      <c r="J283" s="32" t="n">
        <v>56</v>
      </c>
      <c r="K283" s="32" t="inlineStr">
        <is>
          <t>8</t>
        </is>
      </c>
      <c r="L283" s="32" t="n"/>
      <c r="M283" s="33" t="inlineStr">
        <is>
          <t>СК1</t>
        </is>
      </c>
      <c r="N283" s="33" t="n"/>
      <c r="O283" s="32" t="n">
        <v>55</v>
      </c>
      <c r="P283" s="1060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/>
      </c>
      <c r="Q283" s="785" t="n"/>
      <c r="R283" s="785" t="n"/>
      <c r="S283" s="785" t="n"/>
      <c r="T283" s="786" t="n"/>
      <c r="U283" s="34" t="n"/>
      <c r="V283" s="34" t="n"/>
      <c r="W283" s="35" t="inlineStr">
        <is>
          <t>кг</t>
        </is>
      </c>
      <c r="X283" s="1221" t="n">
        <v>0</v>
      </c>
      <c r="Y283" s="1222">
        <f>IFERROR(IF(X283="",0,CEILING((X283/$H283),1)*$H283),"")</f>
        <v/>
      </c>
      <c r="Z283" s="36">
        <f>IFERROR(IF(Y283=0,"",ROUNDUP(Y283/H283,0)*0.02175),"")</f>
        <v/>
      </c>
      <c r="AA283" s="56" t="n"/>
      <c r="AB283" s="57" t="n"/>
      <c r="AC283" s="367" t="inlineStr">
        <is>
          <t>ЕАЭС N RU Д-RU.РА05.В.80018/24</t>
        </is>
      </c>
      <c r="AG283" s="64" t="n"/>
      <c r="AJ283" s="68" t="n"/>
      <c r="AK283" s="68" t="n">
        <v>0</v>
      </c>
      <c r="BB283" s="368" t="inlineStr">
        <is>
          <t>КИ</t>
        </is>
      </c>
      <c r="BM283" s="64">
        <f>IFERROR(X283*I283/H283,"0")</f>
        <v/>
      </c>
      <c r="BN283" s="64">
        <f>IFERROR(Y283*I283/H283,"0")</f>
        <v/>
      </c>
      <c r="BO283" s="64">
        <f>IFERROR(1/J283*(X283/H283),"0")</f>
        <v/>
      </c>
      <c r="BP283" s="64">
        <f>IFERROR(1/J283*(Y283/H283),"0")</f>
        <v/>
      </c>
    </row>
    <row r="284" ht="37.5" customHeight="1">
      <c r="A284" s="54" t="inlineStr">
        <is>
          <t>SU001792</t>
        </is>
      </c>
      <c r="B284" s="54" t="inlineStr">
        <is>
          <t>P001792</t>
        </is>
      </c>
      <c r="C284" s="31" t="n">
        <v>4301011313</v>
      </c>
      <c r="D284" s="782" t="n">
        <v>4607091385984</v>
      </c>
      <c r="E284" s="783" t="n"/>
      <c r="F284" s="1220" t="n">
        <v>1.35</v>
      </c>
      <c r="G284" s="32" t="n">
        <v>8</v>
      </c>
      <c r="H284" s="1220" t="n">
        <v>10.8</v>
      </c>
      <c r="I284" s="1220" t="n">
        <v>11.28</v>
      </c>
      <c r="J284" s="32" t="n">
        <v>56</v>
      </c>
      <c r="K284" s="32" t="inlineStr">
        <is>
          <t>8</t>
        </is>
      </c>
      <c r="L284" s="32" t="n"/>
      <c r="M284" s="33" t="inlineStr">
        <is>
          <t>СК1</t>
        </is>
      </c>
      <c r="N284" s="33" t="n"/>
      <c r="O284" s="32" t="n">
        <v>55</v>
      </c>
      <c r="P284" s="1124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/>
      </c>
      <c r="Q284" s="785" t="n"/>
      <c r="R284" s="785" t="n"/>
      <c r="S284" s="785" t="n"/>
      <c r="T284" s="786" t="n"/>
      <c r="U284" s="34" t="n"/>
      <c r="V284" s="34" t="n"/>
      <c r="W284" s="35" t="inlineStr">
        <is>
          <t>кг</t>
        </is>
      </c>
      <c r="X284" s="1221" t="n">
        <v>0</v>
      </c>
      <c r="Y284" s="1222">
        <f>IFERROR(IF(X284="",0,CEILING((X284/$H284),1)*$H284),"")</f>
        <v/>
      </c>
      <c r="Z284" s="36">
        <f>IFERROR(IF(Y284=0,"",ROUNDUP(Y284/H284,0)*0.02175),"")</f>
        <v/>
      </c>
      <c r="AA284" s="56" t="n"/>
      <c r="AB284" s="57" t="n"/>
      <c r="AC284" s="369" t="inlineStr">
        <is>
          <t>ЕАЭС N RU Д-RU.РА02.В.77891/22</t>
        </is>
      </c>
      <c r="AG284" s="64" t="n"/>
      <c r="AJ284" s="68" t="n"/>
      <c r="AK284" s="68" t="n">
        <v>0</v>
      </c>
      <c r="BB284" s="370" t="inlineStr">
        <is>
          <t>КИ</t>
        </is>
      </c>
      <c r="BM284" s="64">
        <f>IFERROR(X284*I284/H284,"0")</f>
        <v/>
      </c>
      <c r="BN284" s="64">
        <f>IFERROR(Y284*I284/H284,"0")</f>
        <v/>
      </c>
      <c r="BO284" s="64">
        <f>IFERROR(1/J284*(X284/H284),"0")</f>
        <v/>
      </c>
      <c r="BP284" s="64">
        <f>IFERROR(1/J284*(Y284/H284),"0")</f>
        <v/>
      </c>
    </row>
    <row r="285" ht="27" customHeight="1">
      <c r="A285" s="54" t="inlineStr">
        <is>
          <t>SU003390</t>
        </is>
      </c>
      <c r="B285" s="54" t="inlineStr">
        <is>
          <t>P004208</t>
        </is>
      </c>
      <c r="C285" s="31" t="n">
        <v>4301011852</v>
      </c>
      <c r="D285" s="782" t="n">
        <v>4680115885844</v>
      </c>
      <c r="E285" s="783" t="n"/>
      <c r="F285" s="1220" t="n">
        <v>0.4</v>
      </c>
      <c r="G285" s="32" t="n">
        <v>10</v>
      </c>
      <c r="H285" s="1220" t="n">
        <v>4</v>
      </c>
      <c r="I285" s="1220" t="n">
        <v>4.21</v>
      </c>
      <c r="J285" s="32" t="n">
        <v>132</v>
      </c>
      <c r="K285" s="32" t="inlineStr">
        <is>
          <t>12</t>
        </is>
      </c>
      <c r="L285" s="32" t="n"/>
      <c r="M285" s="33" t="inlineStr">
        <is>
          <t>СК1</t>
        </is>
      </c>
      <c r="N285" s="33" t="n"/>
      <c r="O285" s="32" t="n">
        <v>55</v>
      </c>
      <c r="P285" s="1063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/>
      </c>
      <c r="Q285" s="785" t="n"/>
      <c r="R285" s="785" t="n"/>
      <c r="S285" s="785" t="n"/>
      <c r="T285" s="786" t="n"/>
      <c r="U285" s="34" t="n"/>
      <c r="V285" s="34" t="n"/>
      <c r="W285" s="35" t="inlineStr">
        <is>
          <t>кг</t>
        </is>
      </c>
      <c r="X285" s="1221" t="n">
        <v>0</v>
      </c>
      <c r="Y285" s="1222">
        <f>IFERROR(IF(X285="",0,CEILING((X285/$H285),1)*$H285),"")</f>
        <v/>
      </c>
      <c r="Z285" s="36">
        <f>IFERROR(IF(Y285=0,"",ROUNDUP(Y285/H285,0)*0.00902),"")</f>
        <v/>
      </c>
      <c r="AA285" s="56" t="n"/>
      <c r="AB285" s="57" t="n"/>
      <c r="AC285" s="371" t="inlineStr">
        <is>
          <t>ЕАЭС N RU Д-RU.РА05.В.80817/24, ЕАЭС N RU Д-RU.РА05.В.80946/24</t>
        </is>
      </c>
      <c r="AG285" s="64" t="n"/>
      <c r="AJ285" s="68" t="n"/>
      <c r="AK285" s="68" t="n">
        <v>0</v>
      </c>
      <c r="BB285" s="372" t="inlineStr">
        <is>
          <t>КИ</t>
        </is>
      </c>
      <c r="BM285" s="64">
        <f>IFERROR(X285*I285/H285,"0")</f>
        <v/>
      </c>
      <c r="BN285" s="64">
        <f>IFERROR(Y285*I285/H285,"0")</f>
        <v/>
      </c>
      <c r="BO285" s="64">
        <f>IFERROR(1/J285*(X285/H285),"0")</f>
        <v/>
      </c>
      <c r="BP285" s="64">
        <f>IFERROR(1/J285*(Y285/H285),"0")</f>
        <v/>
      </c>
    </row>
    <row r="286" ht="27" customHeight="1">
      <c r="A286" s="54" t="inlineStr">
        <is>
          <t>SU001795</t>
        </is>
      </c>
      <c r="B286" s="54" t="inlineStr">
        <is>
          <t>P001795</t>
        </is>
      </c>
      <c r="C286" s="31" t="n">
        <v>4301011319</v>
      </c>
      <c r="D286" s="782" t="n">
        <v>4607091387469</v>
      </c>
      <c r="E286" s="783" t="n"/>
      <c r="F286" s="1220" t="n">
        <v>0.5</v>
      </c>
      <c r="G286" s="32" t="n">
        <v>10</v>
      </c>
      <c r="H286" s="1220" t="n">
        <v>5</v>
      </c>
      <c r="I286" s="1220" t="n">
        <v>5.21</v>
      </c>
      <c r="J286" s="32" t="n">
        <v>132</v>
      </c>
      <c r="K286" s="32" t="inlineStr">
        <is>
          <t>12</t>
        </is>
      </c>
      <c r="L286" s="32" t="n"/>
      <c r="M286" s="33" t="inlineStr">
        <is>
          <t>СК1</t>
        </is>
      </c>
      <c r="N286" s="33" t="n"/>
      <c r="O286" s="32" t="n">
        <v>55</v>
      </c>
      <c r="P286" s="1133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/>
      </c>
      <c r="Q286" s="785" t="n"/>
      <c r="R286" s="785" t="n"/>
      <c r="S286" s="785" t="n"/>
      <c r="T286" s="786" t="n"/>
      <c r="U286" s="34" t="n"/>
      <c r="V286" s="34" t="n"/>
      <c r="W286" s="35" t="inlineStr">
        <is>
          <t>кг</t>
        </is>
      </c>
      <c r="X286" s="1221" t="n">
        <v>0</v>
      </c>
      <c r="Y286" s="1222">
        <f>IFERROR(IF(X286="",0,CEILING((X286/$H286),1)*$H286),"")</f>
        <v/>
      </c>
      <c r="Z286" s="36">
        <f>IFERROR(IF(Y286=0,"",ROUNDUP(Y286/H286,0)*0.00902),"")</f>
        <v/>
      </c>
      <c r="AA286" s="56" t="n"/>
      <c r="AB286" s="57" t="n"/>
      <c r="AC286" s="373" t="inlineStr">
        <is>
          <t>ЕАЭС N RU Д-RU.РА02.В.59562/22</t>
        </is>
      </c>
      <c r="AG286" s="64" t="n"/>
      <c r="AJ286" s="68" t="n"/>
      <c r="AK286" s="68" t="n">
        <v>0</v>
      </c>
      <c r="BB286" s="374" t="inlineStr">
        <is>
          <t>КИ</t>
        </is>
      </c>
      <c r="BM286" s="64">
        <f>IFERROR(X286*I286/H286,"0")</f>
        <v/>
      </c>
      <c r="BN286" s="64">
        <f>IFERROR(Y286*I286/H286,"0")</f>
        <v/>
      </c>
      <c r="BO286" s="64">
        <f>IFERROR(1/J286*(X286/H286),"0")</f>
        <v/>
      </c>
      <c r="BP286" s="64">
        <f>IFERROR(1/J286*(Y286/H286),"0")</f>
        <v/>
      </c>
    </row>
    <row r="287" ht="27" customHeight="1">
      <c r="A287" s="54" t="inlineStr">
        <is>
          <t>SU003388</t>
        </is>
      </c>
      <c r="B287" s="54" t="inlineStr">
        <is>
          <t>P004207</t>
        </is>
      </c>
      <c r="C287" s="31" t="n">
        <v>4301011851</v>
      </c>
      <c r="D287" s="782" t="n">
        <v>4680115885820</v>
      </c>
      <c r="E287" s="783" t="n"/>
      <c r="F287" s="1220" t="n">
        <v>0.4</v>
      </c>
      <c r="G287" s="32" t="n">
        <v>10</v>
      </c>
      <c r="H287" s="1220" t="n">
        <v>4</v>
      </c>
      <c r="I287" s="1220" t="n">
        <v>4.21</v>
      </c>
      <c r="J287" s="32" t="n">
        <v>132</v>
      </c>
      <c r="K287" s="32" t="inlineStr">
        <is>
          <t>12</t>
        </is>
      </c>
      <c r="L287" s="32" t="n"/>
      <c r="M287" s="33" t="inlineStr">
        <is>
          <t>СК1</t>
        </is>
      </c>
      <c r="N287" s="33" t="n"/>
      <c r="O287" s="32" t="n">
        <v>55</v>
      </c>
      <c r="P287" s="1113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/>
      </c>
      <c r="Q287" s="785" t="n"/>
      <c r="R287" s="785" t="n"/>
      <c r="S287" s="785" t="n"/>
      <c r="T287" s="786" t="n"/>
      <c r="U287" s="34" t="n"/>
      <c r="V287" s="34" t="n"/>
      <c r="W287" s="35" t="inlineStr">
        <is>
          <t>кг</t>
        </is>
      </c>
      <c r="X287" s="1221" t="n">
        <v>0</v>
      </c>
      <c r="Y287" s="1222">
        <f>IFERROR(IF(X287="",0,CEILING((X287/$H287),1)*$H287),"")</f>
        <v/>
      </c>
      <c r="Z287" s="36">
        <f>IFERROR(IF(Y287=0,"",ROUNDUP(Y287/H287,0)*0.00902),"")</f>
        <v/>
      </c>
      <c r="AA287" s="56" t="n"/>
      <c r="AB287" s="57" t="n"/>
      <c r="AC287" s="375" t="inlineStr">
        <is>
          <t>ЕАЭС N RU Д-RU.РА05.В.80261/24, ЕАЭС N RU Д-RU.РА05.В.80546/24</t>
        </is>
      </c>
      <c r="AG287" s="64" t="n"/>
      <c r="AJ287" s="68" t="n"/>
      <c r="AK287" s="68" t="n">
        <v>0</v>
      </c>
      <c r="BB287" s="376" t="inlineStr">
        <is>
          <t>КИ</t>
        </is>
      </c>
      <c r="BM287" s="64">
        <f>IFERROR(X287*I287/H287,"0")</f>
        <v/>
      </c>
      <c r="BN287" s="64">
        <f>IFERROR(Y287*I287/H287,"0")</f>
        <v/>
      </c>
      <c r="BO287" s="64">
        <f>IFERROR(1/J287*(X287/H287),"0")</f>
        <v/>
      </c>
      <c r="BP287" s="64">
        <f>IFERROR(1/J287*(Y287/H287),"0")</f>
        <v/>
      </c>
    </row>
    <row r="288" ht="27" customHeight="1">
      <c r="A288" s="54" t="inlineStr">
        <is>
          <t>SU001794</t>
        </is>
      </c>
      <c r="B288" s="54" t="inlineStr">
        <is>
          <t>P001794</t>
        </is>
      </c>
      <c r="C288" s="31" t="n">
        <v>4301011316</v>
      </c>
      <c r="D288" s="782" t="n">
        <v>4607091387438</v>
      </c>
      <c r="E288" s="783" t="n"/>
      <c r="F288" s="1220" t="n">
        <v>0.5</v>
      </c>
      <c r="G288" s="32" t="n">
        <v>10</v>
      </c>
      <c r="H288" s="1220" t="n">
        <v>5</v>
      </c>
      <c r="I288" s="1220" t="n">
        <v>5.21</v>
      </c>
      <c r="J288" s="32" t="n">
        <v>132</v>
      </c>
      <c r="K288" s="32" t="inlineStr">
        <is>
          <t>12</t>
        </is>
      </c>
      <c r="L288" s="32" t="n"/>
      <c r="M288" s="33" t="inlineStr">
        <is>
          <t>СК1</t>
        </is>
      </c>
      <c r="N288" s="33" t="n"/>
      <c r="O288" s="32" t="n">
        <v>55</v>
      </c>
      <c r="P288" s="837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/>
      </c>
      <c r="Q288" s="785" t="n"/>
      <c r="R288" s="785" t="n"/>
      <c r="S288" s="785" t="n"/>
      <c r="T288" s="786" t="n"/>
      <c r="U288" s="34" t="n"/>
      <c r="V288" s="34" t="n"/>
      <c r="W288" s="35" t="inlineStr">
        <is>
          <t>кг</t>
        </is>
      </c>
      <c r="X288" s="1221" t="n">
        <v>0</v>
      </c>
      <c r="Y288" s="1222">
        <f>IFERROR(IF(X288="",0,CEILING((X288/$H288),1)*$H288),"")</f>
        <v/>
      </c>
      <c r="Z288" s="36">
        <f>IFERROR(IF(Y288=0,"",ROUNDUP(Y288/H288,0)*0.00902),"")</f>
        <v/>
      </c>
      <c r="AA288" s="56" t="n"/>
      <c r="AB288" s="57" t="n"/>
      <c r="AC288" s="377" t="inlineStr">
        <is>
          <t>ЕАЭС N RU Д-RU.РА02.В.62632/22</t>
        </is>
      </c>
      <c r="AG288" s="64" t="n"/>
      <c r="AJ288" s="68" t="n"/>
      <c r="AK288" s="68" t="n">
        <v>0</v>
      </c>
      <c r="BB288" s="378" t="inlineStr">
        <is>
          <t>КИ</t>
        </is>
      </c>
      <c r="BM288" s="64">
        <f>IFERROR(X288*I288/H288,"0")</f>
        <v/>
      </c>
      <c r="BN288" s="64">
        <f>IFERROR(Y288*I288/H288,"0")</f>
        <v/>
      </c>
      <c r="BO288" s="64">
        <f>IFERROR(1/J288*(X288/H288),"0")</f>
        <v/>
      </c>
      <c r="BP288" s="64">
        <f>IFERROR(1/J288*(Y288/H288),"0")</f>
        <v/>
      </c>
    </row>
    <row r="289">
      <c r="A289" s="801" t="n"/>
      <c r="B289" s="800" t="n"/>
      <c r="C289" s="800" t="n"/>
      <c r="D289" s="800" t="n"/>
      <c r="E289" s="800" t="n"/>
      <c r="F289" s="800" t="n"/>
      <c r="G289" s="800" t="n"/>
      <c r="H289" s="800" t="n"/>
      <c r="I289" s="800" t="n"/>
      <c r="J289" s="800" t="n"/>
      <c r="K289" s="800" t="n"/>
      <c r="L289" s="800" t="n"/>
      <c r="M289" s="800" t="n"/>
      <c r="N289" s="800" t="n"/>
      <c r="O289" s="802" t="n"/>
      <c r="P289" s="796" t="inlineStr">
        <is>
          <t>Итого</t>
        </is>
      </c>
      <c r="Q289" s="793" t="n"/>
      <c r="R289" s="793" t="n"/>
      <c r="S289" s="793" t="n"/>
      <c r="T289" s="793" t="n"/>
      <c r="U289" s="793" t="n"/>
      <c r="V289" s="794" t="n"/>
      <c r="W289" s="37" t="inlineStr">
        <is>
          <t>кор</t>
        </is>
      </c>
      <c r="X289" s="1223">
        <f>IFERROR(X279/H279,"0")+IFERROR(X280/H280,"0")+IFERROR(X281/H281,"0")+IFERROR(X282/H282,"0")+IFERROR(X283/H283,"0")+IFERROR(X284/H284,"0")+IFERROR(X285/H285,"0")+IFERROR(X286/H286,"0")+IFERROR(X287/H287,"0")+IFERROR(X288/H288,"0")</f>
        <v/>
      </c>
      <c r="Y289" s="1223">
        <f>IFERROR(Y279/H279,"0")+IFERROR(Y280/H280,"0")+IFERROR(Y281/H281,"0")+IFERROR(Y282/H282,"0")+IFERROR(Y283/H283,"0")+IFERROR(Y284/H284,"0")+IFERROR(Y285/H285,"0")+IFERROR(Y286/H286,"0")+IFERROR(Y287/H287,"0")+IFERROR(Y288/H288,"0")</f>
        <v/>
      </c>
      <c r="Z289" s="1223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/>
      </c>
      <c r="AA289" s="1224" t="n"/>
      <c r="AB289" s="1224" t="n"/>
      <c r="AC289" s="1224" t="n"/>
    </row>
    <row r="290">
      <c r="A290" s="800" t="n"/>
      <c r="B290" s="800" t="n"/>
      <c r="C290" s="800" t="n"/>
      <c r="D290" s="800" t="n"/>
      <c r="E290" s="800" t="n"/>
      <c r="F290" s="800" t="n"/>
      <c r="G290" s="800" t="n"/>
      <c r="H290" s="800" t="n"/>
      <c r="I290" s="800" t="n"/>
      <c r="J290" s="800" t="n"/>
      <c r="K290" s="800" t="n"/>
      <c r="L290" s="800" t="n"/>
      <c r="M290" s="800" t="n"/>
      <c r="N290" s="800" t="n"/>
      <c r="O290" s="802" t="n"/>
      <c r="P290" s="796" t="inlineStr">
        <is>
          <t>Итого</t>
        </is>
      </c>
      <c r="Q290" s="793" t="n"/>
      <c r="R290" s="793" t="n"/>
      <c r="S290" s="793" t="n"/>
      <c r="T290" s="793" t="n"/>
      <c r="U290" s="793" t="n"/>
      <c r="V290" s="794" t="n"/>
      <c r="W290" s="37" t="inlineStr">
        <is>
          <t>кг</t>
        </is>
      </c>
      <c r="X290" s="1223">
        <f>IFERROR(SUM(X279:X288),"0")</f>
        <v/>
      </c>
      <c r="Y290" s="1223">
        <f>IFERROR(SUM(Y279:Y288),"0")</f>
        <v/>
      </c>
      <c r="Z290" s="37" t="n"/>
      <c r="AA290" s="1224" t="n"/>
      <c r="AB290" s="1224" t="n"/>
      <c r="AC290" s="1224" t="n"/>
    </row>
    <row r="291" ht="16.5" customHeight="1">
      <c r="A291" s="807" t="inlineStr">
        <is>
          <t>Филедворская Золоченная в печи</t>
        </is>
      </c>
      <c r="B291" s="800" t="n"/>
      <c r="C291" s="800" t="n"/>
      <c r="D291" s="800" t="n"/>
      <c r="E291" s="800" t="n"/>
      <c r="F291" s="800" t="n"/>
      <c r="G291" s="800" t="n"/>
      <c r="H291" s="800" t="n"/>
      <c r="I291" s="800" t="n"/>
      <c r="J291" s="800" t="n"/>
      <c r="K291" s="800" t="n"/>
      <c r="L291" s="800" t="n"/>
      <c r="M291" s="800" t="n"/>
      <c r="N291" s="800" t="n"/>
      <c r="O291" s="800" t="n"/>
      <c r="P291" s="800" t="n"/>
      <c r="Q291" s="800" t="n"/>
      <c r="R291" s="800" t="n"/>
      <c r="S291" s="800" t="n"/>
      <c r="T291" s="800" t="n"/>
      <c r="U291" s="800" t="n"/>
      <c r="V291" s="800" t="n"/>
      <c r="W291" s="800" t="n"/>
      <c r="X291" s="800" t="n"/>
      <c r="Y291" s="800" t="n"/>
      <c r="Z291" s="800" t="n"/>
      <c r="AA291" s="807" t="n"/>
      <c r="AB291" s="807" t="n"/>
      <c r="AC291" s="807" t="n"/>
    </row>
    <row r="292" ht="14.25" customHeight="1">
      <c r="A292" s="799" t="inlineStr">
        <is>
          <t>Вареные колбасы</t>
        </is>
      </c>
      <c r="B292" s="800" t="n"/>
      <c r="C292" s="800" t="n"/>
      <c r="D292" s="800" t="n"/>
      <c r="E292" s="800" t="n"/>
      <c r="F292" s="800" t="n"/>
      <c r="G292" s="800" t="n"/>
      <c r="H292" s="800" t="n"/>
      <c r="I292" s="800" t="n"/>
      <c r="J292" s="800" t="n"/>
      <c r="K292" s="800" t="n"/>
      <c r="L292" s="800" t="n"/>
      <c r="M292" s="800" t="n"/>
      <c r="N292" s="800" t="n"/>
      <c r="O292" s="800" t="n"/>
      <c r="P292" s="800" t="n"/>
      <c r="Q292" s="800" t="n"/>
      <c r="R292" s="800" t="n"/>
      <c r="S292" s="800" t="n"/>
      <c r="T292" s="800" t="n"/>
      <c r="U292" s="800" t="n"/>
      <c r="V292" s="800" t="n"/>
      <c r="W292" s="800" t="n"/>
      <c r="X292" s="800" t="n"/>
      <c r="Y292" s="800" t="n"/>
      <c r="Z292" s="800" t="n"/>
      <c r="AA292" s="799" t="n"/>
      <c r="AB292" s="799" t="n"/>
      <c r="AC292" s="799" t="n"/>
    </row>
    <row r="293" ht="27" customHeight="1">
      <c r="A293" s="54" t="inlineStr">
        <is>
          <t>SU003427</t>
        </is>
      </c>
      <c r="B293" s="54" t="inlineStr">
        <is>
          <t>P004271</t>
        </is>
      </c>
      <c r="C293" s="31" t="n">
        <v>4301011876</v>
      </c>
      <c r="D293" s="782" t="n">
        <v>4680115885707</v>
      </c>
      <c r="E293" s="783" t="n"/>
      <c r="F293" s="1220" t="n">
        <v>0.9</v>
      </c>
      <c r="G293" s="32" t="n">
        <v>10</v>
      </c>
      <c r="H293" s="1220" t="n">
        <v>9</v>
      </c>
      <c r="I293" s="1220" t="n">
        <v>9.48</v>
      </c>
      <c r="J293" s="32" t="n">
        <v>56</v>
      </c>
      <c r="K293" s="32" t="inlineStr">
        <is>
          <t>8</t>
        </is>
      </c>
      <c r="L293" s="32" t="n"/>
      <c r="M293" s="33" t="inlineStr">
        <is>
          <t>СК1</t>
        </is>
      </c>
      <c r="N293" s="33" t="n"/>
      <c r="O293" s="32" t="n">
        <v>31</v>
      </c>
      <c r="P293" s="843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/>
      </c>
      <c r="Q293" s="785" t="n"/>
      <c r="R293" s="785" t="n"/>
      <c r="S293" s="785" t="n"/>
      <c r="T293" s="786" t="n"/>
      <c r="U293" s="34" t="n"/>
      <c r="V293" s="34" t="n"/>
      <c r="W293" s="35" t="inlineStr">
        <is>
          <t>кг</t>
        </is>
      </c>
      <c r="X293" s="1221" t="n">
        <v>0</v>
      </c>
      <c r="Y293" s="1222">
        <f>IFERROR(IF(X293="",0,CEILING((X293/$H293),1)*$H293),"")</f>
        <v/>
      </c>
      <c r="Z293" s="36">
        <f>IFERROR(IF(Y293=0,"",ROUNDUP(Y293/H293,0)*0.02175),"")</f>
        <v/>
      </c>
      <c r="AA293" s="56" t="n"/>
      <c r="AB293" s="57" t="n"/>
      <c r="AC293" s="379" t="inlineStr">
        <is>
          <t>ЕАЭС N RU Д-RU.РА05.В.81953/23</t>
        </is>
      </c>
      <c r="AG293" s="64" t="n"/>
      <c r="AJ293" s="68" t="n"/>
      <c r="AK293" s="68" t="n">
        <v>0</v>
      </c>
      <c r="BB293" s="380" t="inlineStr">
        <is>
          <t>КИ</t>
        </is>
      </c>
      <c r="BM293" s="64">
        <f>IFERROR(X293*I293/H293,"0")</f>
        <v/>
      </c>
      <c r="BN293" s="64">
        <f>IFERROR(Y293*I293/H293,"0")</f>
        <v/>
      </c>
      <c r="BO293" s="64">
        <f>IFERROR(1/J293*(X293/H293),"0")</f>
        <v/>
      </c>
      <c r="BP293" s="64">
        <f>IFERROR(1/J293*(Y293/H293),"0")</f>
        <v/>
      </c>
    </row>
    <row r="294">
      <c r="A294" s="801" t="n"/>
      <c r="B294" s="800" t="n"/>
      <c r="C294" s="800" t="n"/>
      <c r="D294" s="800" t="n"/>
      <c r="E294" s="800" t="n"/>
      <c r="F294" s="800" t="n"/>
      <c r="G294" s="800" t="n"/>
      <c r="H294" s="800" t="n"/>
      <c r="I294" s="800" t="n"/>
      <c r="J294" s="800" t="n"/>
      <c r="K294" s="800" t="n"/>
      <c r="L294" s="800" t="n"/>
      <c r="M294" s="800" t="n"/>
      <c r="N294" s="800" t="n"/>
      <c r="O294" s="802" t="n"/>
      <c r="P294" s="796" t="inlineStr">
        <is>
          <t>Итого</t>
        </is>
      </c>
      <c r="Q294" s="793" t="n"/>
      <c r="R294" s="793" t="n"/>
      <c r="S294" s="793" t="n"/>
      <c r="T294" s="793" t="n"/>
      <c r="U294" s="793" t="n"/>
      <c r="V294" s="794" t="n"/>
      <c r="W294" s="37" t="inlineStr">
        <is>
          <t>кор</t>
        </is>
      </c>
      <c r="X294" s="1223">
        <f>IFERROR(X293/H293,"0")</f>
        <v/>
      </c>
      <c r="Y294" s="1223">
        <f>IFERROR(Y293/H293,"0")</f>
        <v/>
      </c>
      <c r="Z294" s="1223">
        <f>IFERROR(IF(Z293="",0,Z293),"0")</f>
        <v/>
      </c>
      <c r="AA294" s="1224" t="n"/>
      <c r="AB294" s="1224" t="n"/>
      <c r="AC294" s="1224" t="n"/>
    </row>
    <row r="295">
      <c r="A295" s="800" t="n"/>
      <c r="B295" s="800" t="n"/>
      <c r="C295" s="800" t="n"/>
      <c r="D295" s="800" t="n"/>
      <c r="E295" s="800" t="n"/>
      <c r="F295" s="800" t="n"/>
      <c r="G295" s="800" t="n"/>
      <c r="H295" s="800" t="n"/>
      <c r="I295" s="800" t="n"/>
      <c r="J295" s="800" t="n"/>
      <c r="K295" s="800" t="n"/>
      <c r="L295" s="800" t="n"/>
      <c r="M295" s="800" t="n"/>
      <c r="N295" s="800" t="n"/>
      <c r="O295" s="802" t="n"/>
      <c r="P295" s="796" t="inlineStr">
        <is>
          <t>Итого</t>
        </is>
      </c>
      <c r="Q295" s="793" t="n"/>
      <c r="R295" s="793" t="n"/>
      <c r="S295" s="793" t="n"/>
      <c r="T295" s="793" t="n"/>
      <c r="U295" s="793" t="n"/>
      <c r="V295" s="794" t="n"/>
      <c r="W295" s="37" t="inlineStr">
        <is>
          <t>кг</t>
        </is>
      </c>
      <c r="X295" s="1223">
        <f>IFERROR(SUM(X293:X293),"0")</f>
        <v/>
      </c>
      <c r="Y295" s="1223">
        <f>IFERROR(SUM(Y293:Y293),"0")</f>
        <v/>
      </c>
      <c r="Z295" s="37" t="n"/>
      <c r="AA295" s="1224" t="n"/>
      <c r="AB295" s="1224" t="n"/>
      <c r="AC295" s="1224" t="n"/>
    </row>
    <row r="296" ht="16.5" customHeight="1">
      <c r="A296" s="807" t="inlineStr">
        <is>
          <t>Стародворская Золоченная в печи</t>
        </is>
      </c>
      <c r="B296" s="800" t="n"/>
      <c r="C296" s="800" t="n"/>
      <c r="D296" s="800" t="n"/>
      <c r="E296" s="800" t="n"/>
      <c r="F296" s="800" t="n"/>
      <c r="G296" s="800" t="n"/>
      <c r="H296" s="800" t="n"/>
      <c r="I296" s="800" t="n"/>
      <c r="J296" s="800" t="n"/>
      <c r="K296" s="800" t="n"/>
      <c r="L296" s="800" t="n"/>
      <c r="M296" s="800" t="n"/>
      <c r="N296" s="800" t="n"/>
      <c r="O296" s="800" t="n"/>
      <c r="P296" s="800" t="n"/>
      <c r="Q296" s="800" t="n"/>
      <c r="R296" s="800" t="n"/>
      <c r="S296" s="800" t="n"/>
      <c r="T296" s="800" t="n"/>
      <c r="U296" s="800" t="n"/>
      <c r="V296" s="800" t="n"/>
      <c r="W296" s="800" t="n"/>
      <c r="X296" s="800" t="n"/>
      <c r="Y296" s="800" t="n"/>
      <c r="Z296" s="800" t="n"/>
      <c r="AA296" s="807" t="n"/>
      <c r="AB296" s="807" t="n"/>
      <c r="AC296" s="807" t="n"/>
    </row>
    <row r="297" ht="14.25" customHeight="1">
      <c r="A297" s="799" t="inlineStr">
        <is>
          <t>Вареные колбасы</t>
        </is>
      </c>
      <c r="B297" s="800" t="n"/>
      <c r="C297" s="800" t="n"/>
      <c r="D297" s="800" t="n"/>
      <c r="E297" s="800" t="n"/>
      <c r="F297" s="800" t="n"/>
      <c r="G297" s="800" t="n"/>
      <c r="H297" s="800" t="n"/>
      <c r="I297" s="800" t="n"/>
      <c r="J297" s="800" t="n"/>
      <c r="K297" s="800" t="n"/>
      <c r="L297" s="800" t="n"/>
      <c r="M297" s="800" t="n"/>
      <c r="N297" s="800" t="n"/>
      <c r="O297" s="800" t="n"/>
      <c r="P297" s="800" t="n"/>
      <c r="Q297" s="800" t="n"/>
      <c r="R297" s="800" t="n"/>
      <c r="S297" s="800" t="n"/>
      <c r="T297" s="800" t="n"/>
      <c r="U297" s="800" t="n"/>
      <c r="V297" s="800" t="n"/>
      <c r="W297" s="800" t="n"/>
      <c r="X297" s="800" t="n"/>
      <c r="Y297" s="800" t="n"/>
      <c r="Z297" s="800" t="n"/>
      <c r="AA297" s="799" t="n"/>
      <c r="AB297" s="799" t="n"/>
      <c r="AC297" s="799" t="n"/>
    </row>
    <row r="298" ht="27" customHeight="1">
      <c r="A298" s="54" t="inlineStr">
        <is>
          <t>SU002201</t>
        </is>
      </c>
      <c r="B298" s="54" t="inlineStr">
        <is>
          <t>P002567</t>
        </is>
      </c>
      <c r="C298" s="31" t="n">
        <v>4301011223</v>
      </c>
      <c r="D298" s="782" t="n">
        <v>4607091383423</v>
      </c>
      <c r="E298" s="783" t="n"/>
      <c r="F298" s="1220" t="n">
        <v>1.35</v>
      </c>
      <c r="G298" s="32" t="n">
        <v>8</v>
      </c>
      <c r="H298" s="1220" t="n">
        <v>10.8</v>
      </c>
      <c r="I298" s="1220" t="n">
        <v>11.376</v>
      </c>
      <c r="J298" s="32" t="n">
        <v>56</v>
      </c>
      <c r="K298" s="32" t="inlineStr">
        <is>
          <t>8</t>
        </is>
      </c>
      <c r="L298" s="32" t="n"/>
      <c r="M298" s="33" t="inlineStr">
        <is>
          <t>СК3</t>
        </is>
      </c>
      <c r="N298" s="33" t="n"/>
      <c r="O298" s="32" t="n">
        <v>35</v>
      </c>
      <c r="P298" s="880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/>
      </c>
      <c r="Q298" s="785" t="n"/>
      <c r="R298" s="785" t="n"/>
      <c r="S298" s="785" t="n"/>
      <c r="T298" s="786" t="n"/>
      <c r="U298" s="34" t="n"/>
      <c r="V298" s="34" t="n"/>
      <c r="W298" s="35" t="inlineStr">
        <is>
          <t>кг</t>
        </is>
      </c>
      <c r="X298" s="1221" t="n">
        <v>0</v>
      </c>
      <c r="Y298" s="1222">
        <f>IFERROR(IF(X298="",0,CEILING((X298/$H298),1)*$H298),"")</f>
        <v/>
      </c>
      <c r="Z298" s="36">
        <f>IFERROR(IF(Y298=0,"",ROUNDUP(Y298/H298,0)*0.02175),"")</f>
        <v/>
      </c>
      <c r="AA298" s="56" t="n"/>
      <c r="AB298" s="57" t="n"/>
      <c r="AC298" s="381" t="inlineStr">
        <is>
          <t>ЕАЭС N RU Д- RU.РА01.В.79635/20</t>
        </is>
      </c>
      <c r="AG298" s="64" t="n"/>
      <c r="AJ298" s="68" t="n"/>
      <c r="AK298" s="68" t="n">
        <v>0</v>
      </c>
      <c r="BB298" s="382" t="inlineStr">
        <is>
          <t>КИ</t>
        </is>
      </c>
      <c r="BM298" s="64">
        <f>IFERROR(X298*I298/H298,"0")</f>
        <v/>
      </c>
      <c r="BN298" s="64">
        <f>IFERROR(Y298*I298/H298,"0")</f>
        <v/>
      </c>
      <c r="BO298" s="64">
        <f>IFERROR(1/J298*(X298/H298),"0")</f>
        <v/>
      </c>
      <c r="BP298" s="64">
        <f>IFERROR(1/J298*(Y298/H298),"0")</f>
        <v/>
      </c>
    </row>
    <row r="299" ht="37.5" customHeight="1">
      <c r="A299" s="54" t="inlineStr">
        <is>
          <t>SU003430</t>
        </is>
      </c>
      <c r="B299" s="54" t="inlineStr">
        <is>
          <t>P004278</t>
        </is>
      </c>
      <c r="C299" s="31" t="n">
        <v>4301011879</v>
      </c>
      <c r="D299" s="782" t="n">
        <v>4680115885691</v>
      </c>
      <c r="E299" s="783" t="n"/>
      <c r="F299" s="1220" t="n">
        <v>1.35</v>
      </c>
      <c r="G299" s="32" t="n">
        <v>8</v>
      </c>
      <c r="H299" s="1220" t="n">
        <v>10.8</v>
      </c>
      <c r="I299" s="1220" t="n">
        <v>11.28</v>
      </c>
      <c r="J299" s="32" t="n">
        <v>56</v>
      </c>
      <c r="K299" s="32" t="inlineStr">
        <is>
          <t>8</t>
        </is>
      </c>
      <c r="L299" s="32" t="n"/>
      <c r="M299" s="33" t="inlineStr">
        <is>
          <t>СК2</t>
        </is>
      </c>
      <c r="N299" s="33" t="n"/>
      <c r="O299" s="32" t="n">
        <v>30</v>
      </c>
      <c r="P299" s="1004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/>
      </c>
      <c r="Q299" s="785" t="n"/>
      <c r="R299" s="785" t="n"/>
      <c r="S299" s="785" t="n"/>
      <c r="T299" s="786" t="n"/>
      <c r="U299" s="34" t="n"/>
      <c r="V299" s="34" t="n"/>
      <c r="W299" s="35" t="inlineStr">
        <is>
          <t>кг</t>
        </is>
      </c>
      <c r="X299" s="1221" t="n">
        <v>0</v>
      </c>
      <c r="Y299" s="1222">
        <f>IFERROR(IF(X299="",0,CEILING((X299/$H299),1)*$H299),"")</f>
        <v/>
      </c>
      <c r="Z299" s="36">
        <f>IFERROR(IF(Y299=0,"",ROUNDUP(Y299/H299,0)*0.02175),"")</f>
        <v/>
      </c>
      <c r="AA299" s="56" t="n"/>
      <c r="AB299" s="57" t="n"/>
      <c r="AC299" s="383" t="inlineStr">
        <is>
          <t>ЕАЭС N RU Д-RU.РА04.В.47219/24, ЕАЭС N RU Д-RU.РА04.В.47316/24</t>
        </is>
      </c>
      <c r="AG299" s="64" t="n"/>
      <c r="AJ299" s="68" t="n"/>
      <c r="AK299" s="68" t="n">
        <v>0</v>
      </c>
      <c r="BB299" s="384" t="inlineStr">
        <is>
          <t>КИ</t>
        </is>
      </c>
      <c r="BM299" s="64">
        <f>IFERROR(X299*I299/H299,"0")</f>
        <v/>
      </c>
      <c r="BN299" s="64">
        <f>IFERROR(Y299*I299/H299,"0")</f>
        <v/>
      </c>
      <c r="BO299" s="64">
        <f>IFERROR(1/J299*(X299/H299),"0")</f>
        <v/>
      </c>
      <c r="BP299" s="64">
        <f>IFERROR(1/J299*(Y299/H299),"0")</f>
        <v/>
      </c>
    </row>
    <row r="300" ht="27" customHeight="1">
      <c r="A300" s="54" t="inlineStr">
        <is>
          <t>SU003429</t>
        </is>
      </c>
      <c r="B300" s="54" t="inlineStr">
        <is>
          <t>P004275</t>
        </is>
      </c>
      <c r="C300" s="31" t="n">
        <v>4301011878</v>
      </c>
      <c r="D300" s="782" t="n">
        <v>4680115885660</v>
      </c>
      <c r="E300" s="783" t="n"/>
      <c r="F300" s="1220" t="n">
        <v>1.35</v>
      </c>
      <c r="G300" s="32" t="n">
        <v>8</v>
      </c>
      <c r="H300" s="1220" t="n">
        <v>10.8</v>
      </c>
      <c r="I300" s="1220" t="n">
        <v>11.28</v>
      </c>
      <c r="J300" s="32" t="n">
        <v>56</v>
      </c>
      <c r="K300" s="32" t="inlineStr">
        <is>
          <t>8</t>
        </is>
      </c>
      <c r="L300" s="32" t="n"/>
      <c r="M300" s="33" t="inlineStr">
        <is>
          <t>СК2</t>
        </is>
      </c>
      <c r="N300" s="33" t="n"/>
      <c r="O300" s="32" t="n">
        <v>35</v>
      </c>
      <c r="P300" s="1078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/>
      </c>
      <c r="Q300" s="785" t="n"/>
      <c r="R300" s="785" t="n"/>
      <c r="S300" s="785" t="n"/>
      <c r="T300" s="786" t="n"/>
      <c r="U300" s="34" t="n"/>
      <c r="V300" s="34" t="n"/>
      <c r="W300" s="35" t="inlineStr">
        <is>
          <t>кг</t>
        </is>
      </c>
      <c r="X300" s="1221" t="n">
        <v>0</v>
      </c>
      <c r="Y300" s="1222">
        <f>IFERROR(IF(X300="",0,CEILING((X300/$H300),1)*$H300),"")</f>
        <v/>
      </c>
      <c r="Z300" s="36">
        <f>IFERROR(IF(Y300=0,"",ROUNDUP(Y300/H300,0)*0.02175),"")</f>
        <v/>
      </c>
      <c r="AA300" s="56" t="n"/>
      <c r="AB300" s="57" t="n"/>
      <c r="AC300" s="385" t="inlineStr">
        <is>
          <t>ЕАЭС N RU Д-RU.РА04.В.46905/24, ЕАЭС N RU Д-RU.РА04.В.47023/24</t>
        </is>
      </c>
      <c r="AG300" s="64" t="n"/>
      <c r="AJ300" s="68" t="n"/>
      <c r="AK300" s="68" t="n">
        <v>0</v>
      </c>
      <c r="BB300" s="386" t="inlineStr">
        <is>
          <t>КИ</t>
        </is>
      </c>
      <c r="BM300" s="64">
        <f>IFERROR(X300*I300/H300,"0")</f>
        <v/>
      </c>
      <c r="BN300" s="64">
        <f>IFERROR(Y300*I300/H300,"0")</f>
        <v/>
      </c>
      <c r="BO300" s="64">
        <f>IFERROR(1/J300*(X300/H300),"0")</f>
        <v/>
      </c>
      <c r="BP300" s="64">
        <f>IFERROR(1/J300*(Y300/H300),"0")</f>
        <v/>
      </c>
    </row>
    <row r="301">
      <c r="A301" s="801" t="n"/>
      <c r="B301" s="800" t="n"/>
      <c r="C301" s="800" t="n"/>
      <c r="D301" s="800" t="n"/>
      <c r="E301" s="800" t="n"/>
      <c r="F301" s="800" t="n"/>
      <c r="G301" s="800" t="n"/>
      <c r="H301" s="800" t="n"/>
      <c r="I301" s="800" t="n"/>
      <c r="J301" s="800" t="n"/>
      <c r="K301" s="800" t="n"/>
      <c r="L301" s="800" t="n"/>
      <c r="M301" s="800" t="n"/>
      <c r="N301" s="800" t="n"/>
      <c r="O301" s="802" t="n"/>
      <c r="P301" s="796" t="inlineStr">
        <is>
          <t>Итого</t>
        </is>
      </c>
      <c r="Q301" s="793" t="n"/>
      <c r="R301" s="793" t="n"/>
      <c r="S301" s="793" t="n"/>
      <c r="T301" s="793" t="n"/>
      <c r="U301" s="793" t="n"/>
      <c r="V301" s="794" t="n"/>
      <c r="W301" s="37" t="inlineStr">
        <is>
          <t>кор</t>
        </is>
      </c>
      <c r="X301" s="1223">
        <f>IFERROR(X298/H298,"0")+IFERROR(X299/H299,"0")+IFERROR(X300/H300,"0")</f>
        <v/>
      </c>
      <c r="Y301" s="1223">
        <f>IFERROR(Y298/H298,"0")+IFERROR(Y299/H299,"0")+IFERROR(Y300/H300,"0")</f>
        <v/>
      </c>
      <c r="Z301" s="1223">
        <f>IFERROR(IF(Z298="",0,Z298),"0")+IFERROR(IF(Z299="",0,Z299),"0")+IFERROR(IF(Z300="",0,Z300),"0")</f>
        <v/>
      </c>
      <c r="AA301" s="1224" t="n"/>
      <c r="AB301" s="1224" t="n"/>
      <c r="AC301" s="1224" t="n"/>
    </row>
    <row r="302">
      <c r="A302" s="800" t="n"/>
      <c r="B302" s="800" t="n"/>
      <c r="C302" s="800" t="n"/>
      <c r="D302" s="800" t="n"/>
      <c r="E302" s="800" t="n"/>
      <c r="F302" s="800" t="n"/>
      <c r="G302" s="800" t="n"/>
      <c r="H302" s="800" t="n"/>
      <c r="I302" s="800" t="n"/>
      <c r="J302" s="800" t="n"/>
      <c r="K302" s="800" t="n"/>
      <c r="L302" s="800" t="n"/>
      <c r="M302" s="800" t="n"/>
      <c r="N302" s="800" t="n"/>
      <c r="O302" s="802" t="n"/>
      <c r="P302" s="796" t="inlineStr">
        <is>
          <t>Итого</t>
        </is>
      </c>
      <c r="Q302" s="793" t="n"/>
      <c r="R302" s="793" t="n"/>
      <c r="S302" s="793" t="n"/>
      <c r="T302" s="793" t="n"/>
      <c r="U302" s="793" t="n"/>
      <c r="V302" s="794" t="n"/>
      <c r="W302" s="37" t="inlineStr">
        <is>
          <t>кг</t>
        </is>
      </c>
      <c r="X302" s="1223">
        <f>IFERROR(SUM(X298:X300),"0")</f>
        <v/>
      </c>
      <c r="Y302" s="1223">
        <f>IFERROR(SUM(Y298:Y300),"0")</f>
        <v/>
      </c>
      <c r="Z302" s="37" t="n"/>
      <c r="AA302" s="1224" t="n"/>
      <c r="AB302" s="1224" t="n"/>
      <c r="AC302" s="1224" t="n"/>
    </row>
    <row r="303" ht="16.5" customHeight="1">
      <c r="A303" s="807" t="inlineStr">
        <is>
          <t>Сочинка по-баварски</t>
        </is>
      </c>
      <c r="B303" s="800" t="n"/>
      <c r="C303" s="800" t="n"/>
      <c r="D303" s="800" t="n"/>
      <c r="E303" s="800" t="n"/>
      <c r="F303" s="800" t="n"/>
      <c r="G303" s="800" t="n"/>
      <c r="H303" s="800" t="n"/>
      <c r="I303" s="800" t="n"/>
      <c r="J303" s="800" t="n"/>
      <c r="K303" s="800" t="n"/>
      <c r="L303" s="800" t="n"/>
      <c r="M303" s="800" t="n"/>
      <c r="N303" s="800" t="n"/>
      <c r="O303" s="800" t="n"/>
      <c r="P303" s="800" t="n"/>
      <c r="Q303" s="800" t="n"/>
      <c r="R303" s="800" t="n"/>
      <c r="S303" s="800" t="n"/>
      <c r="T303" s="800" t="n"/>
      <c r="U303" s="800" t="n"/>
      <c r="V303" s="800" t="n"/>
      <c r="W303" s="800" t="n"/>
      <c r="X303" s="800" t="n"/>
      <c r="Y303" s="800" t="n"/>
      <c r="Z303" s="800" t="n"/>
      <c r="AA303" s="807" t="n"/>
      <c r="AB303" s="807" t="n"/>
      <c r="AC303" s="807" t="n"/>
    </row>
    <row r="304" ht="14.25" customHeight="1">
      <c r="A304" s="799" t="inlineStr">
        <is>
          <t>Сосиски</t>
        </is>
      </c>
      <c r="B304" s="800" t="n"/>
      <c r="C304" s="800" t="n"/>
      <c r="D304" s="800" t="n"/>
      <c r="E304" s="800" t="n"/>
      <c r="F304" s="800" t="n"/>
      <c r="G304" s="800" t="n"/>
      <c r="H304" s="800" t="n"/>
      <c r="I304" s="800" t="n"/>
      <c r="J304" s="800" t="n"/>
      <c r="K304" s="800" t="n"/>
      <c r="L304" s="800" t="n"/>
      <c r="M304" s="800" t="n"/>
      <c r="N304" s="800" t="n"/>
      <c r="O304" s="800" t="n"/>
      <c r="P304" s="800" t="n"/>
      <c r="Q304" s="800" t="n"/>
      <c r="R304" s="800" t="n"/>
      <c r="S304" s="800" t="n"/>
      <c r="T304" s="800" t="n"/>
      <c r="U304" s="800" t="n"/>
      <c r="V304" s="800" t="n"/>
      <c r="W304" s="800" t="n"/>
      <c r="X304" s="800" t="n"/>
      <c r="Y304" s="800" t="n"/>
      <c r="Z304" s="800" t="n"/>
      <c r="AA304" s="799" t="n"/>
      <c r="AB304" s="799" t="n"/>
      <c r="AC304" s="799" t="n"/>
    </row>
    <row r="305" ht="37.5" customHeight="1">
      <c r="A305" s="54" t="inlineStr">
        <is>
          <t>SU002857</t>
        </is>
      </c>
      <c r="B305" s="54" t="inlineStr">
        <is>
          <t>P003264</t>
        </is>
      </c>
      <c r="C305" s="31" t="n">
        <v>4301051409</v>
      </c>
      <c r="D305" s="782" t="n">
        <v>4680115881556</v>
      </c>
      <c r="E305" s="783" t="n"/>
      <c r="F305" s="1220" t="n">
        <v>1</v>
      </c>
      <c r="G305" s="32" t="n">
        <v>4</v>
      </c>
      <c r="H305" s="1220" t="n">
        <v>4</v>
      </c>
      <c r="I305" s="1220" t="n">
        <v>4.408</v>
      </c>
      <c r="J305" s="32" t="n">
        <v>104</v>
      </c>
      <c r="K305" s="32" t="inlineStr">
        <is>
          <t>8</t>
        </is>
      </c>
      <c r="L305" s="32" t="n"/>
      <c r="M305" s="33" t="inlineStr">
        <is>
          <t>СК3</t>
        </is>
      </c>
      <c r="N305" s="33" t="n"/>
      <c r="O305" s="32" t="n">
        <v>45</v>
      </c>
      <c r="P305" s="1118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/>
      </c>
      <c r="Q305" s="785" t="n"/>
      <c r="R305" s="785" t="n"/>
      <c r="S305" s="785" t="n"/>
      <c r="T305" s="786" t="n"/>
      <c r="U305" s="34" t="n"/>
      <c r="V305" s="34" t="n"/>
      <c r="W305" s="35" t="inlineStr">
        <is>
          <t>кг</t>
        </is>
      </c>
      <c r="X305" s="1221" t="n">
        <v>0</v>
      </c>
      <c r="Y305" s="1222">
        <f>IFERROR(IF(X305="",0,CEILING((X305/$H305),1)*$H305),"")</f>
        <v/>
      </c>
      <c r="Z305" s="36">
        <f>IFERROR(IF(Y305=0,"",ROUNDUP(Y305/H305,0)*0.01196),"")</f>
        <v/>
      </c>
      <c r="AA305" s="56" t="n"/>
      <c r="AB305" s="57" t="n"/>
      <c r="AC305" s="387" t="inlineStr">
        <is>
          <t>ЕАЭС N RU Д-RU.РА02.В.41322/24, ЕАЭС N RU Д-RU.РА09.В.03891/22, ЕАЭС N RU Д-RU.РА09.В.03932/22</t>
        </is>
      </c>
      <c r="AG305" s="64" t="n"/>
      <c r="AJ305" s="68" t="n"/>
      <c r="AK305" s="68" t="n">
        <v>0</v>
      </c>
      <c r="BB305" s="388" t="inlineStr">
        <is>
          <t>КИ</t>
        </is>
      </c>
      <c r="BM305" s="64">
        <f>IFERROR(X305*I305/H305,"0")</f>
        <v/>
      </c>
      <c r="BN305" s="64">
        <f>IFERROR(Y305*I305/H305,"0")</f>
        <v/>
      </c>
      <c r="BO305" s="64">
        <f>IFERROR(1/J305*(X305/H305),"0")</f>
        <v/>
      </c>
      <c r="BP305" s="64">
        <f>IFERROR(1/J305*(Y305/H305),"0")</f>
        <v/>
      </c>
    </row>
    <row r="306" ht="37.5" customHeight="1">
      <c r="A306" s="54" t="inlineStr">
        <is>
          <t>SU002802</t>
        </is>
      </c>
      <c r="B306" s="54" t="inlineStr">
        <is>
          <t>P003580</t>
        </is>
      </c>
      <c r="C306" s="31" t="n">
        <v>4301051506</v>
      </c>
      <c r="D306" s="782" t="n">
        <v>4680115881037</v>
      </c>
      <c r="E306" s="783" t="n"/>
      <c r="F306" s="1220" t="n">
        <v>0.84</v>
      </c>
      <c r="G306" s="32" t="n">
        <v>4</v>
      </c>
      <c r="H306" s="1220" t="n">
        <v>3.36</v>
      </c>
      <c r="I306" s="1220" t="n">
        <v>3.618</v>
      </c>
      <c r="J306" s="32" t="n">
        <v>132</v>
      </c>
      <c r="K306" s="32" t="inlineStr">
        <is>
          <t>12</t>
        </is>
      </c>
      <c r="L306" s="32" t="n"/>
      <c r="M306" s="33" t="inlineStr">
        <is>
          <t>СК2</t>
        </is>
      </c>
      <c r="N306" s="33" t="n"/>
      <c r="O306" s="32" t="n">
        <v>40</v>
      </c>
      <c r="P306" s="1002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/>
      </c>
      <c r="Q306" s="785" t="n"/>
      <c r="R306" s="785" t="n"/>
      <c r="S306" s="785" t="n"/>
      <c r="T306" s="786" t="n"/>
      <c r="U306" s="34" t="n"/>
      <c r="V306" s="34" t="n"/>
      <c r="W306" s="35" t="inlineStr">
        <is>
          <t>кг</t>
        </is>
      </c>
      <c r="X306" s="1221" t="n">
        <v>0</v>
      </c>
      <c r="Y306" s="1222">
        <f>IFERROR(IF(X306="",0,CEILING((X306/$H306),1)*$H306),"")</f>
        <v/>
      </c>
      <c r="Z306" s="36">
        <f>IFERROR(IF(Y306=0,"",ROUNDUP(Y306/H306,0)*0.00902),"")</f>
        <v/>
      </c>
      <c r="AA306" s="56" t="n"/>
      <c r="AB306" s="57" t="n"/>
      <c r="AC306" s="389" t="inlineStr">
        <is>
          <t>ЕАЭС N RU Д-RU.РА09.В.04339/22, ЕАЭС N RU Д-RU.РА09.В.99193/24</t>
        </is>
      </c>
      <c r="AG306" s="64" t="n"/>
      <c r="AJ306" s="68" t="n"/>
      <c r="AK306" s="68" t="n">
        <v>0</v>
      </c>
      <c r="BB306" s="390" t="inlineStr">
        <is>
          <t>КИ</t>
        </is>
      </c>
      <c r="BM306" s="64">
        <f>IFERROR(X306*I306/H306,"0")</f>
        <v/>
      </c>
      <c r="BN306" s="64">
        <f>IFERROR(Y306*I306/H306,"0")</f>
        <v/>
      </c>
      <c r="BO306" s="64">
        <f>IFERROR(1/J306*(X306/H306),"0")</f>
        <v/>
      </c>
      <c r="BP306" s="64">
        <f>IFERROR(1/J306*(Y306/H306),"0")</f>
        <v/>
      </c>
    </row>
    <row r="307" ht="37.5" customHeight="1">
      <c r="A307" s="54" t="inlineStr">
        <is>
          <t>SU003814</t>
        </is>
      </c>
      <c r="B307" s="54" t="inlineStr">
        <is>
          <t>P004838</t>
        </is>
      </c>
      <c r="C307" s="31" t="n">
        <v>4301051893</v>
      </c>
      <c r="D307" s="782" t="n">
        <v>4680115886186</v>
      </c>
      <c r="E307" s="783" t="n"/>
      <c r="F307" s="1220" t="n">
        <v>0.3</v>
      </c>
      <c r="G307" s="32" t="n">
        <v>6</v>
      </c>
      <c r="H307" s="1220" t="n">
        <v>1.8</v>
      </c>
      <c r="I307" s="1220" t="n">
        <v>1.98</v>
      </c>
      <c r="J307" s="32" t="n">
        <v>182</v>
      </c>
      <c r="K307" s="32" t="inlineStr">
        <is>
          <t>14</t>
        </is>
      </c>
      <c r="L307" s="32" t="n"/>
      <c r="M307" s="33" t="inlineStr">
        <is>
          <t>СК3</t>
        </is>
      </c>
      <c r="N307" s="33" t="n"/>
      <c r="O307" s="32" t="n">
        <v>45</v>
      </c>
      <c r="P307" s="788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/>
      </c>
      <c r="Q307" s="785" t="n"/>
      <c r="R307" s="785" t="n"/>
      <c r="S307" s="785" t="n"/>
      <c r="T307" s="786" t="n"/>
      <c r="U307" s="34" t="n"/>
      <c r="V307" s="34" t="n"/>
      <c r="W307" s="35" t="inlineStr">
        <is>
          <t>кг</t>
        </is>
      </c>
      <c r="X307" s="1221" t="n">
        <v>0</v>
      </c>
      <c r="Y307" s="1222">
        <f>IFERROR(IF(X307="",0,CEILING((X307/$H307),1)*$H307),"")</f>
        <v/>
      </c>
      <c r="Z307" s="36">
        <f>IFERROR(IF(Y307=0,"",ROUNDUP(Y307/H307,0)*0.00651),"")</f>
        <v/>
      </c>
      <c r="AA307" s="56" t="n"/>
      <c r="AB307" s="57" t="n"/>
      <c r="AC307" s="391" t="inlineStr">
        <is>
          <t>ЕАЭС N RU Д-RU.РА02.В.41322/24, ЕАЭС N RU Д-RU.РА09.В.03891/22, ЕАЭС N RU Д-RU.РА09.В.03932/22</t>
        </is>
      </c>
      <c r="AG307" s="64" t="n"/>
      <c r="AJ307" s="68" t="n"/>
      <c r="AK307" s="68" t="n">
        <v>0</v>
      </c>
      <c r="BB307" s="392" t="inlineStr">
        <is>
          <t>КИ</t>
        </is>
      </c>
      <c r="BM307" s="64">
        <f>IFERROR(X307*I307/H307,"0")</f>
        <v/>
      </c>
      <c r="BN307" s="64">
        <f>IFERROR(Y307*I307/H307,"0")</f>
        <v/>
      </c>
      <c r="BO307" s="64">
        <f>IFERROR(1/J307*(X307/H307),"0")</f>
        <v/>
      </c>
      <c r="BP307" s="64">
        <f>IFERROR(1/J307*(Y307/H307),"0")</f>
        <v/>
      </c>
    </row>
    <row r="308" ht="27" customHeight="1">
      <c r="A308" s="54" t="inlineStr">
        <is>
          <t>SU002801</t>
        </is>
      </c>
      <c r="B308" s="54" t="inlineStr">
        <is>
          <t>P003475</t>
        </is>
      </c>
      <c r="C308" s="31" t="n">
        <v>4301051487</v>
      </c>
      <c r="D308" s="782" t="n">
        <v>4680115881228</v>
      </c>
      <c r="E308" s="783" t="n"/>
      <c r="F308" s="1220" t="n">
        <v>0.4</v>
      </c>
      <c r="G308" s="32" t="n">
        <v>6</v>
      </c>
      <c r="H308" s="1220" t="n">
        <v>2.4</v>
      </c>
      <c r="I308" s="1220" t="n">
        <v>2.652</v>
      </c>
      <c r="J308" s="32" t="n">
        <v>182</v>
      </c>
      <c r="K308" s="32" t="inlineStr">
        <is>
          <t>14</t>
        </is>
      </c>
      <c r="L308" s="32" t="n"/>
      <c r="M308" s="33" t="inlineStr">
        <is>
          <t>СК2</t>
        </is>
      </c>
      <c r="N308" s="33" t="n"/>
      <c r="O308" s="32" t="n">
        <v>40</v>
      </c>
      <c r="P308" s="1058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/>
      </c>
      <c r="Q308" s="785" t="n"/>
      <c r="R308" s="785" t="n"/>
      <c r="S308" s="785" t="n"/>
      <c r="T308" s="786" t="n"/>
      <c r="U308" s="34" t="n"/>
      <c r="V308" s="34" t="n"/>
      <c r="W308" s="35" t="inlineStr">
        <is>
          <t>кг</t>
        </is>
      </c>
      <c r="X308" s="1221" t="n">
        <v>0</v>
      </c>
      <c r="Y308" s="1222">
        <f>IFERROR(IF(X308="",0,CEILING((X308/$H308),1)*$H308),"")</f>
        <v/>
      </c>
      <c r="Z308" s="36">
        <f>IFERROR(IF(Y308=0,"",ROUNDUP(Y308/H308,0)*0.00651),"")</f>
        <v/>
      </c>
      <c r="AA308" s="56" t="n"/>
      <c r="AB308" s="57" t="n"/>
      <c r="AC308" s="393" t="inlineStr">
        <is>
          <t>ЕАЭС N RU Д-RU.РА09.В.04339/22, ЕАЭС N RU Д-RU.РА09.В.99193/24</t>
        </is>
      </c>
      <c r="AG308" s="64" t="n"/>
      <c r="AJ308" s="68" t="n"/>
      <c r="AK308" s="68" t="n">
        <v>0</v>
      </c>
      <c r="BB308" s="394" t="inlineStr">
        <is>
          <t>КИ</t>
        </is>
      </c>
      <c r="BM308" s="64">
        <f>IFERROR(X308*I308/H308,"0")</f>
        <v/>
      </c>
      <c r="BN308" s="64">
        <f>IFERROR(Y308*I308/H308,"0")</f>
        <v/>
      </c>
      <c r="BO308" s="64">
        <f>IFERROR(1/J308*(X308/H308),"0")</f>
        <v/>
      </c>
      <c r="BP308" s="64">
        <f>IFERROR(1/J308*(Y308/H308),"0")</f>
        <v/>
      </c>
    </row>
    <row r="309" ht="37.5" customHeight="1">
      <c r="A309" s="54" t="inlineStr">
        <is>
          <t>SU002799</t>
        </is>
      </c>
      <c r="B309" s="54" t="inlineStr">
        <is>
          <t>P003217</t>
        </is>
      </c>
      <c r="C309" s="31" t="n">
        <v>4301051384</v>
      </c>
      <c r="D309" s="782" t="n">
        <v>4680115881211</v>
      </c>
      <c r="E309" s="783" t="n"/>
      <c r="F309" s="1220" t="n">
        <v>0.4</v>
      </c>
      <c r="G309" s="32" t="n">
        <v>6</v>
      </c>
      <c r="H309" s="1220" t="n">
        <v>2.4</v>
      </c>
      <c r="I309" s="1220" t="n">
        <v>2.58</v>
      </c>
      <c r="J309" s="32" t="n">
        <v>182</v>
      </c>
      <c r="K309" s="32" t="inlineStr">
        <is>
          <t>14</t>
        </is>
      </c>
      <c r="L309" s="32" t="inlineStr">
        <is>
          <t>Палетта, мин. 1</t>
        </is>
      </c>
      <c r="M309" s="33" t="inlineStr">
        <is>
          <t>СК2</t>
        </is>
      </c>
      <c r="N309" s="33" t="n"/>
      <c r="O309" s="32" t="n">
        <v>45</v>
      </c>
      <c r="P309" s="1120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/>
      </c>
      <c r="Q309" s="785" t="n"/>
      <c r="R309" s="785" t="n"/>
      <c r="S309" s="785" t="n"/>
      <c r="T309" s="786" t="n"/>
      <c r="U309" s="34" t="n"/>
      <c r="V309" s="34" t="n"/>
      <c r="W309" s="35" t="inlineStr">
        <is>
          <t>кг</t>
        </is>
      </c>
      <c r="X309" s="1221" t="n">
        <v>0</v>
      </c>
      <c r="Y309" s="1222">
        <f>IFERROR(IF(X309="",0,CEILING((X309/$H309),1)*$H309),"")</f>
        <v/>
      </c>
      <c r="Z309" s="36">
        <f>IFERROR(IF(Y309=0,"",ROUNDUP(Y309/H309,0)*0.00651),"")</f>
        <v/>
      </c>
      <c r="AA309" s="56" t="n"/>
      <c r="AB309" s="57" t="n"/>
      <c r="AC309" s="395" t="inlineStr">
        <is>
          <t>ЕАЭС N RU Д-RU.РА02.В.41322/24, ЕАЭС N RU Д-RU.РА09.В.03891/22, ЕАЭС N RU Д-RU.РА09.В.03932/22</t>
        </is>
      </c>
      <c r="AG309" s="64" t="n"/>
      <c r="AJ309" s="68" t="inlineStr">
        <is>
          <t>Палетта</t>
        </is>
      </c>
      <c r="AK309" s="68" t="n">
        <v>436.8</v>
      </c>
      <c r="BB309" s="396" t="inlineStr">
        <is>
          <t>КИ</t>
        </is>
      </c>
      <c r="BM309" s="64">
        <f>IFERROR(X309*I309/H309,"0")</f>
        <v/>
      </c>
      <c r="BN309" s="64">
        <f>IFERROR(Y309*I309/H309,"0")</f>
        <v/>
      </c>
      <c r="BO309" s="64">
        <f>IFERROR(1/J309*(X309/H309),"0")</f>
        <v/>
      </c>
      <c r="BP309" s="64">
        <f>IFERROR(1/J309*(Y309/H309),"0")</f>
        <v/>
      </c>
    </row>
    <row r="310" ht="37.5" customHeight="1">
      <c r="A310" s="54" t="inlineStr">
        <is>
          <t>SU002800</t>
        </is>
      </c>
      <c r="B310" s="54" t="inlineStr">
        <is>
          <t>P003201</t>
        </is>
      </c>
      <c r="C310" s="31" t="n">
        <v>4301051378</v>
      </c>
      <c r="D310" s="782" t="n">
        <v>4680115881020</v>
      </c>
      <c r="E310" s="783" t="n"/>
      <c r="F310" s="1220" t="n">
        <v>0.84</v>
      </c>
      <c r="G310" s="32" t="n">
        <v>4</v>
      </c>
      <c r="H310" s="1220" t="n">
        <v>3.36</v>
      </c>
      <c r="I310" s="1220" t="n">
        <v>3.57</v>
      </c>
      <c r="J310" s="32" t="n">
        <v>120</v>
      </c>
      <c r="K310" s="32" t="inlineStr">
        <is>
          <t>12</t>
        </is>
      </c>
      <c r="L310" s="32" t="n"/>
      <c r="M310" s="33" t="inlineStr">
        <is>
          <t>СК2</t>
        </is>
      </c>
      <c r="N310" s="33" t="n"/>
      <c r="O310" s="32" t="n">
        <v>45</v>
      </c>
      <c r="P310" s="1047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/>
      </c>
      <c r="Q310" s="785" t="n"/>
      <c r="R310" s="785" t="n"/>
      <c r="S310" s="785" t="n"/>
      <c r="T310" s="786" t="n"/>
      <c r="U310" s="34" t="n"/>
      <c r="V310" s="34" t="n"/>
      <c r="W310" s="35" t="inlineStr">
        <is>
          <t>кг</t>
        </is>
      </c>
      <c r="X310" s="1221" t="n">
        <v>0</v>
      </c>
      <c r="Y310" s="1222">
        <f>IFERROR(IF(X310="",0,CEILING((X310/$H310),1)*$H310),"")</f>
        <v/>
      </c>
      <c r="Z310" s="36">
        <f>IFERROR(IF(Y310=0,"",ROUNDUP(Y310/H310,0)*0.00937),"")</f>
        <v/>
      </c>
      <c r="AA310" s="56" t="n"/>
      <c r="AB310" s="57" t="n"/>
      <c r="AC310" s="397" t="inlineStr">
        <is>
          <t>ЕАЭС N RU Д-RU.РА02.В.41322/24, ЕАЭС N RU Д-RU.РА09.В.03891/22, ЕАЭС N RU Д-RU.РА09.В.04339/22</t>
        </is>
      </c>
      <c r="AG310" s="64" t="n"/>
      <c r="AJ310" s="68" t="n"/>
      <c r="AK310" s="68" t="n">
        <v>0</v>
      </c>
      <c r="BB310" s="398" t="inlineStr">
        <is>
          <t>КИ</t>
        </is>
      </c>
      <c r="BM310" s="64">
        <f>IFERROR(X310*I310/H310,"0")</f>
        <v/>
      </c>
      <c r="BN310" s="64">
        <f>IFERROR(Y310*I310/H310,"0")</f>
        <v/>
      </c>
      <c r="BO310" s="64">
        <f>IFERROR(1/J310*(X310/H310),"0")</f>
        <v/>
      </c>
      <c r="BP310" s="64">
        <f>IFERROR(1/J310*(Y310/H310),"0")</f>
        <v/>
      </c>
    </row>
    <row r="311">
      <c r="A311" s="801" t="n"/>
      <c r="B311" s="800" t="n"/>
      <c r="C311" s="800" t="n"/>
      <c r="D311" s="800" t="n"/>
      <c r="E311" s="800" t="n"/>
      <c r="F311" s="800" t="n"/>
      <c r="G311" s="800" t="n"/>
      <c r="H311" s="800" t="n"/>
      <c r="I311" s="800" t="n"/>
      <c r="J311" s="800" t="n"/>
      <c r="K311" s="800" t="n"/>
      <c r="L311" s="800" t="n"/>
      <c r="M311" s="800" t="n"/>
      <c r="N311" s="800" t="n"/>
      <c r="O311" s="802" t="n"/>
      <c r="P311" s="796" t="inlineStr">
        <is>
          <t>Итого</t>
        </is>
      </c>
      <c r="Q311" s="793" t="n"/>
      <c r="R311" s="793" t="n"/>
      <c r="S311" s="793" t="n"/>
      <c r="T311" s="793" t="n"/>
      <c r="U311" s="793" t="n"/>
      <c r="V311" s="794" t="n"/>
      <c r="W311" s="37" t="inlineStr">
        <is>
          <t>кор</t>
        </is>
      </c>
      <c r="X311" s="1223">
        <f>IFERROR(X305/H305,"0")+IFERROR(X306/H306,"0")+IFERROR(X307/H307,"0")+IFERROR(X308/H308,"0")+IFERROR(X309/H309,"0")+IFERROR(X310/H310,"0")</f>
        <v/>
      </c>
      <c r="Y311" s="1223">
        <f>IFERROR(Y305/H305,"0")+IFERROR(Y306/H306,"0")+IFERROR(Y307/H307,"0")+IFERROR(Y308/H308,"0")+IFERROR(Y309/H309,"0")+IFERROR(Y310/H310,"0")</f>
        <v/>
      </c>
      <c r="Z311" s="1223">
        <f>IFERROR(IF(Z305="",0,Z305),"0")+IFERROR(IF(Z306="",0,Z306),"0")+IFERROR(IF(Z307="",0,Z307),"0")+IFERROR(IF(Z308="",0,Z308),"0")+IFERROR(IF(Z309="",0,Z309),"0")+IFERROR(IF(Z310="",0,Z310),"0")</f>
        <v/>
      </c>
      <c r="AA311" s="1224" t="n"/>
      <c r="AB311" s="1224" t="n"/>
      <c r="AC311" s="1224" t="n"/>
    </row>
    <row r="312">
      <c r="A312" s="800" t="n"/>
      <c r="B312" s="800" t="n"/>
      <c r="C312" s="800" t="n"/>
      <c r="D312" s="800" t="n"/>
      <c r="E312" s="800" t="n"/>
      <c r="F312" s="800" t="n"/>
      <c r="G312" s="800" t="n"/>
      <c r="H312" s="800" t="n"/>
      <c r="I312" s="800" t="n"/>
      <c r="J312" s="800" t="n"/>
      <c r="K312" s="800" t="n"/>
      <c r="L312" s="800" t="n"/>
      <c r="M312" s="800" t="n"/>
      <c r="N312" s="800" t="n"/>
      <c r="O312" s="802" t="n"/>
      <c r="P312" s="796" t="inlineStr">
        <is>
          <t>Итого</t>
        </is>
      </c>
      <c r="Q312" s="793" t="n"/>
      <c r="R312" s="793" t="n"/>
      <c r="S312" s="793" t="n"/>
      <c r="T312" s="793" t="n"/>
      <c r="U312" s="793" t="n"/>
      <c r="V312" s="794" t="n"/>
      <c r="W312" s="37" t="inlineStr">
        <is>
          <t>кг</t>
        </is>
      </c>
      <c r="X312" s="1223">
        <f>IFERROR(SUM(X305:X310),"0")</f>
        <v/>
      </c>
      <c r="Y312" s="1223">
        <f>IFERROR(SUM(Y305:Y310),"0")</f>
        <v/>
      </c>
      <c r="Z312" s="37" t="n"/>
      <c r="AA312" s="1224" t="n"/>
      <c r="AB312" s="1224" t="n"/>
      <c r="AC312" s="1224" t="n"/>
    </row>
    <row r="313" ht="16.5" customHeight="1">
      <c r="A313" s="807" t="inlineStr">
        <is>
          <t>Стародворская EDLP/EDPP</t>
        </is>
      </c>
      <c r="B313" s="800" t="n"/>
      <c r="C313" s="800" t="n"/>
      <c r="D313" s="800" t="n"/>
      <c r="E313" s="800" t="n"/>
      <c r="F313" s="800" t="n"/>
      <c r="G313" s="800" t="n"/>
      <c r="H313" s="800" t="n"/>
      <c r="I313" s="800" t="n"/>
      <c r="J313" s="800" t="n"/>
      <c r="K313" s="800" t="n"/>
      <c r="L313" s="800" t="n"/>
      <c r="M313" s="800" t="n"/>
      <c r="N313" s="800" t="n"/>
      <c r="O313" s="800" t="n"/>
      <c r="P313" s="800" t="n"/>
      <c r="Q313" s="800" t="n"/>
      <c r="R313" s="800" t="n"/>
      <c r="S313" s="800" t="n"/>
      <c r="T313" s="800" t="n"/>
      <c r="U313" s="800" t="n"/>
      <c r="V313" s="800" t="n"/>
      <c r="W313" s="800" t="n"/>
      <c r="X313" s="800" t="n"/>
      <c r="Y313" s="800" t="n"/>
      <c r="Z313" s="800" t="n"/>
      <c r="AA313" s="807" t="n"/>
      <c r="AB313" s="807" t="n"/>
      <c r="AC313" s="807" t="n"/>
    </row>
    <row r="314" ht="14.25" customHeight="1">
      <c r="A314" s="799" t="inlineStr">
        <is>
          <t>Вареные колбасы</t>
        </is>
      </c>
      <c r="B314" s="800" t="n"/>
      <c r="C314" s="800" t="n"/>
      <c r="D314" s="800" t="n"/>
      <c r="E314" s="800" t="n"/>
      <c r="F314" s="800" t="n"/>
      <c r="G314" s="800" t="n"/>
      <c r="H314" s="800" t="n"/>
      <c r="I314" s="800" t="n"/>
      <c r="J314" s="800" t="n"/>
      <c r="K314" s="800" t="n"/>
      <c r="L314" s="800" t="n"/>
      <c r="M314" s="800" t="n"/>
      <c r="N314" s="800" t="n"/>
      <c r="O314" s="800" t="n"/>
      <c r="P314" s="800" t="n"/>
      <c r="Q314" s="800" t="n"/>
      <c r="R314" s="800" t="n"/>
      <c r="S314" s="800" t="n"/>
      <c r="T314" s="800" t="n"/>
      <c r="U314" s="800" t="n"/>
      <c r="V314" s="800" t="n"/>
      <c r="W314" s="800" t="n"/>
      <c r="X314" s="800" t="n"/>
      <c r="Y314" s="800" t="n"/>
      <c r="Z314" s="800" t="n"/>
      <c r="AA314" s="799" t="n"/>
      <c r="AB314" s="799" t="n"/>
      <c r="AC314" s="799" t="n"/>
    </row>
    <row r="315" ht="27" customHeight="1">
      <c r="A315" s="54" t="inlineStr">
        <is>
          <t>SU002528</t>
        </is>
      </c>
      <c r="B315" s="54" t="inlineStr">
        <is>
          <t>P002839</t>
        </is>
      </c>
      <c r="C315" s="31" t="n">
        <v>4301011306</v>
      </c>
      <c r="D315" s="782" t="n">
        <v>4607091389296</v>
      </c>
      <c r="E315" s="783" t="n"/>
      <c r="F315" s="1220" t="n">
        <v>0.4</v>
      </c>
      <c r="G315" s="32" t="n">
        <v>10</v>
      </c>
      <c r="H315" s="1220" t="n">
        <v>4</v>
      </c>
      <c r="I315" s="1220" t="n">
        <v>4.21</v>
      </c>
      <c r="J315" s="32" t="n">
        <v>132</v>
      </c>
      <c r="K315" s="32" t="inlineStr">
        <is>
          <t>12</t>
        </is>
      </c>
      <c r="L315" s="32" t="n"/>
      <c r="M315" s="33" t="inlineStr">
        <is>
          <t>СК3</t>
        </is>
      </c>
      <c r="N315" s="33" t="n"/>
      <c r="O315" s="32" t="n">
        <v>45</v>
      </c>
      <c r="P315" s="1211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/>
      </c>
      <c r="Q315" s="785" t="n"/>
      <c r="R315" s="785" t="n"/>
      <c r="S315" s="785" t="n"/>
      <c r="T315" s="786" t="n"/>
      <c r="U315" s="34" t="n"/>
      <c r="V315" s="34" t="n"/>
      <c r="W315" s="35" t="inlineStr">
        <is>
          <t>кг</t>
        </is>
      </c>
      <c r="X315" s="1221" t="n">
        <v>0</v>
      </c>
      <c r="Y315" s="1222">
        <f>IFERROR(IF(X315="",0,CEILING((X315/$H315),1)*$H315),"")</f>
        <v/>
      </c>
      <c r="Z315" s="36">
        <f>IFERROR(IF(Y315=0,"",ROUNDUP(Y315/H315,0)*0.00902),"")</f>
        <v/>
      </c>
      <c r="AA315" s="56" t="n"/>
      <c r="AB315" s="57" t="n"/>
      <c r="AC315" s="399" t="inlineStr">
        <is>
          <t>ЕАЭС N RU Д-RU.РА01.В.75658/22, ЕАЭС N RU Д-RU.РА01.В.85206/22</t>
        </is>
      </c>
      <c r="AG315" s="64" t="n"/>
      <c r="AJ315" s="68" t="n"/>
      <c r="AK315" s="68" t="n">
        <v>0</v>
      </c>
      <c r="BB315" s="400" t="inlineStr">
        <is>
          <t>КИ</t>
        </is>
      </c>
      <c r="BM315" s="64">
        <f>IFERROR(X315*I315/H315,"0")</f>
        <v/>
      </c>
      <c r="BN315" s="64">
        <f>IFERROR(Y315*I315/H315,"0")</f>
        <v/>
      </c>
      <c r="BO315" s="64">
        <f>IFERROR(1/J315*(X315/H315),"0")</f>
        <v/>
      </c>
      <c r="BP315" s="64">
        <f>IFERROR(1/J315*(Y315/H315),"0")</f>
        <v/>
      </c>
    </row>
    <row r="316">
      <c r="A316" s="801" t="n"/>
      <c r="B316" s="800" t="n"/>
      <c r="C316" s="800" t="n"/>
      <c r="D316" s="800" t="n"/>
      <c r="E316" s="800" t="n"/>
      <c r="F316" s="800" t="n"/>
      <c r="G316" s="800" t="n"/>
      <c r="H316" s="800" t="n"/>
      <c r="I316" s="800" t="n"/>
      <c r="J316" s="800" t="n"/>
      <c r="K316" s="800" t="n"/>
      <c r="L316" s="800" t="n"/>
      <c r="M316" s="800" t="n"/>
      <c r="N316" s="800" t="n"/>
      <c r="O316" s="802" t="n"/>
      <c r="P316" s="796" t="inlineStr">
        <is>
          <t>Итого</t>
        </is>
      </c>
      <c r="Q316" s="793" t="n"/>
      <c r="R316" s="793" t="n"/>
      <c r="S316" s="793" t="n"/>
      <c r="T316" s="793" t="n"/>
      <c r="U316" s="793" t="n"/>
      <c r="V316" s="794" t="n"/>
      <c r="W316" s="37" t="inlineStr">
        <is>
          <t>кор</t>
        </is>
      </c>
      <c r="X316" s="1223">
        <f>IFERROR(X315/H315,"0")</f>
        <v/>
      </c>
      <c r="Y316" s="1223">
        <f>IFERROR(Y315/H315,"0")</f>
        <v/>
      </c>
      <c r="Z316" s="1223">
        <f>IFERROR(IF(Z315="",0,Z315),"0")</f>
        <v/>
      </c>
      <c r="AA316" s="1224" t="n"/>
      <c r="AB316" s="1224" t="n"/>
      <c r="AC316" s="1224" t="n"/>
    </row>
    <row r="317">
      <c r="A317" s="800" t="n"/>
      <c r="B317" s="800" t="n"/>
      <c r="C317" s="800" t="n"/>
      <c r="D317" s="800" t="n"/>
      <c r="E317" s="800" t="n"/>
      <c r="F317" s="800" t="n"/>
      <c r="G317" s="800" t="n"/>
      <c r="H317" s="800" t="n"/>
      <c r="I317" s="800" t="n"/>
      <c r="J317" s="800" t="n"/>
      <c r="K317" s="800" t="n"/>
      <c r="L317" s="800" t="n"/>
      <c r="M317" s="800" t="n"/>
      <c r="N317" s="800" t="n"/>
      <c r="O317" s="802" t="n"/>
      <c r="P317" s="796" t="inlineStr">
        <is>
          <t>Итого</t>
        </is>
      </c>
      <c r="Q317" s="793" t="n"/>
      <c r="R317" s="793" t="n"/>
      <c r="S317" s="793" t="n"/>
      <c r="T317" s="793" t="n"/>
      <c r="U317" s="793" t="n"/>
      <c r="V317" s="794" t="n"/>
      <c r="W317" s="37" t="inlineStr">
        <is>
          <t>кг</t>
        </is>
      </c>
      <c r="X317" s="1223">
        <f>IFERROR(SUM(X315:X315),"0")</f>
        <v/>
      </c>
      <c r="Y317" s="1223">
        <f>IFERROR(SUM(Y315:Y315),"0")</f>
        <v/>
      </c>
      <c r="Z317" s="37" t="n"/>
      <c r="AA317" s="1224" t="n"/>
      <c r="AB317" s="1224" t="n"/>
      <c r="AC317" s="1224" t="n"/>
    </row>
    <row r="318" ht="14.25" customHeight="1">
      <c r="A318" s="799" t="inlineStr">
        <is>
          <t>Копченые колбасы</t>
        </is>
      </c>
      <c r="B318" s="800" t="n"/>
      <c r="C318" s="800" t="n"/>
      <c r="D318" s="800" t="n"/>
      <c r="E318" s="800" t="n"/>
      <c r="F318" s="800" t="n"/>
      <c r="G318" s="800" t="n"/>
      <c r="H318" s="800" t="n"/>
      <c r="I318" s="800" t="n"/>
      <c r="J318" s="800" t="n"/>
      <c r="K318" s="800" t="n"/>
      <c r="L318" s="800" t="n"/>
      <c r="M318" s="800" t="n"/>
      <c r="N318" s="800" t="n"/>
      <c r="O318" s="800" t="n"/>
      <c r="P318" s="800" t="n"/>
      <c r="Q318" s="800" t="n"/>
      <c r="R318" s="800" t="n"/>
      <c r="S318" s="800" t="n"/>
      <c r="T318" s="800" t="n"/>
      <c r="U318" s="800" t="n"/>
      <c r="V318" s="800" t="n"/>
      <c r="W318" s="800" t="n"/>
      <c r="X318" s="800" t="n"/>
      <c r="Y318" s="800" t="n"/>
      <c r="Z318" s="800" t="n"/>
      <c r="AA318" s="799" t="n"/>
      <c r="AB318" s="799" t="n"/>
      <c r="AC318" s="799" t="n"/>
    </row>
    <row r="319" ht="27" customHeight="1">
      <c r="A319" s="54" t="inlineStr">
        <is>
          <t>SU002698</t>
        </is>
      </c>
      <c r="B319" s="54" t="inlineStr">
        <is>
          <t>P003072</t>
        </is>
      </c>
      <c r="C319" s="31" t="n">
        <v>4301031163</v>
      </c>
      <c r="D319" s="782" t="n">
        <v>4680115880344</v>
      </c>
      <c r="E319" s="783" t="n"/>
      <c r="F319" s="1220" t="n">
        <v>0.28</v>
      </c>
      <c r="G319" s="32" t="n">
        <v>6</v>
      </c>
      <c r="H319" s="1220" t="n">
        <v>1.68</v>
      </c>
      <c r="I319" s="1220" t="n">
        <v>1.78</v>
      </c>
      <c r="J319" s="32" t="n">
        <v>234</v>
      </c>
      <c r="K319" s="32" t="inlineStr">
        <is>
          <t>18</t>
        </is>
      </c>
      <c r="L319" s="32" t="n"/>
      <c r="M319" s="33" t="inlineStr">
        <is>
          <t>СК2</t>
        </is>
      </c>
      <c r="N319" s="33" t="n"/>
      <c r="O319" s="32" t="n">
        <v>40</v>
      </c>
      <c r="P319" s="811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/>
      </c>
      <c r="Q319" s="785" t="n"/>
      <c r="R319" s="785" t="n"/>
      <c r="S319" s="785" t="n"/>
      <c r="T319" s="786" t="n"/>
      <c r="U319" s="34" t="n"/>
      <c r="V319" s="34" t="n"/>
      <c r="W319" s="35" t="inlineStr">
        <is>
          <t>кг</t>
        </is>
      </c>
      <c r="X319" s="1221" t="n">
        <v>0</v>
      </c>
      <c r="Y319" s="1222">
        <f>IFERROR(IF(X319="",0,CEILING((X319/$H319),1)*$H319),"")</f>
        <v/>
      </c>
      <c r="Z319" s="36">
        <f>IFERROR(IF(Y319=0,"",ROUNDUP(Y319/H319,0)*0.00502),"")</f>
        <v/>
      </c>
      <c r="AA319" s="56" t="n"/>
      <c r="AB319" s="57" t="n"/>
      <c r="AC319" s="401" t="inlineStr">
        <is>
          <t>ЕАЭС N RU Д-RU.РА06.В.78153/22</t>
        </is>
      </c>
      <c r="AG319" s="64" t="n"/>
      <c r="AJ319" s="68" t="n"/>
      <c r="AK319" s="68" t="n">
        <v>0</v>
      </c>
      <c r="BB319" s="402" t="inlineStr">
        <is>
          <t>КИ</t>
        </is>
      </c>
      <c r="BM319" s="64">
        <f>IFERROR(X319*I319/H319,"0")</f>
        <v/>
      </c>
      <c r="BN319" s="64">
        <f>IFERROR(Y319*I319/H319,"0")</f>
        <v/>
      </c>
      <c r="BO319" s="64">
        <f>IFERROR(1/J319*(X319/H319),"0")</f>
        <v/>
      </c>
      <c r="BP319" s="64">
        <f>IFERROR(1/J319*(Y319/H319),"0")</f>
        <v/>
      </c>
    </row>
    <row r="320">
      <c r="A320" s="801" t="n"/>
      <c r="B320" s="800" t="n"/>
      <c r="C320" s="800" t="n"/>
      <c r="D320" s="800" t="n"/>
      <c r="E320" s="800" t="n"/>
      <c r="F320" s="800" t="n"/>
      <c r="G320" s="800" t="n"/>
      <c r="H320" s="800" t="n"/>
      <c r="I320" s="800" t="n"/>
      <c r="J320" s="800" t="n"/>
      <c r="K320" s="800" t="n"/>
      <c r="L320" s="800" t="n"/>
      <c r="M320" s="800" t="n"/>
      <c r="N320" s="800" t="n"/>
      <c r="O320" s="802" t="n"/>
      <c r="P320" s="796" t="inlineStr">
        <is>
          <t>Итого</t>
        </is>
      </c>
      <c r="Q320" s="793" t="n"/>
      <c r="R320" s="793" t="n"/>
      <c r="S320" s="793" t="n"/>
      <c r="T320" s="793" t="n"/>
      <c r="U320" s="793" t="n"/>
      <c r="V320" s="794" t="n"/>
      <c r="W320" s="37" t="inlineStr">
        <is>
          <t>кор</t>
        </is>
      </c>
      <c r="X320" s="1223">
        <f>IFERROR(X319/H319,"0")</f>
        <v/>
      </c>
      <c r="Y320" s="1223">
        <f>IFERROR(Y319/H319,"0")</f>
        <v/>
      </c>
      <c r="Z320" s="1223">
        <f>IFERROR(IF(Z319="",0,Z319),"0")</f>
        <v/>
      </c>
      <c r="AA320" s="1224" t="n"/>
      <c r="AB320" s="1224" t="n"/>
      <c r="AC320" s="1224" t="n"/>
    </row>
    <row r="321">
      <c r="A321" s="800" t="n"/>
      <c r="B321" s="800" t="n"/>
      <c r="C321" s="800" t="n"/>
      <c r="D321" s="800" t="n"/>
      <c r="E321" s="800" t="n"/>
      <c r="F321" s="800" t="n"/>
      <c r="G321" s="800" t="n"/>
      <c r="H321" s="800" t="n"/>
      <c r="I321" s="800" t="n"/>
      <c r="J321" s="800" t="n"/>
      <c r="K321" s="800" t="n"/>
      <c r="L321" s="800" t="n"/>
      <c r="M321" s="800" t="n"/>
      <c r="N321" s="800" t="n"/>
      <c r="O321" s="802" t="n"/>
      <c r="P321" s="796" t="inlineStr">
        <is>
          <t>Итого</t>
        </is>
      </c>
      <c r="Q321" s="793" t="n"/>
      <c r="R321" s="793" t="n"/>
      <c r="S321" s="793" t="n"/>
      <c r="T321" s="793" t="n"/>
      <c r="U321" s="793" t="n"/>
      <c r="V321" s="794" t="n"/>
      <c r="W321" s="37" t="inlineStr">
        <is>
          <t>кг</t>
        </is>
      </c>
      <c r="X321" s="1223">
        <f>IFERROR(SUM(X319:X319),"0")</f>
        <v/>
      </c>
      <c r="Y321" s="1223">
        <f>IFERROR(SUM(Y319:Y319),"0")</f>
        <v/>
      </c>
      <c r="Z321" s="37" t="n"/>
      <c r="AA321" s="1224" t="n"/>
      <c r="AB321" s="1224" t="n"/>
      <c r="AC321" s="1224" t="n"/>
    </row>
    <row r="322" ht="14.25" customHeight="1">
      <c r="A322" s="799" t="inlineStr">
        <is>
          <t>Сосиски</t>
        </is>
      </c>
      <c r="B322" s="800" t="n"/>
      <c r="C322" s="800" t="n"/>
      <c r="D322" s="800" t="n"/>
      <c r="E322" s="800" t="n"/>
      <c r="F322" s="800" t="n"/>
      <c r="G322" s="800" t="n"/>
      <c r="H322" s="800" t="n"/>
      <c r="I322" s="800" t="n"/>
      <c r="J322" s="800" t="n"/>
      <c r="K322" s="800" t="n"/>
      <c r="L322" s="800" t="n"/>
      <c r="M322" s="800" t="n"/>
      <c r="N322" s="800" t="n"/>
      <c r="O322" s="800" t="n"/>
      <c r="P322" s="800" t="n"/>
      <c r="Q322" s="800" t="n"/>
      <c r="R322" s="800" t="n"/>
      <c r="S322" s="800" t="n"/>
      <c r="T322" s="800" t="n"/>
      <c r="U322" s="800" t="n"/>
      <c r="V322" s="800" t="n"/>
      <c r="W322" s="800" t="n"/>
      <c r="X322" s="800" t="n"/>
      <c r="Y322" s="800" t="n"/>
      <c r="Z322" s="800" t="n"/>
      <c r="AA322" s="799" t="n"/>
      <c r="AB322" s="799" t="n"/>
      <c r="AC322" s="799" t="n"/>
    </row>
    <row r="323" ht="37.5" customHeight="1">
      <c r="A323" s="54" t="inlineStr">
        <is>
          <t>SU003340</t>
        </is>
      </c>
      <c r="B323" s="54" t="inlineStr">
        <is>
          <t>P004090</t>
        </is>
      </c>
      <c r="C323" s="31" t="n">
        <v>4301051731</v>
      </c>
      <c r="D323" s="782" t="n">
        <v>4680115884618</v>
      </c>
      <c r="E323" s="783" t="n"/>
      <c r="F323" s="1220" t="n">
        <v>0.6</v>
      </c>
      <c r="G323" s="32" t="n">
        <v>6</v>
      </c>
      <c r="H323" s="1220" t="n">
        <v>3.6</v>
      </c>
      <c r="I323" s="1220" t="n">
        <v>3.81</v>
      </c>
      <c r="J323" s="32" t="n">
        <v>132</v>
      </c>
      <c r="K323" s="32" t="inlineStr">
        <is>
          <t>12</t>
        </is>
      </c>
      <c r="L323" s="32" t="n"/>
      <c r="M323" s="33" t="inlineStr">
        <is>
          <t>СК2</t>
        </is>
      </c>
      <c r="N323" s="33" t="n"/>
      <c r="O323" s="32" t="n">
        <v>45</v>
      </c>
      <c r="P323" s="905">
        <f>HYPERLINK("https://abi.ru/products/Охлажденные/Стародворье/Стародворская EDLP/EDPP/Сосиски/P004090/","Сосиски «Венские» ф/в 0,6 п/а ТМ «Стародворье»")</f>
        <v/>
      </c>
      <c r="Q323" s="785" t="n"/>
      <c r="R323" s="785" t="n"/>
      <c r="S323" s="785" t="n"/>
      <c r="T323" s="786" t="n"/>
      <c r="U323" s="34" t="n"/>
      <c r="V323" s="34" t="n"/>
      <c r="W323" s="35" t="inlineStr">
        <is>
          <t>кг</t>
        </is>
      </c>
      <c r="X323" s="1221" t="n">
        <v>0</v>
      </c>
      <c r="Y323" s="1222">
        <f>IFERROR(IF(X323="",0,CEILING((X323/$H323),1)*$H323),"")</f>
        <v/>
      </c>
      <c r="Z323" s="36">
        <f>IFERROR(IF(Y323=0,"",ROUNDUP(Y323/H323,0)*0.00902),"")</f>
        <v/>
      </c>
      <c r="AA323" s="56" t="n"/>
      <c r="AB323" s="57" t="n"/>
      <c r="AC323" s="403" t="inlineStr">
        <is>
          <t>ЕАЭС N RU Д-RU.РА09.В.08947/23, ЕАЭС N RU Д-RU.РА09.В.09344/23, ЕАЭС N RU Д-RU.РА09.В.09542/23</t>
        </is>
      </c>
      <c r="AG323" s="64" t="n"/>
      <c r="AJ323" s="68" t="n"/>
      <c r="AK323" s="68" t="n">
        <v>0</v>
      </c>
      <c r="BB323" s="404" t="inlineStr">
        <is>
          <t>КИ</t>
        </is>
      </c>
      <c r="BM323" s="64">
        <f>IFERROR(X323*I323/H323,"0")</f>
        <v/>
      </c>
      <c r="BN323" s="64">
        <f>IFERROR(Y323*I323/H323,"0")</f>
        <v/>
      </c>
      <c r="BO323" s="64">
        <f>IFERROR(1/J323*(X323/H323),"0")</f>
        <v/>
      </c>
      <c r="BP323" s="64">
        <f>IFERROR(1/J323*(Y323/H323),"0")</f>
        <v/>
      </c>
    </row>
    <row r="324">
      <c r="A324" s="801" t="n"/>
      <c r="B324" s="800" t="n"/>
      <c r="C324" s="800" t="n"/>
      <c r="D324" s="800" t="n"/>
      <c r="E324" s="800" t="n"/>
      <c r="F324" s="800" t="n"/>
      <c r="G324" s="800" t="n"/>
      <c r="H324" s="800" t="n"/>
      <c r="I324" s="800" t="n"/>
      <c r="J324" s="800" t="n"/>
      <c r="K324" s="800" t="n"/>
      <c r="L324" s="800" t="n"/>
      <c r="M324" s="800" t="n"/>
      <c r="N324" s="800" t="n"/>
      <c r="O324" s="802" t="n"/>
      <c r="P324" s="796" t="inlineStr">
        <is>
          <t>Итого</t>
        </is>
      </c>
      <c r="Q324" s="793" t="n"/>
      <c r="R324" s="793" t="n"/>
      <c r="S324" s="793" t="n"/>
      <c r="T324" s="793" t="n"/>
      <c r="U324" s="793" t="n"/>
      <c r="V324" s="794" t="n"/>
      <c r="W324" s="37" t="inlineStr">
        <is>
          <t>кор</t>
        </is>
      </c>
      <c r="X324" s="1223">
        <f>IFERROR(X323/H323,"0")</f>
        <v/>
      </c>
      <c r="Y324" s="1223">
        <f>IFERROR(Y323/H323,"0")</f>
        <v/>
      </c>
      <c r="Z324" s="1223">
        <f>IFERROR(IF(Z323="",0,Z323),"0")</f>
        <v/>
      </c>
      <c r="AA324" s="1224" t="n"/>
      <c r="AB324" s="1224" t="n"/>
      <c r="AC324" s="1224" t="n"/>
    </row>
    <row r="325">
      <c r="A325" s="800" t="n"/>
      <c r="B325" s="800" t="n"/>
      <c r="C325" s="800" t="n"/>
      <c r="D325" s="800" t="n"/>
      <c r="E325" s="800" t="n"/>
      <c r="F325" s="800" t="n"/>
      <c r="G325" s="800" t="n"/>
      <c r="H325" s="800" t="n"/>
      <c r="I325" s="800" t="n"/>
      <c r="J325" s="800" t="n"/>
      <c r="K325" s="800" t="n"/>
      <c r="L325" s="800" t="n"/>
      <c r="M325" s="800" t="n"/>
      <c r="N325" s="800" t="n"/>
      <c r="O325" s="802" t="n"/>
      <c r="P325" s="796" t="inlineStr">
        <is>
          <t>Итого</t>
        </is>
      </c>
      <c r="Q325" s="793" t="n"/>
      <c r="R325" s="793" t="n"/>
      <c r="S325" s="793" t="n"/>
      <c r="T325" s="793" t="n"/>
      <c r="U325" s="793" t="n"/>
      <c r="V325" s="794" t="n"/>
      <c r="W325" s="37" t="inlineStr">
        <is>
          <t>кг</t>
        </is>
      </c>
      <c r="X325" s="1223">
        <f>IFERROR(SUM(X323:X323),"0")</f>
        <v/>
      </c>
      <c r="Y325" s="1223">
        <f>IFERROR(SUM(Y323:Y323),"0")</f>
        <v/>
      </c>
      <c r="Z325" s="37" t="n"/>
      <c r="AA325" s="1224" t="n"/>
      <c r="AB325" s="1224" t="n"/>
      <c r="AC325" s="1224" t="n"/>
    </row>
    <row r="326" ht="16.5" customHeight="1">
      <c r="A326" s="807" t="inlineStr">
        <is>
          <t>Царедворская EDLP/EDPP</t>
        </is>
      </c>
      <c r="B326" s="800" t="n"/>
      <c r="C326" s="800" t="n"/>
      <c r="D326" s="800" t="n"/>
      <c r="E326" s="800" t="n"/>
      <c r="F326" s="800" t="n"/>
      <c r="G326" s="800" t="n"/>
      <c r="H326" s="800" t="n"/>
      <c r="I326" s="800" t="n"/>
      <c r="J326" s="800" t="n"/>
      <c r="K326" s="800" t="n"/>
      <c r="L326" s="800" t="n"/>
      <c r="M326" s="800" t="n"/>
      <c r="N326" s="800" t="n"/>
      <c r="O326" s="800" t="n"/>
      <c r="P326" s="800" t="n"/>
      <c r="Q326" s="800" t="n"/>
      <c r="R326" s="800" t="n"/>
      <c r="S326" s="800" t="n"/>
      <c r="T326" s="800" t="n"/>
      <c r="U326" s="800" t="n"/>
      <c r="V326" s="800" t="n"/>
      <c r="W326" s="800" t="n"/>
      <c r="X326" s="800" t="n"/>
      <c r="Y326" s="800" t="n"/>
      <c r="Z326" s="800" t="n"/>
      <c r="AA326" s="807" t="n"/>
      <c r="AB326" s="807" t="n"/>
      <c r="AC326" s="807" t="n"/>
    </row>
    <row r="327" ht="14.25" customHeight="1">
      <c r="A327" s="799" t="inlineStr">
        <is>
          <t>Вареные колбасы</t>
        </is>
      </c>
      <c r="B327" s="800" t="n"/>
      <c r="C327" s="800" t="n"/>
      <c r="D327" s="800" t="n"/>
      <c r="E327" s="800" t="n"/>
      <c r="F327" s="800" t="n"/>
      <c r="G327" s="800" t="n"/>
      <c r="H327" s="800" t="n"/>
      <c r="I327" s="800" t="n"/>
      <c r="J327" s="800" t="n"/>
      <c r="K327" s="800" t="n"/>
      <c r="L327" s="800" t="n"/>
      <c r="M327" s="800" t="n"/>
      <c r="N327" s="800" t="n"/>
      <c r="O327" s="800" t="n"/>
      <c r="P327" s="800" t="n"/>
      <c r="Q327" s="800" t="n"/>
      <c r="R327" s="800" t="n"/>
      <c r="S327" s="800" t="n"/>
      <c r="T327" s="800" t="n"/>
      <c r="U327" s="800" t="n"/>
      <c r="V327" s="800" t="n"/>
      <c r="W327" s="800" t="n"/>
      <c r="X327" s="800" t="n"/>
      <c r="Y327" s="800" t="n"/>
      <c r="Z327" s="800" t="n"/>
      <c r="AA327" s="799" t="n"/>
      <c r="AB327" s="799" t="n"/>
      <c r="AC327" s="799" t="n"/>
    </row>
    <row r="328" ht="27" customHeight="1">
      <c r="A328" s="54" t="inlineStr">
        <is>
          <t>SU002616</t>
        </is>
      </c>
      <c r="B328" s="54" t="inlineStr">
        <is>
          <t>P002950</t>
        </is>
      </c>
      <c r="C328" s="31" t="n">
        <v>4301011353</v>
      </c>
      <c r="D328" s="782" t="n">
        <v>4607091389807</v>
      </c>
      <c r="E328" s="783" t="n"/>
      <c r="F328" s="1220" t="n">
        <v>0.4</v>
      </c>
      <c r="G328" s="32" t="n">
        <v>10</v>
      </c>
      <c r="H328" s="1220" t="n">
        <v>4</v>
      </c>
      <c r="I328" s="1220" t="n">
        <v>4.21</v>
      </c>
      <c r="J328" s="32" t="n">
        <v>132</v>
      </c>
      <c r="K328" s="32" t="inlineStr">
        <is>
          <t>12</t>
        </is>
      </c>
      <c r="L328" s="32" t="n"/>
      <c r="M328" s="33" t="inlineStr">
        <is>
          <t>СК1</t>
        </is>
      </c>
      <c r="N328" s="33" t="n"/>
      <c r="O328" s="32" t="n">
        <v>55</v>
      </c>
      <c r="P328" s="1187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/>
      </c>
      <c r="Q328" s="785" t="n"/>
      <c r="R328" s="785" t="n"/>
      <c r="S328" s="785" t="n"/>
      <c r="T328" s="786" t="n"/>
      <c r="U328" s="34" t="n"/>
      <c r="V328" s="34" t="n"/>
      <c r="W328" s="35" t="inlineStr">
        <is>
          <t>кг</t>
        </is>
      </c>
      <c r="X328" s="1221" t="n">
        <v>0</v>
      </c>
      <c r="Y328" s="1222">
        <f>IFERROR(IF(X328="",0,CEILING((X328/$H328),1)*$H328),"")</f>
        <v/>
      </c>
      <c r="Z328" s="36">
        <f>IFERROR(IF(Y328=0,"",ROUNDUP(Y328/H328,0)*0.00902),"")</f>
        <v/>
      </c>
      <c r="AA328" s="56" t="n"/>
      <c r="AB328" s="57" t="n"/>
      <c r="AC328" s="405" t="inlineStr">
        <is>
          <t>ЕАЭС N RU Д-RU.РА03.В.34335/22, ЕАЭС N RU Д-RU.РА03.В.34702/22</t>
        </is>
      </c>
      <c r="AG328" s="64" t="n"/>
      <c r="AJ328" s="68" t="n"/>
      <c r="AK328" s="68" t="n">
        <v>0</v>
      </c>
      <c r="BB328" s="406" t="inlineStr">
        <is>
          <t>КИ</t>
        </is>
      </c>
      <c r="BM328" s="64">
        <f>IFERROR(X328*I328/H328,"0")</f>
        <v/>
      </c>
      <c r="BN328" s="64">
        <f>IFERROR(Y328*I328/H328,"0")</f>
        <v/>
      </c>
      <c r="BO328" s="64">
        <f>IFERROR(1/J328*(X328/H328),"0")</f>
        <v/>
      </c>
      <c r="BP328" s="64">
        <f>IFERROR(1/J328*(Y328/H328),"0")</f>
        <v/>
      </c>
    </row>
    <row r="329">
      <c r="A329" s="801" t="n"/>
      <c r="B329" s="800" t="n"/>
      <c r="C329" s="800" t="n"/>
      <c r="D329" s="800" t="n"/>
      <c r="E329" s="800" t="n"/>
      <c r="F329" s="800" t="n"/>
      <c r="G329" s="800" t="n"/>
      <c r="H329" s="800" t="n"/>
      <c r="I329" s="800" t="n"/>
      <c r="J329" s="800" t="n"/>
      <c r="K329" s="800" t="n"/>
      <c r="L329" s="800" t="n"/>
      <c r="M329" s="800" t="n"/>
      <c r="N329" s="800" t="n"/>
      <c r="O329" s="802" t="n"/>
      <c r="P329" s="796" t="inlineStr">
        <is>
          <t>Итого</t>
        </is>
      </c>
      <c r="Q329" s="793" t="n"/>
      <c r="R329" s="793" t="n"/>
      <c r="S329" s="793" t="n"/>
      <c r="T329" s="793" t="n"/>
      <c r="U329" s="793" t="n"/>
      <c r="V329" s="794" t="n"/>
      <c r="W329" s="37" t="inlineStr">
        <is>
          <t>кор</t>
        </is>
      </c>
      <c r="X329" s="1223">
        <f>IFERROR(X328/H328,"0")</f>
        <v/>
      </c>
      <c r="Y329" s="1223">
        <f>IFERROR(Y328/H328,"0")</f>
        <v/>
      </c>
      <c r="Z329" s="1223">
        <f>IFERROR(IF(Z328="",0,Z328),"0")</f>
        <v/>
      </c>
      <c r="AA329" s="1224" t="n"/>
      <c r="AB329" s="1224" t="n"/>
      <c r="AC329" s="1224" t="n"/>
    </row>
    <row r="330">
      <c r="A330" s="800" t="n"/>
      <c r="B330" s="800" t="n"/>
      <c r="C330" s="800" t="n"/>
      <c r="D330" s="800" t="n"/>
      <c r="E330" s="800" t="n"/>
      <c r="F330" s="800" t="n"/>
      <c r="G330" s="800" t="n"/>
      <c r="H330" s="800" t="n"/>
      <c r="I330" s="800" t="n"/>
      <c r="J330" s="800" t="n"/>
      <c r="K330" s="800" t="n"/>
      <c r="L330" s="800" t="n"/>
      <c r="M330" s="800" t="n"/>
      <c r="N330" s="800" t="n"/>
      <c r="O330" s="802" t="n"/>
      <c r="P330" s="796" t="inlineStr">
        <is>
          <t>Итого</t>
        </is>
      </c>
      <c r="Q330" s="793" t="n"/>
      <c r="R330" s="793" t="n"/>
      <c r="S330" s="793" t="n"/>
      <c r="T330" s="793" t="n"/>
      <c r="U330" s="793" t="n"/>
      <c r="V330" s="794" t="n"/>
      <c r="W330" s="37" t="inlineStr">
        <is>
          <t>кг</t>
        </is>
      </c>
      <c r="X330" s="1223">
        <f>IFERROR(SUM(X328:X328),"0")</f>
        <v/>
      </c>
      <c r="Y330" s="1223">
        <f>IFERROR(SUM(Y328:Y328),"0")</f>
        <v/>
      </c>
      <c r="Z330" s="37" t="n"/>
      <c r="AA330" s="1224" t="n"/>
      <c r="AB330" s="1224" t="n"/>
      <c r="AC330" s="1224" t="n"/>
    </row>
    <row r="331" ht="14.25" customHeight="1">
      <c r="A331" s="799" t="inlineStr">
        <is>
          <t>Копченые колбасы</t>
        </is>
      </c>
      <c r="B331" s="800" t="n"/>
      <c r="C331" s="800" t="n"/>
      <c r="D331" s="800" t="n"/>
      <c r="E331" s="800" t="n"/>
      <c r="F331" s="800" t="n"/>
      <c r="G331" s="800" t="n"/>
      <c r="H331" s="800" t="n"/>
      <c r="I331" s="800" t="n"/>
      <c r="J331" s="800" t="n"/>
      <c r="K331" s="800" t="n"/>
      <c r="L331" s="800" t="n"/>
      <c r="M331" s="800" t="n"/>
      <c r="N331" s="800" t="n"/>
      <c r="O331" s="800" t="n"/>
      <c r="P331" s="800" t="n"/>
      <c r="Q331" s="800" t="n"/>
      <c r="R331" s="800" t="n"/>
      <c r="S331" s="800" t="n"/>
      <c r="T331" s="800" t="n"/>
      <c r="U331" s="800" t="n"/>
      <c r="V331" s="800" t="n"/>
      <c r="W331" s="800" t="n"/>
      <c r="X331" s="800" t="n"/>
      <c r="Y331" s="800" t="n"/>
      <c r="Z331" s="800" t="n"/>
      <c r="AA331" s="799" t="n"/>
      <c r="AB331" s="799" t="n"/>
      <c r="AC331" s="799" t="n"/>
    </row>
    <row r="332" ht="27" customHeight="1">
      <c r="A332" s="54" t="inlineStr">
        <is>
          <t>SU002699</t>
        </is>
      </c>
      <c r="B332" s="54" t="inlineStr">
        <is>
          <t>P003073</t>
        </is>
      </c>
      <c r="C332" s="31" t="n">
        <v>4301031164</v>
      </c>
      <c r="D332" s="782" t="n">
        <v>4680115880481</v>
      </c>
      <c r="E332" s="783" t="n"/>
      <c r="F332" s="1220" t="n">
        <v>0.28</v>
      </c>
      <c r="G332" s="32" t="n">
        <v>6</v>
      </c>
      <c r="H332" s="1220" t="n">
        <v>1.68</v>
      </c>
      <c r="I332" s="1220" t="n">
        <v>1.78</v>
      </c>
      <c r="J332" s="32" t="n">
        <v>234</v>
      </c>
      <c r="K332" s="32" t="inlineStr">
        <is>
          <t>18</t>
        </is>
      </c>
      <c r="L332" s="32" t="n"/>
      <c r="M332" s="33" t="inlineStr">
        <is>
          <t>СК2</t>
        </is>
      </c>
      <c r="N332" s="33" t="n"/>
      <c r="O332" s="32" t="n">
        <v>40</v>
      </c>
      <c r="P332" s="989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/>
      </c>
      <c r="Q332" s="785" t="n"/>
      <c r="R332" s="785" t="n"/>
      <c r="S332" s="785" t="n"/>
      <c r="T332" s="786" t="n"/>
      <c r="U332" s="34" t="n"/>
      <c r="V332" s="34" t="n"/>
      <c r="W332" s="35" t="inlineStr">
        <is>
          <t>кг</t>
        </is>
      </c>
      <c r="X332" s="1221" t="n">
        <v>0</v>
      </c>
      <c r="Y332" s="1222">
        <f>IFERROR(IF(X332="",0,CEILING((X332/$H332),1)*$H332),"")</f>
        <v/>
      </c>
      <c r="Z332" s="36">
        <f>IFERROR(IF(Y332=0,"",ROUNDUP(Y332/H332,0)*0.00502),"")</f>
        <v/>
      </c>
      <c r="AA332" s="56" t="n"/>
      <c r="AB332" s="57" t="n"/>
      <c r="AC332" s="407" t="inlineStr">
        <is>
          <t>ЕАЭС N RU Д-RU.РА06.В.77461/22</t>
        </is>
      </c>
      <c r="AG332" s="64" t="n"/>
      <c r="AJ332" s="68" t="n"/>
      <c r="AK332" s="68" t="n">
        <v>0</v>
      </c>
      <c r="BB332" s="408" t="inlineStr">
        <is>
          <t>КИ</t>
        </is>
      </c>
      <c r="BM332" s="64">
        <f>IFERROR(X332*I332/H332,"0")</f>
        <v/>
      </c>
      <c r="BN332" s="64">
        <f>IFERROR(Y332*I332/H332,"0")</f>
        <v/>
      </c>
      <c r="BO332" s="64">
        <f>IFERROR(1/J332*(X332/H332),"0")</f>
        <v/>
      </c>
      <c r="BP332" s="64">
        <f>IFERROR(1/J332*(Y332/H332),"0")</f>
        <v/>
      </c>
    </row>
    <row r="333">
      <c r="A333" s="801" t="n"/>
      <c r="B333" s="800" t="n"/>
      <c r="C333" s="800" t="n"/>
      <c r="D333" s="800" t="n"/>
      <c r="E333" s="800" t="n"/>
      <c r="F333" s="800" t="n"/>
      <c r="G333" s="800" t="n"/>
      <c r="H333" s="800" t="n"/>
      <c r="I333" s="800" t="n"/>
      <c r="J333" s="800" t="n"/>
      <c r="K333" s="800" t="n"/>
      <c r="L333" s="800" t="n"/>
      <c r="M333" s="800" t="n"/>
      <c r="N333" s="800" t="n"/>
      <c r="O333" s="802" t="n"/>
      <c r="P333" s="796" t="inlineStr">
        <is>
          <t>Итого</t>
        </is>
      </c>
      <c r="Q333" s="793" t="n"/>
      <c r="R333" s="793" t="n"/>
      <c r="S333" s="793" t="n"/>
      <c r="T333" s="793" t="n"/>
      <c r="U333" s="793" t="n"/>
      <c r="V333" s="794" t="n"/>
      <c r="W333" s="37" t="inlineStr">
        <is>
          <t>кор</t>
        </is>
      </c>
      <c r="X333" s="1223">
        <f>IFERROR(X332/H332,"0")</f>
        <v/>
      </c>
      <c r="Y333" s="1223">
        <f>IFERROR(Y332/H332,"0")</f>
        <v/>
      </c>
      <c r="Z333" s="1223">
        <f>IFERROR(IF(Z332="",0,Z332),"0")</f>
        <v/>
      </c>
      <c r="AA333" s="1224" t="n"/>
      <c r="AB333" s="1224" t="n"/>
      <c r="AC333" s="1224" t="n"/>
    </row>
    <row r="334">
      <c r="A334" s="800" t="n"/>
      <c r="B334" s="800" t="n"/>
      <c r="C334" s="800" t="n"/>
      <c r="D334" s="800" t="n"/>
      <c r="E334" s="800" t="n"/>
      <c r="F334" s="800" t="n"/>
      <c r="G334" s="800" t="n"/>
      <c r="H334" s="800" t="n"/>
      <c r="I334" s="800" t="n"/>
      <c r="J334" s="800" t="n"/>
      <c r="K334" s="800" t="n"/>
      <c r="L334" s="800" t="n"/>
      <c r="M334" s="800" t="n"/>
      <c r="N334" s="800" t="n"/>
      <c r="O334" s="802" t="n"/>
      <c r="P334" s="796" t="inlineStr">
        <is>
          <t>Итого</t>
        </is>
      </c>
      <c r="Q334" s="793" t="n"/>
      <c r="R334" s="793" t="n"/>
      <c r="S334" s="793" t="n"/>
      <c r="T334" s="793" t="n"/>
      <c r="U334" s="793" t="n"/>
      <c r="V334" s="794" t="n"/>
      <c r="W334" s="37" t="inlineStr">
        <is>
          <t>кг</t>
        </is>
      </c>
      <c r="X334" s="1223">
        <f>IFERROR(SUM(X332:X332),"0")</f>
        <v/>
      </c>
      <c r="Y334" s="1223">
        <f>IFERROR(SUM(Y332:Y332),"0")</f>
        <v/>
      </c>
      <c r="Z334" s="37" t="n"/>
      <c r="AA334" s="1224" t="n"/>
      <c r="AB334" s="1224" t="n"/>
      <c r="AC334" s="1224" t="n"/>
    </row>
    <row r="335" ht="14.25" customHeight="1">
      <c r="A335" s="799" t="inlineStr">
        <is>
          <t>Сосиски</t>
        </is>
      </c>
      <c r="B335" s="800" t="n"/>
      <c r="C335" s="800" t="n"/>
      <c r="D335" s="800" t="n"/>
      <c r="E335" s="800" t="n"/>
      <c r="F335" s="800" t="n"/>
      <c r="G335" s="800" t="n"/>
      <c r="H335" s="800" t="n"/>
      <c r="I335" s="800" t="n"/>
      <c r="J335" s="800" t="n"/>
      <c r="K335" s="800" t="n"/>
      <c r="L335" s="800" t="n"/>
      <c r="M335" s="800" t="n"/>
      <c r="N335" s="800" t="n"/>
      <c r="O335" s="800" t="n"/>
      <c r="P335" s="800" t="n"/>
      <c r="Q335" s="800" t="n"/>
      <c r="R335" s="800" t="n"/>
      <c r="S335" s="800" t="n"/>
      <c r="T335" s="800" t="n"/>
      <c r="U335" s="800" t="n"/>
      <c r="V335" s="800" t="n"/>
      <c r="W335" s="800" t="n"/>
      <c r="X335" s="800" t="n"/>
      <c r="Y335" s="800" t="n"/>
      <c r="Z335" s="800" t="n"/>
      <c r="AA335" s="799" t="n"/>
      <c r="AB335" s="799" t="n"/>
      <c r="AC335" s="799" t="n"/>
    </row>
    <row r="336" ht="27" customHeight="1">
      <c r="A336" s="54" t="inlineStr">
        <is>
          <t>SU002723</t>
        </is>
      </c>
      <c r="B336" s="54" t="inlineStr">
        <is>
          <t>P003124</t>
        </is>
      </c>
      <c r="C336" s="31" t="n">
        <v>4301051344</v>
      </c>
      <c r="D336" s="782" t="n">
        <v>4680115880412</v>
      </c>
      <c r="E336" s="783" t="n"/>
      <c r="F336" s="1220" t="n">
        <v>0.33</v>
      </c>
      <c r="G336" s="32" t="n">
        <v>6</v>
      </c>
      <c r="H336" s="1220" t="n">
        <v>1.98</v>
      </c>
      <c r="I336" s="1220" t="n">
        <v>2.226</v>
      </c>
      <c r="J336" s="32" t="n">
        <v>182</v>
      </c>
      <c r="K336" s="32" t="inlineStr">
        <is>
          <t>14</t>
        </is>
      </c>
      <c r="L336" s="32" t="n"/>
      <c r="M336" s="33" t="inlineStr">
        <is>
          <t>СК3</t>
        </is>
      </c>
      <c r="N336" s="33" t="n"/>
      <c r="O336" s="32" t="n">
        <v>45</v>
      </c>
      <c r="P336" s="894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/>
      </c>
      <c r="Q336" s="785" t="n"/>
      <c r="R336" s="785" t="n"/>
      <c r="S336" s="785" t="n"/>
      <c r="T336" s="786" t="n"/>
      <c r="U336" s="34" t="n"/>
      <c r="V336" s="34" t="n"/>
      <c r="W336" s="35" t="inlineStr">
        <is>
          <t>кг</t>
        </is>
      </c>
      <c r="X336" s="1221" t="n">
        <v>0</v>
      </c>
      <c r="Y336" s="1222">
        <f>IFERROR(IF(X336="",0,CEILING((X336/$H336),1)*$H336),"")</f>
        <v/>
      </c>
      <c r="Z336" s="36">
        <f>IFERROR(IF(Y336=0,"",ROUNDUP(Y336/H336,0)*0.00651),"")</f>
        <v/>
      </c>
      <c r="AA336" s="56" t="n"/>
      <c r="AB336" s="57" t="n"/>
      <c r="AC336" s="409" t="inlineStr">
        <is>
          <t>ЕАЭС N RU Д-RU.РА07.В.83514/22</t>
        </is>
      </c>
      <c r="AG336" s="64" t="n"/>
      <c r="AJ336" s="68" t="n"/>
      <c r="AK336" s="68" t="n">
        <v>0</v>
      </c>
      <c r="BB336" s="410" t="inlineStr">
        <is>
          <t>КИ</t>
        </is>
      </c>
      <c r="BM336" s="64">
        <f>IFERROR(X336*I336/H336,"0")</f>
        <v/>
      </c>
      <c r="BN336" s="64">
        <f>IFERROR(Y336*I336/H336,"0")</f>
        <v/>
      </c>
      <c r="BO336" s="64">
        <f>IFERROR(1/J336*(X336/H336),"0")</f>
        <v/>
      </c>
      <c r="BP336" s="64">
        <f>IFERROR(1/J336*(Y336/H336),"0")</f>
        <v/>
      </c>
    </row>
    <row r="337" ht="27" customHeight="1">
      <c r="A337" s="54" t="inlineStr">
        <is>
          <t>SU002619</t>
        </is>
      </c>
      <c r="B337" s="54" t="inlineStr">
        <is>
          <t>P002953</t>
        </is>
      </c>
      <c r="C337" s="31" t="n">
        <v>4301051277</v>
      </c>
      <c r="D337" s="782" t="n">
        <v>4680115880511</v>
      </c>
      <c r="E337" s="783" t="n"/>
      <c r="F337" s="1220" t="n">
        <v>0.33</v>
      </c>
      <c r="G337" s="32" t="n">
        <v>6</v>
      </c>
      <c r="H337" s="1220" t="n">
        <v>1.98</v>
      </c>
      <c r="I337" s="1220" t="n">
        <v>2.16</v>
      </c>
      <c r="J337" s="32" t="n">
        <v>182</v>
      </c>
      <c r="K337" s="32" t="inlineStr">
        <is>
          <t>14</t>
        </is>
      </c>
      <c r="L337" s="32" t="n"/>
      <c r="M337" s="33" t="inlineStr">
        <is>
          <t>СК3</t>
        </is>
      </c>
      <c r="N337" s="33" t="n"/>
      <c r="O337" s="32" t="n">
        <v>40</v>
      </c>
      <c r="P337" s="1170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/>
      </c>
      <c r="Q337" s="785" t="n"/>
      <c r="R337" s="785" t="n"/>
      <c r="S337" s="785" t="n"/>
      <c r="T337" s="786" t="n"/>
      <c r="U337" s="34" t="n"/>
      <c r="V337" s="34" t="n"/>
      <c r="W337" s="35" t="inlineStr">
        <is>
          <t>кг</t>
        </is>
      </c>
      <c r="X337" s="1221" t="n">
        <v>0</v>
      </c>
      <c r="Y337" s="1222">
        <f>IFERROR(IF(X337="",0,CEILING((X337/$H337),1)*$H337),"")</f>
        <v/>
      </c>
      <c r="Z337" s="36">
        <f>IFERROR(IF(Y337=0,"",ROUNDUP(Y337/H337,0)*0.00651),"")</f>
        <v/>
      </c>
      <c r="AA337" s="56" t="n"/>
      <c r="AB337" s="57" t="n"/>
      <c r="AC337" s="411" t="inlineStr">
        <is>
          <t>ЕАЭС N RU Д-RU.РА03.В.86382/22</t>
        </is>
      </c>
      <c r="AG337" s="64" t="n"/>
      <c r="AJ337" s="68" t="n"/>
      <c r="AK337" s="68" t="n">
        <v>0</v>
      </c>
      <c r="BB337" s="412" t="inlineStr">
        <is>
          <t>КИ</t>
        </is>
      </c>
      <c r="BM337" s="64">
        <f>IFERROR(X337*I337/H337,"0")</f>
        <v/>
      </c>
      <c r="BN337" s="64">
        <f>IFERROR(Y337*I337/H337,"0")</f>
        <v/>
      </c>
      <c r="BO337" s="64">
        <f>IFERROR(1/J337*(X337/H337),"0")</f>
        <v/>
      </c>
      <c r="BP337" s="64">
        <f>IFERROR(1/J337*(Y337/H337),"0")</f>
        <v/>
      </c>
    </row>
    <row r="338">
      <c r="A338" s="801" t="n"/>
      <c r="B338" s="800" t="n"/>
      <c r="C338" s="800" t="n"/>
      <c r="D338" s="800" t="n"/>
      <c r="E338" s="800" t="n"/>
      <c r="F338" s="800" t="n"/>
      <c r="G338" s="800" t="n"/>
      <c r="H338" s="800" t="n"/>
      <c r="I338" s="800" t="n"/>
      <c r="J338" s="800" t="n"/>
      <c r="K338" s="800" t="n"/>
      <c r="L338" s="800" t="n"/>
      <c r="M338" s="800" t="n"/>
      <c r="N338" s="800" t="n"/>
      <c r="O338" s="802" t="n"/>
      <c r="P338" s="796" t="inlineStr">
        <is>
          <t>Итого</t>
        </is>
      </c>
      <c r="Q338" s="793" t="n"/>
      <c r="R338" s="793" t="n"/>
      <c r="S338" s="793" t="n"/>
      <c r="T338" s="793" t="n"/>
      <c r="U338" s="793" t="n"/>
      <c r="V338" s="794" t="n"/>
      <c r="W338" s="37" t="inlineStr">
        <is>
          <t>кор</t>
        </is>
      </c>
      <c r="X338" s="1223">
        <f>IFERROR(X336/H336,"0")+IFERROR(X337/H337,"0")</f>
        <v/>
      </c>
      <c r="Y338" s="1223">
        <f>IFERROR(Y336/H336,"0")+IFERROR(Y337/H337,"0")</f>
        <v/>
      </c>
      <c r="Z338" s="1223">
        <f>IFERROR(IF(Z336="",0,Z336),"0")+IFERROR(IF(Z337="",0,Z337),"0")</f>
        <v/>
      </c>
      <c r="AA338" s="1224" t="n"/>
      <c r="AB338" s="1224" t="n"/>
      <c r="AC338" s="1224" t="n"/>
    </row>
    <row r="339">
      <c r="A339" s="800" t="n"/>
      <c r="B339" s="800" t="n"/>
      <c r="C339" s="800" t="n"/>
      <c r="D339" s="800" t="n"/>
      <c r="E339" s="800" t="n"/>
      <c r="F339" s="800" t="n"/>
      <c r="G339" s="800" t="n"/>
      <c r="H339" s="800" t="n"/>
      <c r="I339" s="800" t="n"/>
      <c r="J339" s="800" t="n"/>
      <c r="K339" s="800" t="n"/>
      <c r="L339" s="800" t="n"/>
      <c r="M339" s="800" t="n"/>
      <c r="N339" s="800" t="n"/>
      <c r="O339" s="802" t="n"/>
      <c r="P339" s="796" t="inlineStr">
        <is>
          <t>Итого</t>
        </is>
      </c>
      <c r="Q339" s="793" t="n"/>
      <c r="R339" s="793" t="n"/>
      <c r="S339" s="793" t="n"/>
      <c r="T339" s="793" t="n"/>
      <c r="U339" s="793" t="n"/>
      <c r="V339" s="794" t="n"/>
      <c r="W339" s="37" t="inlineStr">
        <is>
          <t>кг</t>
        </is>
      </c>
      <c r="X339" s="1223">
        <f>IFERROR(SUM(X336:X337),"0")</f>
        <v/>
      </c>
      <c r="Y339" s="1223">
        <f>IFERROR(SUM(Y336:Y337),"0")</f>
        <v/>
      </c>
      <c r="Z339" s="37" t="n"/>
      <c r="AA339" s="1224" t="n"/>
      <c r="AB339" s="1224" t="n"/>
      <c r="AC339" s="1224" t="n"/>
    </row>
    <row r="340" ht="16.5" customHeight="1">
      <c r="A340" s="807" t="inlineStr">
        <is>
          <t>Филедворская EDLP/EDPP</t>
        </is>
      </c>
      <c r="B340" s="800" t="n"/>
      <c r="C340" s="800" t="n"/>
      <c r="D340" s="800" t="n"/>
      <c r="E340" s="800" t="n"/>
      <c r="F340" s="800" t="n"/>
      <c r="G340" s="800" t="n"/>
      <c r="H340" s="800" t="n"/>
      <c r="I340" s="800" t="n"/>
      <c r="J340" s="800" t="n"/>
      <c r="K340" s="800" t="n"/>
      <c r="L340" s="800" t="n"/>
      <c r="M340" s="800" t="n"/>
      <c r="N340" s="800" t="n"/>
      <c r="O340" s="800" t="n"/>
      <c r="P340" s="800" t="n"/>
      <c r="Q340" s="800" t="n"/>
      <c r="R340" s="800" t="n"/>
      <c r="S340" s="800" t="n"/>
      <c r="T340" s="800" t="n"/>
      <c r="U340" s="800" t="n"/>
      <c r="V340" s="800" t="n"/>
      <c r="W340" s="800" t="n"/>
      <c r="X340" s="800" t="n"/>
      <c r="Y340" s="800" t="n"/>
      <c r="Z340" s="800" t="n"/>
      <c r="AA340" s="807" t="n"/>
      <c r="AB340" s="807" t="n"/>
      <c r="AC340" s="807" t="n"/>
    </row>
    <row r="341" ht="14.25" customHeight="1">
      <c r="A341" s="799" t="inlineStr">
        <is>
          <t>Вареные колбасы</t>
        </is>
      </c>
      <c r="B341" s="800" t="n"/>
      <c r="C341" s="800" t="n"/>
      <c r="D341" s="800" t="n"/>
      <c r="E341" s="800" t="n"/>
      <c r="F341" s="800" t="n"/>
      <c r="G341" s="800" t="n"/>
      <c r="H341" s="800" t="n"/>
      <c r="I341" s="800" t="n"/>
      <c r="J341" s="800" t="n"/>
      <c r="K341" s="800" t="n"/>
      <c r="L341" s="800" t="n"/>
      <c r="M341" s="800" t="n"/>
      <c r="N341" s="800" t="n"/>
      <c r="O341" s="800" t="n"/>
      <c r="P341" s="800" t="n"/>
      <c r="Q341" s="800" t="n"/>
      <c r="R341" s="800" t="n"/>
      <c r="S341" s="800" t="n"/>
      <c r="T341" s="800" t="n"/>
      <c r="U341" s="800" t="n"/>
      <c r="V341" s="800" t="n"/>
      <c r="W341" s="800" t="n"/>
      <c r="X341" s="800" t="n"/>
      <c r="Y341" s="800" t="n"/>
      <c r="Z341" s="800" t="n"/>
      <c r="AA341" s="799" t="n"/>
      <c r="AB341" s="799" t="n"/>
      <c r="AC341" s="799" t="n"/>
    </row>
    <row r="342" ht="27" customHeight="1">
      <c r="A342" s="54" t="inlineStr">
        <is>
          <t>SU003051</t>
        </is>
      </c>
      <c r="B342" s="54" t="inlineStr">
        <is>
          <t>P003605</t>
        </is>
      </c>
      <c r="C342" s="31" t="n">
        <v>4301011593</v>
      </c>
      <c r="D342" s="782" t="n">
        <v>4680115882973</v>
      </c>
      <c r="E342" s="783" t="n"/>
      <c r="F342" s="1220" t="n">
        <v>0.7</v>
      </c>
      <c r="G342" s="32" t="n">
        <v>6</v>
      </c>
      <c r="H342" s="1220" t="n">
        <v>4.2</v>
      </c>
      <c r="I342" s="1220" t="n">
        <v>4.56</v>
      </c>
      <c r="J342" s="32" t="n">
        <v>104</v>
      </c>
      <c r="K342" s="32" t="inlineStr">
        <is>
          <t>8</t>
        </is>
      </c>
      <c r="L342" s="32" t="n"/>
      <c r="M342" s="33" t="inlineStr">
        <is>
          <t>СК1</t>
        </is>
      </c>
      <c r="N342" s="33" t="n"/>
      <c r="O342" s="32" t="n">
        <v>55</v>
      </c>
      <c r="P342" s="858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/>
      </c>
      <c r="Q342" s="785" t="n"/>
      <c r="R342" s="785" t="n"/>
      <c r="S342" s="785" t="n"/>
      <c r="T342" s="786" t="n"/>
      <c r="U342" s="34" t="n"/>
      <c r="V342" s="34" t="n"/>
      <c r="W342" s="35" t="inlineStr">
        <is>
          <t>кг</t>
        </is>
      </c>
      <c r="X342" s="1221" t="n">
        <v>0</v>
      </c>
      <c r="Y342" s="1222">
        <f>IFERROR(IF(X342="",0,CEILING((X342/$H342),1)*$H342),"")</f>
        <v/>
      </c>
      <c r="Z342" s="36">
        <f>IFERROR(IF(Y342=0,"",ROUNDUP(Y342/H342,0)*0.01196),"")</f>
        <v/>
      </c>
      <c r="AA342" s="56" t="n"/>
      <c r="AB342" s="57" t="n"/>
      <c r="AC342" s="413" t="inlineStr">
        <is>
          <t>ЕАЭС N RU Д-RU.РА05.В.81895/23, ЕАЭС N RU Д-RU.РА05.В.81953/23</t>
        </is>
      </c>
      <c r="AG342" s="64" t="n"/>
      <c r="AJ342" s="68" t="n"/>
      <c r="AK342" s="68" t="n">
        <v>0</v>
      </c>
      <c r="BB342" s="414" t="inlineStr">
        <is>
          <t>КИ</t>
        </is>
      </c>
      <c r="BM342" s="64">
        <f>IFERROR(X342*I342/H342,"0")</f>
        <v/>
      </c>
      <c r="BN342" s="64">
        <f>IFERROR(Y342*I342/H342,"0")</f>
        <v/>
      </c>
      <c r="BO342" s="64">
        <f>IFERROR(1/J342*(X342/H342),"0")</f>
        <v/>
      </c>
      <c r="BP342" s="64">
        <f>IFERROR(1/J342*(Y342/H342),"0")</f>
        <v/>
      </c>
    </row>
    <row r="343">
      <c r="A343" s="801" t="n"/>
      <c r="B343" s="800" t="n"/>
      <c r="C343" s="800" t="n"/>
      <c r="D343" s="800" t="n"/>
      <c r="E343" s="800" t="n"/>
      <c r="F343" s="800" t="n"/>
      <c r="G343" s="800" t="n"/>
      <c r="H343" s="800" t="n"/>
      <c r="I343" s="800" t="n"/>
      <c r="J343" s="800" t="n"/>
      <c r="K343" s="800" t="n"/>
      <c r="L343" s="800" t="n"/>
      <c r="M343" s="800" t="n"/>
      <c r="N343" s="800" t="n"/>
      <c r="O343" s="802" t="n"/>
      <c r="P343" s="796" t="inlineStr">
        <is>
          <t>Итого</t>
        </is>
      </c>
      <c r="Q343" s="793" t="n"/>
      <c r="R343" s="793" t="n"/>
      <c r="S343" s="793" t="n"/>
      <c r="T343" s="793" t="n"/>
      <c r="U343" s="793" t="n"/>
      <c r="V343" s="794" t="n"/>
      <c r="W343" s="37" t="inlineStr">
        <is>
          <t>кор</t>
        </is>
      </c>
      <c r="X343" s="1223">
        <f>IFERROR(X342/H342,"0")</f>
        <v/>
      </c>
      <c r="Y343" s="1223">
        <f>IFERROR(Y342/H342,"0")</f>
        <v/>
      </c>
      <c r="Z343" s="1223">
        <f>IFERROR(IF(Z342="",0,Z342),"0")</f>
        <v/>
      </c>
      <c r="AA343" s="1224" t="n"/>
      <c r="AB343" s="1224" t="n"/>
      <c r="AC343" s="1224" t="n"/>
    </row>
    <row r="344">
      <c r="A344" s="800" t="n"/>
      <c r="B344" s="800" t="n"/>
      <c r="C344" s="800" t="n"/>
      <c r="D344" s="800" t="n"/>
      <c r="E344" s="800" t="n"/>
      <c r="F344" s="800" t="n"/>
      <c r="G344" s="800" t="n"/>
      <c r="H344" s="800" t="n"/>
      <c r="I344" s="800" t="n"/>
      <c r="J344" s="800" t="n"/>
      <c r="K344" s="800" t="n"/>
      <c r="L344" s="800" t="n"/>
      <c r="M344" s="800" t="n"/>
      <c r="N344" s="800" t="n"/>
      <c r="O344" s="802" t="n"/>
      <c r="P344" s="796" t="inlineStr">
        <is>
          <t>Итого</t>
        </is>
      </c>
      <c r="Q344" s="793" t="n"/>
      <c r="R344" s="793" t="n"/>
      <c r="S344" s="793" t="n"/>
      <c r="T344" s="793" t="n"/>
      <c r="U344" s="793" t="n"/>
      <c r="V344" s="794" t="n"/>
      <c r="W344" s="37" t="inlineStr">
        <is>
          <t>кг</t>
        </is>
      </c>
      <c r="X344" s="1223">
        <f>IFERROR(SUM(X342:X342),"0")</f>
        <v/>
      </c>
      <c r="Y344" s="1223">
        <f>IFERROR(SUM(Y342:Y342),"0")</f>
        <v/>
      </c>
      <c r="Z344" s="37" t="n"/>
      <c r="AA344" s="1224" t="n"/>
      <c r="AB344" s="1224" t="n"/>
      <c r="AC344" s="1224" t="n"/>
    </row>
    <row r="345" ht="14.25" customHeight="1">
      <c r="A345" s="799" t="inlineStr">
        <is>
          <t>Копченые колбасы</t>
        </is>
      </c>
      <c r="B345" s="800" t="n"/>
      <c r="C345" s="800" t="n"/>
      <c r="D345" s="800" t="n"/>
      <c r="E345" s="800" t="n"/>
      <c r="F345" s="800" t="n"/>
      <c r="G345" s="800" t="n"/>
      <c r="H345" s="800" t="n"/>
      <c r="I345" s="800" t="n"/>
      <c r="J345" s="800" t="n"/>
      <c r="K345" s="800" t="n"/>
      <c r="L345" s="800" t="n"/>
      <c r="M345" s="800" t="n"/>
      <c r="N345" s="800" t="n"/>
      <c r="O345" s="800" t="n"/>
      <c r="P345" s="800" t="n"/>
      <c r="Q345" s="800" t="n"/>
      <c r="R345" s="800" t="n"/>
      <c r="S345" s="800" t="n"/>
      <c r="T345" s="800" t="n"/>
      <c r="U345" s="800" t="n"/>
      <c r="V345" s="800" t="n"/>
      <c r="W345" s="800" t="n"/>
      <c r="X345" s="800" t="n"/>
      <c r="Y345" s="800" t="n"/>
      <c r="Z345" s="800" t="n"/>
      <c r="AA345" s="799" t="n"/>
      <c r="AB345" s="799" t="n"/>
      <c r="AC345" s="799" t="n"/>
    </row>
    <row r="346" ht="27" customHeight="1">
      <c r="A346" s="54" t="inlineStr">
        <is>
          <t>SU002617</t>
        </is>
      </c>
      <c r="B346" s="54" t="inlineStr">
        <is>
          <t>P004229</t>
        </is>
      </c>
      <c r="C346" s="31" t="n">
        <v>4301031305</v>
      </c>
      <c r="D346" s="782" t="n">
        <v>4607091389845</v>
      </c>
      <c r="E346" s="783" t="n"/>
      <c r="F346" s="1220" t="n">
        <v>0.35</v>
      </c>
      <c r="G346" s="32" t="n">
        <v>6</v>
      </c>
      <c r="H346" s="1220" t="n">
        <v>2.1</v>
      </c>
      <c r="I346" s="1220" t="n">
        <v>2.2</v>
      </c>
      <c r="J346" s="32" t="n">
        <v>234</v>
      </c>
      <c r="K346" s="32" t="inlineStr">
        <is>
          <t>18</t>
        </is>
      </c>
      <c r="L346" s="32" t="n"/>
      <c r="M346" s="33" t="inlineStr">
        <is>
          <t>СК2</t>
        </is>
      </c>
      <c r="N346" s="33" t="n"/>
      <c r="O346" s="32" t="n">
        <v>40</v>
      </c>
      <c r="P346" s="920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/>
      </c>
      <c r="Q346" s="785" t="n"/>
      <c r="R346" s="785" t="n"/>
      <c r="S346" s="785" t="n"/>
      <c r="T346" s="786" t="n"/>
      <c r="U346" s="34" t="n"/>
      <c r="V346" s="34" t="n"/>
      <c r="W346" s="35" t="inlineStr">
        <is>
          <t>кг</t>
        </is>
      </c>
      <c r="X346" s="1221" t="n">
        <v>0</v>
      </c>
      <c r="Y346" s="1222">
        <f>IFERROR(IF(X346="",0,CEILING((X346/$H346),1)*$H346),"")</f>
        <v/>
      </c>
      <c r="Z346" s="36">
        <f>IFERROR(IF(Y346=0,"",ROUNDUP(Y346/H346,0)*0.00502),"")</f>
        <v/>
      </c>
      <c r="AA346" s="56" t="n"/>
      <c r="AB346" s="57" t="n"/>
      <c r="AC346" s="415" t="inlineStr">
        <is>
          <t>ЕАЭС N RU Д-RU.РА01.В.54243/24</t>
        </is>
      </c>
      <c r="AG346" s="64" t="n"/>
      <c r="AJ346" s="68" t="n"/>
      <c r="AK346" s="68" t="n">
        <v>0</v>
      </c>
      <c r="BB346" s="416" t="inlineStr">
        <is>
          <t>КИ</t>
        </is>
      </c>
      <c r="BM346" s="64">
        <f>IFERROR(X346*I346/H346,"0")</f>
        <v/>
      </c>
      <c r="BN346" s="64">
        <f>IFERROR(Y346*I346/H346,"0")</f>
        <v/>
      </c>
      <c r="BO346" s="64">
        <f>IFERROR(1/J346*(X346/H346),"0")</f>
        <v/>
      </c>
      <c r="BP346" s="64">
        <f>IFERROR(1/J346*(Y346/H346),"0")</f>
        <v/>
      </c>
    </row>
    <row r="347" ht="27" customHeight="1">
      <c r="A347" s="54" t="inlineStr">
        <is>
          <t>SU003084</t>
        </is>
      </c>
      <c r="B347" s="54" t="inlineStr">
        <is>
          <t>P004230</t>
        </is>
      </c>
      <c r="C347" s="31" t="n">
        <v>4301031306</v>
      </c>
      <c r="D347" s="782" t="n">
        <v>4680115882881</v>
      </c>
      <c r="E347" s="783" t="n"/>
      <c r="F347" s="1220" t="n">
        <v>0.28</v>
      </c>
      <c r="G347" s="32" t="n">
        <v>6</v>
      </c>
      <c r="H347" s="1220" t="n">
        <v>1.68</v>
      </c>
      <c r="I347" s="1220" t="n">
        <v>1.81</v>
      </c>
      <c r="J347" s="32" t="n">
        <v>234</v>
      </c>
      <c r="K347" s="32" t="inlineStr">
        <is>
          <t>18</t>
        </is>
      </c>
      <c r="L347" s="32" t="n"/>
      <c r="M347" s="33" t="inlineStr">
        <is>
          <t>СК2</t>
        </is>
      </c>
      <c r="N347" s="33" t="n"/>
      <c r="O347" s="32" t="n">
        <v>40</v>
      </c>
      <c r="P347" s="882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/>
      </c>
      <c r="Q347" s="785" t="n"/>
      <c r="R347" s="785" t="n"/>
      <c r="S347" s="785" t="n"/>
      <c r="T347" s="786" t="n"/>
      <c r="U347" s="34" t="n"/>
      <c r="V347" s="34" t="n"/>
      <c r="W347" s="35" t="inlineStr">
        <is>
          <t>кг</t>
        </is>
      </c>
      <c r="X347" s="1221" t="n">
        <v>0</v>
      </c>
      <c r="Y347" s="1222">
        <f>IFERROR(IF(X347="",0,CEILING((X347/$H347),1)*$H347),"")</f>
        <v/>
      </c>
      <c r="Z347" s="36">
        <f>IFERROR(IF(Y347=0,"",ROUNDUP(Y347/H347,0)*0.00502),"")</f>
        <v/>
      </c>
      <c r="AA347" s="56" t="n"/>
      <c r="AB347" s="57" t="n"/>
      <c r="AC347" s="417" t="inlineStr">
        <is>
          <t>ЕАЭС N RU Д-RU.РА01.В.54243/24</t>
        </is>
      </c>
      <c r="AG347" s="64" t="n"/>
      <c r="AJ347" s="68" t="n"/>
      <c r="AK347" s="68" t="n">
        <v>0</v>
      </c>
      <c r="BB347" s="418" t="inlineStr">
        <is>
          <t>КИ</t>
        </is>
      </c>
      <c r="BM347" s="64">
        <f>IFERROR(X347*I347/H347,"0")</f>
        <v/>
      </c>
      <c r="BN347" s="64">
        <f>IFERROR(Y347*I347/H347,"0")</f>
        <v/>
      </c>
      <c r="BO347" s="64">
        <f>IFERROR(1/J347*(X347/H347),"0")</f>
        <v/>
      </c>
      <c r="BP347" s="64">
        <f>IFERROR(1/J347*(Y347/H347),"0")</f>
        <v/>
      </c>
    </row>
    <row r="348">
      <c r="A348" s="801" t="n"/>
      <c r="B348" s="800" t="n"/>
      <c r="C348" s="800" t="n"/>
      <c r="D348" s="800" t="n"/>
      <c r="E348" s="800" t="n"/>
      <c r="F348" s="800" t="n"/>
      <c r="G348" s="800" t="n"/>
      <c r="H348" s="800" t="n"/>
      <c r="I348" s="800" t="n"/>
      <c r="J348" s="800" t="n"/>
      <c r="K348" s="800" t="n"/>
      <c r="L348" s="800" t="n"/>
      <c r="M348" s="800" t="n"/>
      <c r="N348" s="800" t="n"/>
      <c r="O348" s="802" t="n"/>
      <c r="P348" s="796" t="inlineStr">
        <is>
          <t>Итого</t>
        </is>
      </c>
      <c r="Q348" s="793" t="n"/>
      <c r="R348" s="793" t="n"/>
      <c r="S348" s="793" t="n"/>
      <c r="T348" s="793" t="n"/>
      <c r="U348" s="793" t="n"/>
      <c r="V348" s="794" t="n"/>
      <c r="W348" s="37" t="inlineStr">
        <is>
          <t>кор</t>
        </is>
      </c>
      <c r="X348" s="1223">
        <f>IFERROR(X346/H346,"0")+IFERROR(X347/H347,"0")</f>
        <v/>
      </c>
      <c r="Y348" s="1223">
        <f>IFERROR(Y346/H346,"0")+IFERROR(Y347/H347,"0")</f>
        <v/>
      </c>
      <c r="Z348" s="1223">
        <f>IFERROR(IF(Z346="",0,Z346),"0")+IFERROR(IF(Z347="",0,Z347),"0")</f>
        <v/>
      </c>
      <c r="AA348" s="1224" t="n"/>
      <c r="AB348" s="1224" t="n"/>
      <c r="AC348" s="1224" t="n"/>
    </row>
    <row r="349">
      <c r="A349" s="800" t="n"/>
      <c r="B349" s="800" t="n"/>
      <c r="C349" s="800" t="n"/>
      <c r="D349" s="800" t="n"/>
      <c r="E349" s="800" t="n"/>
      <c r="F349" s="800" t="n"/>
      <c r="G349" s="800" t="n"/>
      <c r="H349" s="800" t="n"/>
      <c r="I349" s="800" t="n"/>
      <c r="J349" s="800" t="n"/>
      <c r="K349" s="800" t="n"/>
      <c r="L349" s="800" t="n"/>
      <c r="M349" s="800" t="n"/>
      <c r="N349" s="800" t="n"/>
      <c r="O349" s="802" t="n"/>
      <c r="P349" s="796" t="inlineStr">
        <is>
          <t>Итого</t>
        </is>
      </c>
      <c r="Q349" s="793" t="n"/>
      <c r="R349" s="793" t="n"/>
      <c r="S349" s="793" t="n"/>
      <c r="T349" s="793" t="n"/>
      <c r="U349" s="793" t="n"/>
      <c r="V349" s="794" t="n"/>
      <c r="W349" s="37" t="inlineStr">
        <is>
          <t>кг</t>
        </is>
      </c>
      <c r="X349" s="1223">
        <f>IFERROR(SUM(X346:X347),"0")</f>
        <v/>
      </c>
      <c r="Y349" s="1223">
        <f>IFERROR(SUM(Y346:Y347),"0")</f>
        <v/>
      </c>
      <c r="Z349" s="37" t="n"/>
      <c r="AA349" s="1224" t="n"/>
      <c r="AB349" s="1224" t="n"/>
      <c r="AC349" s="1224" t="n"/>
    </row>
    <row r="350" ht="14.25" customHeight="1">
      <c r="A350" s="799" t="inlineStr">
        <is>
          <t>Сосиски</t>
        </is>
      </c>
      <c r="B350" s="800" t="n"/>
      <c r="C350" s="800" t="n"/>
      <c r="D350" s="800" t="n"/>
      <c r="E350" s="800" t="n"/>
      <c r="F350" s="800" t="n"/>
      <c r="G350" s="800" t="n"/>
      <c r="H350" s="800" t="n"/>
      <c r="I350" s="800" t="n"/>
      <c r="J350" s="800" t="n"/>
      <c r="K350" s="800" t="n"/>
      <c r="L350" s="800" t="n"/>
      <c r="M350" s="800" t="n"/>
      <c r="N350" s="800" t="n"/>
      <c r="O350" s="800" t="n"/>
      <c r="P350" s="800" t="n"/>
      <c r="Q350" s="800" t="n"/>
      <c r="R350" s="800" t="n"/>
      <c r="S350" s="800" t="n"/>
      <c r="T350" s="800" t="n"/>
      <c r="U350" s="800" t="n"/>
      <c r="V350" s="800" t="n"/>
      <c r="W350" s="800" t="n"/>
      <c r="X350" s="800" t="n"/>
      <c r="Y350" s="800" t="n"/>
      <c r="Z350" s="800" t="n"/>
      <c r="AA350" s="799" t="n"/>
      <c r="AB350" s="799" t="n"/>
      <c r="AC350" s="799" t="n"/>
    </row>
    <row r="351" ht="37.5" customHeight="1">
      <c r="A351" s="54" t="inlineStr">
        <is>
          <t>SU003053</t>
        </is>
      </c>
      <c r="B351" s="54" t="inlineStr">
        <is>
          <t>P003606</t>
        </is>
      </c>
      <c r="C351" s="31" t="n">
        <v>4301051517</v>
      </c>
      <c r="D351" s="782" t="n">
        <v>4680115883390</v>
      </c>
      <c r="E351" s="783" t="n"/>
      <c r="F351" s="1220" t="n">
        <v>0.3</v>
      </c>
      <c r="G351" s="32" t="n">
        <v>6</v>
      </c>
      <c r="H351" s="1220" t="n">
        <v>1.8</v>
      </c>
      <c r="I351" s="1220" t="n">
        <v>1.98</v>
      </c>
      <c r="J351" s="32" t="n">
        <v>182</v>
      </c>
      <c r="K351" s="32" t="inlineStr">
        <is>
          <t>14</t>
        </is>
      </c>
      <c r="L351" s="32" t="n"/>
      <c r="M351" s="33" t="inlineStr">
        <is>
          <t>СК2</t>
        </is>
      </c>
      <c r="N351" s="33" t="n"/>
      <c r="O351" s="32" t="n">
        <v>40</v>
      </c>
      <c r="P351" s="1098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/>
      </c>
      <c r="Q351" s="785" t="n"/>
      <c r="R351" s="785" t="n"/>
      <c r="S351" s="785" t="n"/>
      <c r="T351" s="786" t="n"/>
      <c r="U351" s="34" t="n"/>
      <c r="V351" s="34" t="n"/>
      <c r="W351" s="35" t="inlineStr">
        <is>
          <t>кг</t>
        </is>
      </c>
      <c r="X351" s="1221" t="n">
        <v>0</v>
      </c>
      <c r="Y351" s="1222">
        <f>IFERROR(IF(X351="",0,CEILING((X351/$H351),1)*$H351),"")</f>
        <v/>
      </c>
      <c r="Z351" s="36">
        <f>IFERROR(IF(Y351=0,"",ROUNDUP(Y351/H351,0)*0.00651),"")</f>
        <v/>
      </c>
      <c r="AA351" s="56" t="n"/>
      <c r="AB351" s="57" t="n"/>
      <c r="AC351" s="419" t="inlineStr">
        <is>
          <t>ЕАЭС N RU Д-RU.РА05.В.76026/23, ЕАЭС N RU Д-RU.РА05.В.76121/23, ЕАЭС N RU Д-RU.РА05.В.76190/23</t>
        </is>
      </c>
      <c r="AG351" s="64" t="n"/>
      <c r="AJ351" s="68" t="n"/>
      <c r="AK351" s="68" t="n">
        <v>0</v>
      </c>
      <c r="BB351" s="420" t="inlineStr">
        <is>
          <t>КИ</t>
        </is>
      </c>
      <c r="BM351" s="64">
        <f>IFERROR(X351*I351/H351,"0")</f>
        <v/>
      </c>
      <c r="BN351" s="64">
        <f>IFERROR(Y351*I351/H351,"0")</f>
        <v/>
      </c>
      <c r="BO351" s="64">
        <f>IFERROR(1/J351*(X351/H351),"0")</f>
        <v/>
      </c>
      <c r="BP351" s="64">
        <f>IFERROR(1/J351*(Y351/H351),"0")</f>
        <v/>
      </c>
    </row>
    <row r="352">
      <c r="A352" s="801" t="n"/>
      <c r="B352" s="800" t="n"/>
      <c r="C352" s="800" t="n"/>
      <c r="D352" s="800" t="n"/>
      <c r="E352" s="800" t="n"/>
      <c r="F352" s="800" t="n"/>
      <c r="G352" s="800" t="n"/>
      <c r="H352" s="800" t="n"/>
      <c r="I352" s="800" t="n"/>
      <c r="J352" s="800" t="n"/>
      <c r="K352" s="800" t="n"/>
      <c r="L352" s="800" t="n"/>
      <c r="M352" s="800" t="n"/>
      <c r="N352" s="800" t="n"/>
      <c r="O352" s="802" t="n"/>
      <c r="P352" s="796" t="inlineStr">
        <is>
          <t>Итого</t>
        </is>
      </c>
      <c r="Q352" s="793" t="n"/>
      <c r="R352" s="793" t="n"/>
      <c r="S352" s="793" t="n"/>
      <c r="T352" s="793" t="n"/>
      <c r="U352" s="793" t="n"/>
      <c r="V352" s="794" t="n"/>
      <c r="W352" s="37" t="inlineStr">
        <is>
          <t>кор</t>
        </is>
      </c>
      <c r="X352" s="1223">
        <f>IFERROR(X351/H351,"0")</f>
        <v/>
      </c>
      <c r="Y352" s="1223">
        <f>IFERROR(Y351/H351,"0")</f>
        <v/>
      </c>
      <c r="Z352" s="1223">
        <f>IFERROR(IF(Z351="",0,Z351),"0")</f>
        <v/>
      </c>
      <c r="AA352" s="1224" t="n"/>
      <c r="AB352" s="1224" t="n"/>
      <c r="AC352" s="1224" t="n"/>
    </row>
    <row r="353">
      <c r="A353" s="800" t="n"/>
      <c r="B353" s="800" t="n"/>
      <c r="C353" s="800" t="n"/>
      <c r="D353" s="800" t="n"/>
      <c r="E353" s="800" t="n"/>
      <c r="F353" s="800" t="n"/>
      <c r="G353" s="800" t="n"/>
      <c r="H353" s="800" t="n"/>
      <c r="I353" s="800" t="n"/>
      <c r="J353" s="800" t="n"/>
      <c r="K353" s="800" t="n"/>
      <c r="L353" s="800" t="n"/>
      <c r="M353" s="800" t="n"/>
      <c r="N353" s="800" t="n"/>
      <c r="O353" s="802" t="n"/>
      <c r="P353" s="796" t="inlineStr">
        <is>
          <t>Итого</t>
        </is>
      </c>
      <c r="Q353" s="793" t="n"/>
      <c r="R353" s="793" t="n"/>
      <c r="S353" s="793" t="n"/>
      <c r="T353" s="793" t="n"/>
      <c r="U353" s="793" t="n"/>
      <c r="V353" s="794" t="n"/>
      <c r="W353" s="37" t="inlineStr">
        <is>
          <t>кг</t>
        </is>
      </c>
      <c r="X353" s="1223">
        <f>IFERROR(SUM(X351:X351),"0")</f>
        <v/>
      </c>
      <c r="Y353" s="1223">
        <f>IFERROR(SUM(Y351:Y351),"0")</f>
        <v/>
      </c>
      <c r="Z353" s="37" t="n"/>
      <c r="AA353" s="1224" t="n"/>
      <c r="AB353" s="1224" t="n"/>
      <c r="AC353" s="1224" t="n"/>
    </row>
    <row r="354" ht="16.5" customHeight="1">
      <c r="A354" s="807" t="inlineStr">
        <is>
          <t>Бордо</t>
        </is>
      </c>
      <c r="B354" s="800" t="n"/>
      <c r="C354" s="800" t="n"/>
      <c r="D354" s="800" t="n"/>
      <c r="E354" s="800" t="n"/>
      <c r="F354" s="800" t="n"/>
      <c r="G354" s="800" t="n"/>
      <c r="H354" s="800" t="n"/>
      <c r="I354" s="800" t="n"/>
      <c r="J354" s="800" t="n"/>
      <c r="K354" s="800" t="n"/>
      <c r="L354" s="800" t="n"/>
      <c r="M354" s="800" t="n"/>
      <c r="N354" s="800" t="n"/>
      <c r="O354" s="800" t="n"/>
      <c r="P354" s="800" t="n"/>
      <c r="Q354" s="800" t="n"/>
      <c r="R354" s="800" t="n"/>
      <c r="S354" s="800" t="n"/>
      <c r="T354" s="800" t="n"/>
      <c r="U354" s="800" t="n"/>
      <c r="V354" s="800" t="n"/>
      <c r="W354" s="800" t="n"/>
      <c r="X354" s="800" t="n"/>
      <c r="Y354" s="800" t="n"/>
      <c r="Z354" s="800" t="n"/>
      <c r="AA354" s="807" t="n"/>
      <c r="AB354" s="807" t="n"/>
      <c r="AC354" s="807" t="n"/>
    </row>
    <row r="355" ht="14.25" customHeight="1">
      <c r="A355" s="799" t="inlineStr">
        <is>
          <t>Вареные колбасы</t>
        </is>
      </c>
      <c r="B355" s="800" t="n"/>
      <c r="C355" s="800" t="n"/>
      <c r="D355" s="800" t="n"/>
      <c r="E355" s="800" t="n"/>
      <c r="F355" s="800" t="n"/>
      <c r="G355" s="800" t="n"/>
      <c r="H355" s="800" t="n"/>
      <c r="I355" s="800" t="n"/>
      <c r="J355" s="800" t="n"/>
      <c r="K355" s="800" t="n"/>
      <c r="L355" s="800" t="n"/>
      <c r="M355" s="800" t="n"/>
      <c r="N355" s="800" t="n"/>
      <c r="O355" s="800" t="n"/>
      <c r="P355" s="800" t="n"/>
      <c r="Q355" s="800" t="n"/>
      <c r="R355" s="800" t="n"/>
      <c r="S355" s="800" t="n"/>
      <c r="T355" s="800" t="n"/>
      <c r="U355" s="800" t="n"/>
      <c r="V355" s="800" t="n"/>
      <c r="W355" s="800" t="n"/>
      <c r="X355" s="800" t="n"/>
      <c r="Y355" s="800" t="n"/>
      <c r="Z355" s="800" t="n"/>
      <c r="AA355" s="799" t="n"/>
      <c r="AB355" s="799" t="n"/>
      <c r="AC355" s="799" t="n"/>
    </row>
    <row r="356" ht="27" customHeight="1">
      <c r="A356" s="54" t="inlineStr">
        <is>
          <t>SU003394</t>
        </is>
      </c>
      <c r="B356" s="54" t="inlineStr">
        <is>
          <t>P004213</t>
        </is>
      </c>
      <c r="C356" s="31" t="n">
        <v>4301012024</v>
      </c>
      <c r="D356" s="782" t="n">
        <v>4680115885615</v>
      </c>
      <c r="E356" s="783" t="n"/>
      <c r="F356" s="1220" t="n">
        <v>1.35</v>
      </c>
      <c r="G356" s="32" t="n">
        <v>8</v>
      </c>
      <c r="H356" s="1220" t="n">
        <v>10.8</v>
      </c>
      <c r="I356" s="1220" t="n">
        <v>11.28</v>
      </c>
      <c r="J356" s="32" t="n">
        <v>56</v>
      </c>
      <c r="K356" s="32" t="inlineStr">
        <is>
          <t>8</t>
        </is>
      </c>
      <c r="L356" s="32" t="n"/>
      <c r="M356" s="33" t="inlineStr">
        <is>
          <t>СК3</t>
        </is>
      </c>
      <c r="N356" s="33" t="n"/>
      <c r="O356" s="32" t="n">
        <v>55</v>
      </c>
      <c r="P356" s="1037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/>
      </c>
      <c r="Q356" s="785" t="n"/>
      <c r="R356" s="785" t="n"/>
      <c r="S356" s="785" t="n"/>
      <c r="T356" s="786" t="n"/>
      <c r="U356" s="34" t="n"/>
      <c r="V356" s="34" t="n"/>
      <c r="W356" s="35" t="inlineStr">
        <is>
          <t>кг</t>
        </is>
      </c>
      <c r="X356" s="1221" t="n">
        <v>0</v>
      </c>
      <c r="Y356" s="1222">
        <f>IFERROR(IF(X356="",0,CEILING((X356/$H356),1)*$H356),"")</f>
        <v/>
      </c>
      <c r="Z356" s="36">
        <f>IFERROR(IF(Y356=0,"",ROUNDUP(Y356/H356,0)*0.02175),"")</f>
        <v/>
      </c>
      <c r="AA356" s="56" t="n"/>
      <c r="AB356" s="57" t="n"/>
      <c r="AC356" s="421" t="inlineStr">
        <is>
          <t>ЕАЭС N RU Д-RU.РА04.В.92149/24, ЕАЭС N RU Д-RU.РА04.В.92393/24</t>
        </is>
      </c>
      <c r="AG356" s="64" t="n"/>
      <c r="AJ356" s="68" t="n"/>
      <c r="AK356" s="68" t="n">
        <v>0</v>
      </c>
      <c r="BB356" s="422" t="inlineStr">
        <is>
          <t>КИ</t>
        </is>
      </c>
      <c r="BM356" s="64">
        <f>IFERROR(X356*I356/H356,"0")</f>
        <v/>
      </c>
      <c r="BN356" s="64">
        <f>IFERROR(Y356*I356/H356,"0")</f>
        <v/>
      </c>
      <c r="BO356" s="64">
        <f>IFERROR(1/J356*(X356/H356),"0")</f>
        <v/>
      </c>
      <c r="BP356" s="64">
        <f>IFERROR(1/J356*(Y356/H356),"0")</f>
        <v/>
      </c>
    </row>
    <row r="357" ht="27" customHeight="1">
      <c r="A357" s="54" t="inlineStr">
        <is>
          <t>SU003392</t>
        </is>
      </c>
      <c r="B357" s="54" t="inlineStr">
        <is>
          <t>P004210</t>
        </is>
      </c>
      <c r="C357" s="31" t="n">
        <v>4301012016</v>
      </c>
      <c r="D357" s="782" t="n">
        <v>4680115885554</v>
      </c>
      <c r="E357" s="783" t="n"/>
      <c r="F357" s="1220" t="n">
        <v>1.35</v>
      </c>
      <c r="G357" s="32" t="n">
        <v>8</v>
      </c>
      <c r="H357" s="1220" t="n">
        <v>10.8</v>
      </c>
      <c r="I357" s="1220" t="n">
        <v>11.28</v>
      </c>
      <c r="J357" s="32" t="n">
        <v>56</v>
      </c>
      <c r="K357" s="32" t="inlineStr">
        <is>
          <t>8</t>
        </is>
      </c>
      <c r="L357" s="32" t="n"/>
      <c r="M357" s="33" t="inlineStr">
        <is>
          <t>СК3</t>
        </is>
      </c>
      <c r="N357" s="33" t="n"/>
      <c r="O357" s="32" t="n">
        <v>55</v>
      </c>
      <c r="P357" s="860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/>
      </c>
      <c r="Q357" s="785" t="n"/>
      <c r="R357" s="785" t="n"/>
      <c r="S357" s="785" t="n"/>
      <c r="T357" s="786" t="n"/>
      <c r="U357" s="34" t="n"/>
      <c r="V357" s="34" t="n"/>
      <c r="W357" s="35" t="inlineStr">
        <is>
          <t>кг</t>
        </is>
      </c>
      <c r="X357" s="1221" t="n">
        <v>0</v>
      </c>
      <c r="Y357" s="1222">
        <f>IFERROR(IF(X357="",0,CEILING((X357/$H357),1)*$H357),"")</f>
        <v/>
      </c>
      <c r="Z357" s="36">
        <f>IFERROR(IF(Y357=0,"",ROUNDUP(Y357/H357,0)*0.02175),"")</f>
        <v/>
      </c>
      <c r="AA357" s="56" t="n"/>
      <c r="AB357" s="57" t="n"/>
      <c r="AC357" s="423" t="inlineStr">
        <is>
          <t>ЕАЭС N RU Д-RU.РА04.В.93998/24, ЕАЭС N RU Д-RU.РА04.В.94346/24</t>
        </is>
      </c>
      <c r="AG357" s="64" t="n"/>
      <c r="AJ357" s="68" t="n"/>
      <c r="AK357" s="68" t="n">
        <v>0</v>
      </c>
      <c r="BB357" s="424" t="inlineStr">
        <is>
          <t>КИ</t>
        </is>
      </c>
      <c r="BM357" s="64">
        <f>IFERROR(X357*I357/H357,"0")</f>
        <v/>
      </c>
      <c r="BN357" s="64">
        <f>IFERROR(Y357*I357/H357,"0")</f>
        <v/>
      </c>
      <c r="BO357" s="64">
        <f>IFERROR(1/J357*(X357/H357),"0")</f>
        <v/>
      </c>
      <c r="BP357" s="64">
        <f>IFERROR(1/J357*(Y357/H357),"0")</f>
        <v/>
      </c>
    </row>
    <row r="358" ht="27" customHeight="1">
      <c r="A358" s="54" t="inlineStr">
        <is>
          <t>SU003392</t>
        </is>
      </c>
      <c r="B358" s="54" t="inlineStr">
        <is>
          <t>P004289</t>
        </is>
      </c>
      <c r="C358" s="31" t="n">
        <v>4301011911</v>
      </c>
      <c r="D358" s="782" t="n">
        <v>4680115885554</v>
      </c>
      <c r="E358" s="783" t="n"/>
      <c r="F358" s="1220" t="n">
        <v>1.35</v>
      </c>
      <c r="G358" s="32" t="n">
        <v>8</v>
      </c>
      <c r="H358" s="1220" t="n">
        <v>10.8</v>
      </c>
      <c r="I358" s="1220" t="n">
        <v>11.28</v>
      </c>
      <c r="J358" s="32" t="n">
        <v>48</v>
      </c>
      <c r="K358" s="32" t="inlineStr">
        <is>
          <t>8</t>
        </is>
      </c>
      <c r="L358" s="32" t="n"/>
      <c r="M358" s="33" t="inlineStr">
        <is>
          <t>ВЗ</t>
        </is>
      </c>
      <c r="N358" s="33" t="n"/>
      <c r="O358" s="32" t="n">
        <v>55</v>
      </c>
      <c r="P358" s="1083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/>
      </c>
      <c r="Q358" s="785" t="n"/>
      <c r="R358" s="785" t="n"/>
      <c r="S358" s="785" t="n"/>
      <c r="T358" s="786" t="n"/>
      <c r="U358" s="34" t="n"/>
      <c r="V358" s="34" t="n"/>
      <c r="W358" s="35" t="inlineStr">
        <is>
          <t>кг</t>
        </is>
      </c>
      <c r="X358" s="1221" t="n">
        <v>0</v>
      </c>
      <c r="Y358" s="1222">
        <f>IFERROR(IF(X358="",0,CEILING((X358/$H358),1)*$H358),"")</f>
        <v/>
      </c>
      <c r="Z358" s="36">
        <f>IFERROR(IF(Y358=0,"",ROUNDUP(Y358/H358,0)*0.02039),"")</f>
        <v/>
      </c>
      <c r="AA358" s="56" t="n"/>
      <c r="AB358" s="57" t="n"/>
      <c r="AC358" s="425" t="inlineStr">
        <is>
          <t>ЕАЭС N RU Д-RU.РА04.В.66501/24</t>
        </is>
      </c>
      <c r="AG358" s="64" t="n"/>
      <c r="AJ358" s="68" t="n"/>
      <c r="AK358" s="68" t="n">
        <v>0</v>
      </c>
      <c r="BB358" s="426" t="inlineStr">
        <is>
          <t>КИ</t>
        </is>
      </c>
      <c r="BM358" s="64">
        <f>IFERROR(X358*I358/H358,"0")</f>
        <v/>
      </c>
      <c r="BN358" s="64">
        <f>IFERROR(Y358*I358/H358,"0")</f>
        <v/>
      </c>
      <c r="BO358" s="64">
        <f>IFERROR(1/J358*(X358/H358),"0")</f>
        <v/>
      </c>
      <c r="BP358" s="64">
        <f>IFERROR(1/J358*(Y358/H358),"0")</f>
        <v/>
      </c>
    </row>
    <row r="359" ht="37.5" customHeight="1">
      <c r="A359" s="54" t="inlineStr">
        <is>
          <t>SU003396</t>
        </is>
      </c>
      <c r="B359" s="54" t="inlineStr">
        <is>
          <t>P004215</t>
        </is>
      </c>
      <c r="C359" s="31" t="n">
        <v>4301011858</v>
      </c>
      <c r="D359" s="782" t="n">
        <v>4680115885646</v>
      </c>
      <c r="E359" s="783" t="n"/>
      <c r="F359" s="1220" t="n">
        <v>1.35</v>
      </c>
      <c r="G359" s="32" t="n">
        <v>8</v>
      </c>
      <c r="H359" s="1220" t="n">
        <v>10.8</v>
      </c>
      <c r="I359" s="1220" t="n">
        <v>11.28</v>
      </c>
      <c r="J359" s="32" t="n">
        <v>56</v>
      </c>
      <c r="K359" s="32" t="inlineStr">
        <is>
          <t>8</t>
        </is>
      </c>
      <c r="L359" s="32" t="n"/>
      <c r="M359" s="33" t="inlineStr">
        <is>
          <t>СК1</t>
        </is>
      </c>
      <c r="N359" s="33" t="n"/>
      <c r="O359" s="32" t="n">
        <v>55</v>
      </c>
      <c r="P359" s="917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/>
      </c>
      <c r="Q359" s="785" t="n"/>
      <c r="R359" s="785" t="n"/>
      <c r="S359" s="785" t="n"/>
      <c r="T359" s="786" t="n"/>
      <c r="U359" s="34" t="n"/>
      <c r="V359" s="34" t="n"/>
      <c r="W359" s="35" t="inlineStr">
        <is>
          <t>кг</t>
        </is>
      </c>
      <c r="X359" s="1221" t="n">
        <v>0</v>
      </c>
      <c r="Y359" s="1222">
        <f>IFERROR(IF(X359="",0,CEILING((X359/$H359),1)*$H359),"")</f>
        <v/>
      </c>
      <c r="Z359" s="36">
        <f>IFERROR(IF(Y359=0,"",ROUNDUP(Y359/H359,0)*0.02175),"")</f>
        <v/>
      </c>
      <c r="AA359" s="56" t="n"/>
      <c r="AB359" s="57" t="n"/>
      <c r="AC359" s="427" t="inlineStr">
        <is>
          <t>ЕАЭС N RU Д-RU.РА04.В.89027/24</t>
        </is>
      </c>
      <c r="AG359" s="64" t="n"/>
      <c r="AJ359" s="68" t="n"/>
      <c r="AK359" s="68" t="n">
        <v>0</v>
      </c>
      <c r="BB359" s="428" t="inlineStr">
        <is>
          <t>КИ</t>
        </is>
      </c>
      <c r="BM359" s="64">
        <f>IFERROR(X359*I359/H359,"0")</f>
        <v/>
      </c>
      <c r="BN359" s="64">
        <f>IFERROR(Y359*I359/H359,"0")</f>
        <v/>
      </c>
      <c r="BO359" s="64">
        <f>IFERROR(1/J359*(X359/H359),"0")</f>
        <v/>
      </c>
      <c r="BP359" s="64">
        <f>IFERROR(1/J359*(Y359/H359),"0")</f>
        <v/>
      </c>
    </row>
    <row r="360" ht="27" customHeight="1">
      <c r="A360" s="54" t="inlineStr">
        <is>
          <t>SU003395</t>
        </is>
      </c>
      <c r="B360" s="54" t="inlineStr">
        <is>
          <t>P004214</t>
        </is>
      </c>
      <c r="C360" s="31" t="n">
        <v>4301011857</v>
      </c>
      <c r="D360" s="782" t="n">
        <v>4680115885622</v>
      </c>
      <c r="E360" s="783" t="n"/>
      <c r="F360" s="1220" t="n">
        <v>0.4</v>
      </c>
      <c r="G360" s="32" t="n">
        <v>10</v>
      </c>
      <c r="H360" s="1220" t="n">
        <v>4</v>
      </c>
      <c r="I360" s="1220" t="n">
        <v>4.21</v>
      </c>
      <c r="J360" s="32" t="n">
        <v>132</v>
      </c>
      <c r="K360" s="32" t="inlineStr">
        <is>
          <t>12</t>
        </is>
      </c>
      <c r="L360" s="32" t="n"/>
      <c r="M360" s="33" t="inlineStr">
        <is>
          <t>СК1</t>
        </is>
      </c>
      <c r="N360" s="33" t="n"/>
      <c r="O360" s="32" t="n">
        <v>55</v>
      </c>
      <c r="P360" s="798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/>
      </c>
      <c r="Q360" s="785" t="n"/>
      <c r="R360" s="785" t="n"/>
      <c r="S360" s="785" t="n"/>
      <c r="T360" s="786" t="n"/>
      <c r="U360" s="34" t="n"/>
      <c r="V360" s="34" t="n"/>
      <c r="W360" s="35" t="inlineStr">
        <is>
          <t>кг</t>
        </is>
      </c>
      <c r="X360" s="1221" t="n">
        <v>0</v>
      </c>
      <c r="Y360" s="1222">
        <f>IFERROR(IF(X360="",0,CEILING((X360/$H360),1)*$H360),"")</f>
        <v/>
      </c>
      <c r="Z360" s="36">
        <f>IFERROR(IF(Y360=0,"",ROUNDUP(Y360/H360,0)*0.00902),"")</f>
        <v/>
      </c>
      <c r="AA360" s="56" t="n"/>
      <c r="AB360" s="57" t="n"/>
      <c r="AC360" s="429" t="inlineStr">
        <is>
          <t>ЕАЭС N RU Д-RU.РА04.В.92149/24, ЕАЭС N RU Д-RU.РА04.В.92393/24</t>
        </is>
      </c>
      <c r="AG360" s="64" t="n"/>
      <c r="AJ360" s="68" t="n"/>
      <c r="AK360" s="68" t="n">
        <v>0</v>
      </c>
      <c r="BB360" s="430" t="inlineStr">
        <is>
          <t>КИ</t>
        </is>
      </c>
      <c r="BM360" s="64">
        <f>IFERROR(X360*I360/H360,"0")</f>
        <v/>
      </c>
      <c r="BN360" s="64">
        <f>IFERROR(Y360*I360/H360,"0")</f>
        <v/>
      </c>
      <c r="BO360" s="64">
        <f>IFERROR(1/J360*(X360/H360),"0")</f>
        <v/>
      </c>
      <c r="BP360" s="64">
        <f>IFERROR(1/J360*(Y360/H360),"0")</f>
        <v/>
      </c>
    </row>
    <row r="361" ht="27" customHeight="1">
      <c r="A361" s="54" t="inlineStr">
        <is>
          <t>SU002894</t>
        </is>
      </c>
      <c r="B361" s="54" t="inlineStr">
        <is>
          <t>P003314</t>
        </is>
      </c>
      <c r="C361" s="31" t="n">
        <v>4301011573</v>
      </c>
      <c r="D361" s="782" t="n">
        <v>4680115881938</v>
      </c>
      <c r="E361" s="783" t="n"/>
      <c r="F361" s="1220" t="n">
        <v>0.4</v>
      </c>
      <c r="G361" s="32" t="n">
        <v>10</v>
      </c>
      <c r="H361" s="1220" t="n">
        <v>4</v>
      </c>
      <c r="I361" s="1220" t="n">
        <v>4.21</v>
      </c>
      <c r="J361" s="32" t="n">
        <v>132</v>
      </c>
      <c r="K361" s="32" t="inlineStr">
        <is>
          <t>12</t>
        </is>
      </c>
      <c r="L361" s="32" t="n"/>
      <c r="M361" s="33" t="inlineStr">
        <is>
          <t>СК1</t>
        </is>
      </c>
      <c r="N361" s="33" t="n"/>
      <c r="O361" s="32" t="n">
        <v>90</v>
      </c>
      <c r="P361" s="1054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Q361" s="785" t="n"/>
      <c r="R361" s="785" t="n"/>
      <c r="S361" s="785" t="n"/>
      <c r="T361" s="786" t="n"/>
      <c r="U361" s="34" t="n"/>
      <c r="V361" s="34" t="n"/>
      <c r="W361" s="35" t="inlineStr">
        <is>
          <t>кг</t>
        </is>
      </c>
      <c r="X361" s="1221" t="n">
        <v>0</v>
      </c>
      <c r="Y361" s="1222">
        <f>IFERROR(IF(X361="",0,CEILING((X361/$H361),1)*$H361),"")</f>
        <v/>
      </c>
      <c r="Z361" s="36">
        <f>IFERROR(IF(Y361=0,"",ROUNDUP(Y361/H361,0)*0.00902),"")</f>
        <v/>
      </c>
      <c r="AA361" s="56" t="n"/>
      <c r="AB361" s="57" t="n"/>
      <c r="AC361" s="431" t="inlineStr">
        <is>
          <t>ЕАЭС N RU Д-RU.РА04.В.76845/23, ЕАЭС N RU Д-RU.РА04.В.76869/23</t>
        </is>
      </c>
      <c r="AG361" s="64" t="n"/>
      <c r="AJ361" s="68" t="n"/>
      <c r="AK361" s="68" t="n">
        <v>0</v>
      </c>
      <c r="BB361" s="432" t="inlineStr">
        <is>
          <t>КИ</t>
        </is>
      </c>
      <c r="BM361" s="64">
        <f>IFERROR(X361*I361/H361,"0")</f>
        <v/>
      </c>
      <c r="BN361" s="64">
        <f>IFERROR(Y361*I361/H361,"0")</f>
        <v/>
      </c>
      <c r="BO361" s="64">
        <f>IFERROR(1/J361*(X361/H361),"0")</f>
        <v/>
      </c>
      <c r="BP361" s="64">
        <f>IFERROR(1/J361*(Y361/H361),"0")</f>
        <v/>
      </c>
    </row>
    <row r="362" ht="27" customHeight="1">
      <c r="A362" s="54" t="inlineStr">
        <is>
          <t>SU000078</t>
        </is>
      </c>
      <c r="B362" s="54" t="inlineStr">
        <is>
          <t>P001806</t>
        </is>
      </c>
      <c r="C362" s="31" t="n">
        <v>4301010944</v>
      </c>
      <c r="D362" s="782" t="n">
        <v>4607091387346</v>
      </c>
      <c r="E362" s="783" t="n"/>
      <c r="F362" s="1220" t="n">
        <v>0.4</v>
      </c>
      <c r="G362" s="32" t="n">
        <v>10</v>
      </c>
      <c r="H362" s="1220" t="n">
        <v>4</v>
      </c>
      <c r="I362" s="1220" t="n">
        <v>4.21</v>
      </c>
      <c r="J362" s="32" t="n">
        <v>132</v>
      </c>
      <c r="K362" s="32" t="inlineStr">
        <is>
          <t>12</t>
        </is>
      </c>
      <c r="L362" s="32" t="n"/>
      <c r="M362" s="33" t="inlineStr">
        <is>
          <t>СК1</t>
        </is>
      </c>
      <c r="N362" s="33" t="n"/>
      <c r="O362" s="32" t="n">
        <v>55</v>
      </c>
      <c r="P362" s="889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Q362" s="785" t="n"/>
      <c r="R362" s="785" t="n"/>
      <c r="S362" s="785" t="n"/>
      <c r="T362" s="786" t="n"/>
      <c r="U362" s="34" t="n"/>
      <c r="V362" s="34" t="n"/>
      <c r="W362" s="35" t="inlineStr">
        <is>
          <t>кг</t>
        </is>
      </c>
      <c r="X362" s="1221" t="n">
        <v>0</v>
      </c>
      <c r="Y362" s="1222">
        <f>IFERROR(IF(X362="",0,CEILING((X362/$H362),1)*$H362),"")</f>
        <v/>
      </c>
      <c r="Z362" s="36">
        <f>IFERROR(IF(Y362=0,"",ROUNDUP(Y362/H362,0)*0.00902),"")</f>
        <v/>
      </c>
      <c r="AA362" s="56" t="n"/>
      <c r="AB362" s="57" t="n"/>
      <c r="AC362" s="433" t="inlineStr">
        <is>
          <t>ЕАЭС N RU Д-RU.РА02.В.59666/22</t>
        </is>
      </c>
      <c r="AG362" s="64" t="n"/>
      <c r="AJ362" s="68" t="n"/>
      <c r="AK362" s="68" t="n">
        <v>0</v>
      </c>
      <c r="BB362" s="434" t="inlineStr">
        <is>
          <t>КИ</t>
        </is>
      </c>
      <c r="BM362" s="64">
        <f>IFERROR(X362*I362/H362,"0")</f>
        <v/>
      </c>
      <c r="BN362" s="64">
        <f>IFERROR(Y362*I362/H362,"0")</f>
        <v/>
      </c>
      <c r="BO362" s="64">
        <f>IFERROR(1/J362*(X362/H362),"0")</f>
        <v/>
      </c>
      <c r="BP362" s="64">
        <f>IFERROR(1/J362*(Y362/H362),"0")</f>
        <v/>
      </c>
    </row>
    <row r="363" ht="27" customHeight="1">
      <c r="A363" s="54" t="inlineStr">
        <is>
          <t>SU003393</t>
        </is>
      </c>
      <c r="B363" s="54" t="inlineStr">
        <is>
          <t>P004211</t>
        </is>
      </c>
      <c r="C363" s="31" t="n">
        <v>4301011859</v>
      </c>
      <c r="D363" s="782" t="n">
        <v>4680115885608</v>
      </c>
      <c r="E363" s="783" t="n"/>
      <c r="F363" s="1220" t="n">
        <v>0.4</v>
      </c>
      <c r="G363" s="32" t="n">
        <v>10</v>
      </c>
      <c r="H363" s="1220" t="n">
        <v>4</v>
      </c>
      <c r="I363" s="1220" t="n">
        <v>4.21</v>
      </c>
      <c r="J363" s="32" t="n">
        <v>132</v>
      </c>
      <c r="K363" s="32" t="inlineStr">
        <is>
          <t>12</t>
        </is>
      </c>
      <c r="L363" s="32" t="n"/>
      <c r="M363" s="33" t="inlineStr">
        <is>
          <t>СК1</t>
        </is>
      </c>
      <c r="N363" s="33" t="n"/>
      <c r="O363" s="32" t="n">
        <v>55</v>
      </c>
      <c r="P363" s="808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/>
      </c>
      <c r="Q363" s="785" t="n"/>
      <c r="R363" s="785" t="n"/>
      <c r="S363" s="785" t="n"/>
      <c r="T363" s="786" t="n"/>
      <c r="U363" s="34" t="n"/>
      <c r="V363" s="34" t="n"/>
      <c r="W363" s="35" t="inlineStr">
        <is>
          <t>кг</t>
        </is>
      </c>
      <c r="X363" s="1221" t="n">
        <v>0</v>
      </c>
      <c r="Y363" s="1222">
        <f>IFERROR(IF(X363="",0,CEILING((X363/$H363),1)*$H363),"")</f>
        <v/>
      </c>
      <c r="Z363" s="36">
        <f>IFERROR(IF(Y363=0,"",ROUNDUP(Y363/H363,0)*0.00902),"")</f>
        <v/>
      </c>
      <c r="AA363" s="56" t="n"/>
      <c r="AB363" s="57" t="n"/>
      <c r="AC363" s="435" t="inlineStr">
        <is>
          <t>ЕАЭС N RU Д-RU.РА04.В.93998/24, ЕАЭС N RU Д-RU.РА04.В.94346/24</t>
        </is>
      </c>
      <c r="AG363" s="64" t="n"/>
      <c r="AJ363" s="68" t="n"/>
      <c r="AK363" s="68" t="n">
        <v>0</v>
      </c>
      <c r="BB363" s="436" t="inlineStr">
        <is>
          <t>КИ</t>
        </is>
      </c>
      <c r="BM363" s="64">
        <f>IFERROR(X363*I363/H363,"0")</f>
        <v/>
      </c>
      <c r="BN363" s="64">
        <f>IFERROR(Y363*I363/H363,"0")</f>
        <v/>
      </c>
      <c r="BO363" s="64">
        <f>IFERROR(1/J363*(X363/H363),"0")</f>
        <v/>
      </c>
      <c r="BP363" s="64">
        <f>IFERROR(1/J363*(Y363/H363),"0")</f>
        <v/>
      </c>
    </row>
    <row r="364" ht="27" customHeight="1">
      <c r="A364" s="54" t="inlineStr">
        <is>
          <t>SU001800</t>
        </is>
      </c>
      <c r="B364" s="54" t="inlineStr">
        <is>
          <t>P001800</t>
        </is>
      </c>
      <c r="C364" s="31" t="n">
        <v>4301011323</v>
      </c>
      <c r="D364" s="782" t="n">
        <v>4607091386011</v>
      </c>
      <c r="E364" s="783" t="n"/>
      <c r="F364" s="1220" t="n">
        <v>0.5</v>
      </c>
      <c r="G364" s="32" t="n">
        <v>10</v>
      </c>
      <c r="H364" s="1220" t="n">
        <v>5</v>
      </c>
      <c r="I364" s="1220" t="n">
        <v>5.21</v>
      </c>
      <c r="J364" s="32" t="n">
        <v>132</v>
      </c>
      <c r="K364" s="32" t="inlineStr">
        <is>
          <t>12</t>
        </is>
      </c>
      <c r="L364" s="32" t="n"/>
      <c r="M364" s="33" t="inlineStr">
        <is>
          <t>СК3</t>
        </is>
      </c>
      <c r="N364" s="33" t="n"/>
      <c r="O364" s="32" t="n">
        <v>55</v>
      </c>
      <c r="P364" s="864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Q364" s="785" t="n"/>
      <c r="R364" s="785" t="n"/>
      <c r="S364" s="785" t="n"/>
      <c r="T364" s="786" t="n"/>
      <c r="U364" s="34" t="n"/>
      <c r="V364" s="34" t="n"/>
      <c r="W364" s="35" t="inlineStr">
        <is>
          <t>кг</t>
        </is>
      </c>
      <c r="X364" s="1221" t="n">
        <v>0</v>
      </c>
      <c r="Y364" s="1222">
        <f>IFERROR(IF(X364="",0,CEILING((X364/$H364),1)*$H364),"")</f>
        <v/>
      </c>
      <c r="Z364" s="36">
        <f>IFERROR(IF(Y364=0,"",ROUNDUP(Y364/H364,0)*0.00902),"")</f>
        <v/>
      </c>
      <c r="AA364" s="56" t="n"/>
      <c r="AB364" s="57" t="n"/>
      <c r="AC364" s="437" t="inlineStr">
        <is>
          <t>ЕАЭС N RU Д-RU.РА02.В.63029/22</t>
        </is>
      </c>
      <c r="AG364" s="64" t="n"/>
      <c r="AJ364" s="68" t="n"/>
      <c r="AK364" s="68" t="n">
        <v>0</v>
      </c>
      <c r="BB364" s="438" t="inlineStr">
        <is>
          <t>КИ</t>
        </is>
      </c>
      <c r="BM364" s="64">
        <f>IFERROR(X364*I364/H364,"0")</f>
        <v/>
      </c>
      <c r="BN364" s="64">
        <f>IFERROR(Y364*I364/H364,"0")</f>
        <v/>
      </c>
      <c r="BO364" s="64">
        <f>IFERROR(1/J364*(X364/H364),"0")</f>
        <v/>
      </c>
      <c r="BP364" s="64">
        <f>IFERROR(1/J364*(Y364/H364),"0")</f>
        <v/>
      </c>
    </row>
    <row r="365">
      <c r="A365" s="801" t="n"/>
      <c r="B365" s="800" t="n"/>
      <c r="C365" s="800" t="n"/>
      <c r="D365" s="800" t="n"/>
      <c r="E365" s="800" t="n"/>
      <c r="F365" s="800" t="n"/>
      <c r="G365" s="800" t="n"/>
      <c r="H365" s="800" t="n"/>
      <c r="I365" s="800" t="n"/>
      <c r="J365" s="800" t="n"/>
      <c r="K365" s="800" t="n"/>
      <c r="L365" s="800" t="n"/>
      <c r="M365" s="800" t="n"/>
      <c r="N365" s="800" t="n"/>
      <c r="O365" s="802" t="n"/>
      <c r="P365" s="796" t="inlineStr">
        <is>
          <t>Итого</t>
        </is>
      </c>
      <c r="Q365" s="793" t="n"/>
      <c r="R365" s="793" t="n"/>
      <c r="S365" s="793" t="n"/>
      <c r="T365" s="793" t="n"/>
      <c r="U365" s="793" t="n"/>
      <c r="V365" s="794" t="n"/>
      <c r="W365" s="37" t="inlineStr">
        <is>
          <t>кор</t>
        </is>
      </c>
      <c r="X365" s="1223">
        <f>IFERROR(X356/H356,"0")+IFERROR(X357/H357,"0")+IFERROR(X358/H358,"0")+IFERROR(X359/H359,"0")+IFERROR(X360/H360,"0")+IFERROR(X361/H361,"0")+IFERROR(X362/H362,"0")+IFERROR(X363/H363,"0")+IFERROR(X364/H364,"0")</f>
        <v/>
      </c>
      <c r="Y365" s="1223">
        <f>IFERROR(Y356/H356,"0")+IFERROR(Y357/H357,"0")+IFERROR(Y358/H358,"0")+IFERROR(Y359/H359,"0")+IFERROR(Y360/H360,"0")+IFERROR(Y361/H361,"0")+IFERROR(Y362/H362,"0")+IFERROR(Y363/H363,"0")+IFERROR(Y364/H364,"0")</f>
        <v/>
      </c>
      <c r="Z365" s="1223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/>
      </c>
      <c r="AA365" s="1224" t="n"/>
      <c r="AB365" s="1224" t="n"/>
      <c r="AC365" s="1224" t="n"/>
    </row>
    <row r="366">
      <c r="A366" s="800" t="n"/>
      <c r="B366" s="800" t="n"/>
      <c r="C366" s="800" t="n"/>
      <c r="D366" s="800" t="n"/>
      <c r="E366" s="800" t="n"/>
      <c r="F366" s="800" t="n"/>
      <c r="G366" s="800" t="n"/>
      <c r="H366" s="800" t="n"/>
      <c r="I366" s="800" t="n"/>
      <c r="J366" s="800" t="n"/>
      <c r="K366" s="800" t="n"/>
      <c r="L366" s="800" t="n"/>
      <c r="M366" s="800" t="n"/>
      <c r="N366" s="800" t="n"/>
      <c r="O366" s="802" t="n"/>
      <c r="P366" s="796" t="inlineStr">
        <is>
          <t>Итого</t>
        </is>
      </c>
      <c r="Q366" s="793" t="n"/>
      <c r="R366" s="793" t="n"/>
      <c r="S366" s="793" t="n"/>
      <c r="T366" s="793" t="n"/>
      <c r="U366" s="793" t="n"/>
      <c r="V366" s="794" t="n"/>
      <c r="W366" s="37" t="inlineStr">
        <is>
          <t>кг</t>
        </is>
      </c>
      <c r="X366" s="1223">
        <f>IFERROR(SUM(X356:X364),"0")</f>
        <v/>
      </c>
      <c r="Y366" s="1223">
        <f>IFERROR(SUM(Y356:Y364),"0")</f>
        <v/>
      </c>
      <c r="Z366" s="37" t="n"/>
      <c r="AA366" s="1224" t="n"/>
      <c r="AB366" s="1224" t="n"/>
      <c r="AC366" s="1224" t="n"/>
    </row>
    <row r="367" ht="14.25" customHeight="1">
      <c r="A367" s="799" t="inlineStr">
        <is>
          <t>Копченые колбасы</t>
        </is>
      </c>
      <c r="B367" s="800" t="n"/>
      <c r="C367" s="800" t="n"/>
      <c r="D367" s="800" t="n"/>
      <c r="E367" s="800" t="n"/>
      <c r="F367" s="800" t="n"/>
      <c r="G367" s="800" t="n"/>
      <c r="H367" s="800" t="n"/>
      <c r="I367" s="800" t="n"/>
      <c r="J367" s="800" t="n"/>
      <c r="K367" s="800" t="n"/>
      <c r="L367" s="800" t="n"/>
      <c r="M367" s="800" t="n"/>
      <c r="N367" s="800" t="n"/>
      <c r="O367" s="800" t="n"/>
      <c r="P367" s="800" t="n"/>
      <c r="Q367" s="800" t="n"/>
      <c r="R367" s="800" t="n"/>
      <c r="S367" s="800" t="n"/>
      <c r="T367" s="800" t="n"/>
      <c r="U367" s="800" t="n"/>
      <c r="V367" s="800" t="n"/>
      <c r="W367" s="800" t="n"/>
      <c r="X367" s="800" t="n"/>
      <c r="Y367" s="800" t="n"/>
      <c r="Z367" s="800" t="n"/>
      <c r="AA367" s="799" t="n"/>
      <c r="AB367" s="799" t="n"/>
      <c r="AC367" s="799" t="n"/>
    </row>
    <row r="368" ht="27" customHeight="1">
      <c r="A368" s="54" t="inlineStr">
        <is>
          <t>SU001820</t>
        </is>
      </c>
      <c r="B368" s="54" t="inlineStr">
        <is>
          <t>P001820</t>
        </is>
      </c>
      <c r="C368" s="31" t="n">
        <v>4301030878</v>
      </c>
      <c r="D368" s="782" t="n">
        <v>4607091387193</v>
      </c>
      <c r="E368" s="783" t="n"/>
      <c r="F368" s="1220" t="n">
        <v>0.7</v>
      </c>
      <c r="G368" s="32" t="n">
        <v>6</v>
      </c>
      <c r="H368" s="1220" t="n">
        <v>4.2</v>
      </c>
      <c r="I368" s="1220" t="n">
        <v>4.47</v>
      </c>
      <c r="J368" s="32" t="n">
        <v>132</v>
      </c>
      <c r="K368" s="32" t="inlineStr">
        <is>
          <t>12</t>
        </is>
      </c>
      <c r="L368" s="32" t="n"/>
      <c r="M368" s="33" t="inlineStr">
        <is>
          <t>СК2</t>
        </is>
      </c>
      <c r="N368" s="33" t="n"/>
      <c r="O368" s="32" t="n">
        <v>35</v>
      </c>
      <c r="P368" s="812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Q368" s="785" t="n"/>
      <c r="R368" s="785" t="n"/>
      <c r="S368" s="785" t="n"/>
      <c r="T368" s="786" t="n"/>
      <c r="U368" s="34" t="n"/>
      <c r="V368" s="34" t="n"/>
      <c r="W368" s="35" t="inlineStr">
        <is>
          <t>кг</t>
        </is>
      </c>
      <c r="X368" s="1221" t="n">
        <v>0</v>
      </c>
      <c r="Y368" s="1222">
        <f>IFERROR(IF(X368="",0,CEILING((X368/$H368),1)*$H368),"")</f>
        <v/>
      </c>
      <c r="Z368" s="36">
        <f>IFERROR(IF(Y368=0,"",ROUNDUP(Y368/H368,0)*0.00902),"")</f>
        <v/>
      </c>
      <c r="AA368" s="56" t="n"/>
      <c r="AB368" s="57" t="n"/>
      <c r="AC368" s="439" t="inlineStr">
        <is>
          <t>ЕАЭС N RU Д-RU.РА02.В.56858/22</t>
        </is>
      </c>
      <c r="AG368" s="64" t="n"/>
      <c r="AJ368" s="68" t="n"/>
      <c r="AK368" s="68" t="n">
        <v>0</v>
      </c>
      <c r="BB368" s="440" t="inlineStr">
        <is>
          <t>КИ</t>
        </is>
      </c>
      <c r="BM368" s="64">
        <f>IFERROR(X368*I368/H368,"0")</f>
        <v/>
      </c>
      <c r="BN368" s="64">
        <f>IFERROR(Y368*I368/H368,"0")</f>
        <v/>
      </c>
      <c r="BO368" s="64">
        <f>IFERROR(1/J368*(X368/H368),"0")</f>
        <v/>
      </c>
      <c r="BP368" s="64">
        <f>IFERROR(1/J368*(Y368/H368),"0")</f>
        <v/>
      </c>
    </row>
    <row r="369" ht="27" customHeight="1">
      <c r="A369" s="54" t="inlineStr">
        <is>
          <t>SU001822</t>
        </is>
      </c>
      <c r="B369" s="54" t="inlineStr">
        <is>
          <t>P003013</t>
        </is>
      </c>
      <c r="C369" s="31" t="n">
        <v>4301031153</v>
      </c>
      <c r="D369" s="782" t="n">
        <v>4607091387230</v>
      </c>
      <c r="E369" s="783" t="n"/>
      <c r="F369" s="1220" t="n">
        <v>0.7</v>
      </c>
      <c r="G369" s="32" t="n">
        <v>6</v>
      </c>
      <c r="H369" s="1220" t="n">
        <v>4.2</v>
      </c>
      <c r="I369" s="1220" t="n">
        <v>4.47</v>
      </c>
      <c r="J369" s="32" t="n">
        <v>132</v>
      </c>
      <c r="K369" s="32" t="inlineStr">
        <is>
          <t>12</t>
        </is>
      </c>
      <c r="L369" s="32" t="n"/>
      <c r="M369" s="33" t="inlineStr">
        <is>
          <t>СК2</t>
        </is>
      </c>
      <c r="N369" s="33" t="n"/>
      <c r="O369" s="32" t="n">
        <v>40</v>
      </c>
      <c r="P369" s="881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Q369" s="785" t="n"/>
      <c r="R369" s="785" t="n"/>
      <c r="S369" s="785" t="n"/>
      <c r="T369" s="786" t="n"/>
      <c r="U369" s="34" t="n"/>
      <c r="V369" s="34" t="n"/>
      <c r="W369" s="35" t="inlineStr">
        <is>
          <t>кг</t>
        </is>
      </c>
      <c r="X369" s="1221" t="n">
        <v>0</v>
      </c>
      <c r="Y369" s="1222">
        <f>IFERROR(IF(X369="",0,CEILING((X369/$H369),1)*$H369),"")</f>
        <v/>
      </c>
      <c r="Z369" s="36">
        <f>IFERROR(IF(Y369=0,"",ROUNDUP(Y369/H369,0)*0.00902),"")</f>
        <v/>
      </c>
      <c r="AA369" s="56" t="n"/>
      <c r="AB369" s="57" t="n"/>
      <c r="AC369" s="441" t="inlineStr">
        <is>
          <t>ЕАЭС N RU Д-RU.РА02.В.56859/22</t>
        </is>
      </c>
      <c r="AG369" s="64" t="n"/>
      <c r="AJ369" s="68" t="n"/>
      <c r="AK369" s="68" t="n">
        <v>0</v>
      </c>
      <c r="BB369" s="442" t="inlineStr">
        <is>
          <t>КИ</t>
        </is>
      </c>
      <c r="BM369" s="64">
        <f>IFERROR(X369*I369/H369,"0")</f>
        <v/>
      </c>
      <c r="BN369" s="64">
        <f>IFERROR(Y369*I369/H369,"0")</f>
        <v/>
      </c>
      <c r="BO369" s="64">
        <f>IFERROR(1/J369*(X369/H369),"0")</f>
        <v/>
      </c>
      <c r="BP369" s="64">
        <f>IFERROR(1/J369*(Y369/H369),"0")</f>
        <v/>
      </c>
    </row>
    <row r="370" ht="27" customHeight="1">
      <c r="A370" s="54" t="inlineStr">
        <is>
          <t>SU001801</t>
        </is>
      </c>
      <c r="B370" s="54" t="inlineStr">
        <is>
          <t>P003014</t>
        </is>
      </c>
      <c r="C370" s="31" t="n">
        <v>4301031154</v>
      </c>
      <c r="D370" s="782" t="n">
        <v>4607091387292</v>
      </c>
      <c r="E370" s="783" t="n"/>
      <c r="F370" s="1220" t="n">
        <v>0.73</v>
      </c>
      <c r="G370" s="32" t="n">
        <v>6</v>
      </c>
      <c r="H370" s="1220" t="n">
        <v>4.38</v>
      </c>
      <c r="I370" s="1220" t="n">
        <v>4.65</v>
      </c>
      <c r="J370" s="32" t="n">
        <v>132</v>
      </c>
      <c r="K370" s="32" t="inlineStr">
        <is>
          <t>12</t>
        </is>
      </c>
      <c r="L370" s="32" t="n"/>
      <c r="M370" s="33" t="inlineStr">
        <is>
          <t>СК2</t>
        </is>
      </c>
      <c r="N370" s="33" t="n"/>
      <c r="O370" s="32" t="n">
        <v>45</v>
      </c>
      <c r="P370" s="829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/>
      </c>
      <c r="Q370" s="785" t="n"/>
      <c r="R370" s="785" t="n"/>
      <c r="S370" s="785" t="n"/>
      <c r="T370" s="786" t="n"/>
      <c r="U370" s="34" t="n"/>
      <c r="V370" s="34" t="n"/>
      <c r="W370" s="35" t="inlineStr">
        <is>
          <t>кг</t>
        </is>
      </c>
      <c r="X370" s="1221" t="n">
        <v>0</v>
      </c>
      <c r="Y370" s="1222">
        <f>IFERROR(IF(X370="",0,CEILING((X370/$H370),1)*$H370),"")</f>
        <v/>
      </c>
      <c r="Z370" s="36">
        <f>IFERROR(IF(Y370=0,"",ROUNDUP(Y370/H370,0)*0.00902),"")</f>
        <v/>
      </c>
      <c r="AA370" s="56" t="n"/>
      <c r="AB370" s="57" t="n"/>
      <c r="AC370" s="443" t="inlineStr">
        <is>
          <t>ЕАЭС N RU Д-RU.РА02.В.56862/22</t>
        </is>
      </c>
      <c r="AG370" s="64" t="n"/>
      <c r="AJ370" s="68" t="n"/>
      <c r="AK370" s="68" t="n">
        <v>0</v>
      </c>
      <c r="BB370" s="444" t="inlineStr">
        <is>
          <t>КИ</t>
        </is>
      </c>
      <c r="BM370" s="64">
        <f>IFERROR(X370*I370/H370,"0")</f>
        <v/>
      </c>
      <c r="BN370" s="64">
        <f>IFERROR(Y370*I370/H370,"0")</f>
        <v/>
      </c>
      <c r="BO370" s="64">
        <f>IFERROR(1/J370*(X370/H370),"0")</f>
        <v/>
      </c>
      <c r="BP370" s="64">
        <f>IFERROR(1/J370*(Y370/H370),"0")</f>
        <v/>
      </c>
    </row>
    <row r="371" ht="27" customHeight="1">
      <c r="A371" s="54" t="inlineStr">
        <is>
          <t>SU002579</t>
        </is>
      </c>
      <c r="B371" s="54" t="inlineStr">
        <is>
          <t>P003012</t>
        </is>
      </c>
      <c r="C371" s="31" t="n">
        <v>4301031152</v>
      </c>
      <c r="D371" s="782" t="n">
        <v>4607091387285</v>
      </c>
      <c r="E371" s="783" t="n"/>
      <c r="F371" s="1220" t="n">
        <v>0.35</v>
      </c>
      <c r="G371" s="32" t="n">
        <v>6</v>
      </c>
      <c r="H371" s="1220" t="n">
        <v>2.1</v>
      </c>
      <c r="I371" s="1220" t="n">
        <v>2.23</v>
      </c>
      <c r="J371" s="32" t="n">
        <v>234</v>
      </c>
      <c r="K371" s="32" t="inlineStr">
        <is>
          <t>18</t>
        </is>
      </c>
      <c r="L371" s="32" t="n"/>
      <c r="M371" s="33" t="inlineStr">
        <is>
          <t>СК2</t>
        </is>
      </c>
      <c r="N371" s="33" t="n"/>
      <c r="O371" s="32" t="n">
        <v>40</v>
      </c>
      <c r="P371" s="1080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Q371" s="785" t="n"/>
      <c r="R371" s="785" t="n"/>
      <c r="S371" s="785" t="n"/>
      <c r="T371" s="786" t="n"/>
      <c r="U371" s="34" t="n"/>
      <c r="V371" s="34" t="n"/>
      <c r="W371" s="35" t="inlineStr">
        <is>
          <t>кг</t>
        </is>
      </c>
      <c r="X371" s="1221" t="n">
        <v>0</v>
      </c>
      <c r="Y371" s="1222">
        <f>IFERROR(IF(X371="",0,CEILING((X371/$H371),1)*$H371),"")</f>
        <v/>
      </c>
      <c r="Z371" s="36">
        <f>IFERROR(IF(Y371=0,"",ROUNDUP(Y371/H371,0)*0.00502),"")</f>
        <v/>
      </c>
      <c r="AA371" s="56" t="n"/>
      <c r="AB371" s="57" t="n"/>
      <c r="AC371" s="445" t="inlineStr">
        <is>
          <t>ЕАЭС N RU Д-RU.РА02.В.56859/22</t>
        </is>
      </c>
      <c r="AG371" s="64" t="n"/>
      <c r="AJ371" s="68" t="n"/>
      <c r="AK371" s="68" t="n">
        <v>0</v>
      </c>
      <c r="BB371" s="446" t="inlineStr">
        <is>
          <t>КИ</t>
        </is>
      </c>
      <c r="BM371" s="64">
        <f>IFERROR(X371*I371/H371,"0")</f>
        <v/>
      </c>
      <c r="BN371" s="64">
        <f>IFERROR(Y371*I371/H371,"0")</f>
        <v/>
      </c>
      <c r="BO371" s="64">
        <f>IFERROR(1/J371*(X371/H371),"0")</f>
        <v/>
      </c>
      <c r="BP371" s="64">
        <f>IFERROR(1/J371*(Y371/H371),"0")</f>
        <v/>
      </c>
    </row>
    <row r="372">
      <c r="A372" s="801" t="n"/>
      <c r="B372" s="800" t="n"/>
      <c r="C372" s="800" t="n"/>
      <c r="D372" s="800" t="n"/>
      <c r="E372" s="800" t="n"/>
      <c r="F372" s="800" t="n"/>
      <c r="G372" s="800" t="n"/>
      <c r="H372" s="800" t="n"/>
      <c r="I372" s="800" t="n"/>
      <c r="J372" s="800" t="n"/>
      <c r="K372" s="800" t="n"/>
      <c r="L372" s="800" t="n"/>
      <c r="M372" s="800" t="n"/>
      <c r="N372" s="800" t="n"/>
      <c r="O372" s="802" t="n"/>
      <c r="P372" s="796" t="inlineStr">
        <is>
          <t>Итого</t>
        </is>
      </c>
      <c r="Q372" s="793" t="n"/>
      <c r="R372" s="793" t="n"/>
      <c r="S372" s="793" t="n"/>
      <c r="T372" s="793" t="n"/>
      <c r="U372" s="793" t="n"/>
      <c r="V372" s="794" t="n"/>
      <c r="W372" s="37" t="inlineStr">
        <is>
          <t>кор</t>
        </is>
      </c>
      <c r="X372" s="1223">
        <f>IFERROR(X368/H368,"0")+IFERROR(X369/H369,"0")+IFERROR(X370/H370,"0")+IFERROR(X371/H371,"0")</f>
        <v/>
      </c>
      <c r="Y372" s="1223">
        <f>IFERROR(Y368/H368,"0")+IFERROR(Y369/H369,"0")+IFERROR(Y370/H370,"0")+IFERROR(Y371/H371,"0")</f>
        <v/>
      </c>
      <c r="Z372" s="1223">
        <f>IFERROR(IF(Z368="",0,Z368),"0")+IFERROR(IF(Z369="",0,Z369),"0")+IFERROR(IF(Z370="",0,Z370),"0")+IFERROR(IF(Z371="",0,Z371),"0")</f>
        <v/>
      </c>
      <c r="AA372" s="1224" t="n"/>
      <c r="AB372" s="1224" t="n"/>
      <c r="AC372" s="1224" t="n"/>
    </row>
    <row r="373">
      <c r="A373" s="800" t="n"/>
      <c r="B373" s="800" t="n"/>
      <c r="C373" s="800" t="n"/>
      <c r="D373" s="800" t="n"/>
      <c r="E373" s="800" t="n"/>
      <c r="F373" s="800" t="n"/>
      <c r="G373" s="800" t="n"/>
      <c r="H373" s="800" t="n"/>
      <c r="I373" s="800" t="n"/>
      <c r="J373" s="800" t="n"/>
      <c r="K373" s="800" t="n"/>
      <c r="L373" s="800" t="n"/>
      <c r="M373" s="800" t="n"/>
      <c r="N373" s="800" t="n"/>
      <c r="O373" s="802" t="n"/>
      <c r="P373" s="796" t="inlineStr">
        <is>
          <t>Итого</t>
        </is>
      </c>
      <c r="Q373" s="793" t="n"/>
      <c r="R373" s="793" t="n"/>
      <c r="S373" s="793" t="n"/>
      <c r="T373" s="793" t="n"/>
      <c r="U373" s="793" t="n"/>
      <c r="V373" s="794" t="n"/>
      <c r="W373" s="37" t="inlineStr">
        <is>
          <t>кг</t>
        </is>
      </c>
      <c r="X373" s="1223">
        <f>IFERROR(SUM(X368:X371),"0")</f>
        <v/>
      </c>
      <c r="Y373" s="1223">
        <f>IFERROR(SUM(Y368:Y371),"0")</f>
        <v/>
      </c>
      <c r="Z373" s="37" t="n"/>
      <c r="AA373" s="1224" t="n"/>
      <c r="AB373" s="1224" t="n"/>
      <c r="AC373" s="1224" t="n"/>
    </row>
    <row r="374" ht="14.25" customHeight="1">
      <c r="A374" s="799" t="inlineStr">
        <is>
          <t>Сосиски</t>
        </is>
      </c>
      <c r="B374" s="800" t="n"/>
      <c r="C374" s="800" t="n"/>
      <c r="D374" s="800" t="n"/>
      <c r="E374" s="800" t="n"/>
      <c r="F374" s="800" t="n"/>
      <c r="G374" s="800" t="n"/>
      <c r="H374" s="800" t="n"/>
      <c r="I374" s="800" t="n"/>
      <c r="J374" s="800" t="n"/>
      <c r="K374" s="800" t="n"/>
      <c r="L374" s="800" t="n"/>
      <c r="M374" s="800" t="n"/>
      <c r="N374" s="800" t="n"/>
      <c r="O374" s="800" t="n"/>
      <c r="P374" s="800" t="n"/>
      <c r="Q374" s="800" t="n"/>
      <c r="R374" s="800" t="n"/>
      <c r="S374" s="800" t="n"/>
      <c r="T374" s="800" t="n"/>
      <c r="U374" s="800" t="n"/>
      <c r="V374" s="800" t="n"/>
      <c r="W374" s="800" t="n"/>
      <c r="X374" s="800" t="n"/>
      <c r="Y374" s="800" t="n"/>
      <c r="Z374" s="800" t="n"/>
      <c r="AA374" s="799" t="n"/>
      <c r="AB374" s="799" t="n"/>
      <c r="AC374" s="799" t="n"/>
    </row>
    <row r="375" ht="48" customHeight="1">
      <c r="A375" s="54" t="inlineStr">
        <is>
          <t>SU001340</t>
        </is>
      </c>
      <c r="B375" s="54" t="inlineStr">
        <is>
          <t>P002209</t>
        </is>
      </c>
      <c r="C375" s="31" t="n">
        <v>4301051100</v>
      </c>
      <c r="D375" s="782" t="n">
        <v>4607091387766</v>
      </c>
      <c r="E375" s="783" t="n"/>
      <c r="F375" s="1220" t="n">
        <v>1.3</v>
      </c>
      <c r="G375" s="32" t="n">
        <v>6</v>
      </c>
      <c r="H375" s="1220" t="n">
        <v>7.8</v>
      </c>
      <c r="I375" s="1220" t="n">
        <v>8.358000000000001</v>
      </c>
      <c r="J375" s="32" t="n">
        <v>56</v>
      </c>
      <c r="K375" s="32" t="inlineStr">
        <is>
          <t>8</t>
        </is>
      </c>
      <c r="L375" s="32" t="n"/>
      <c r="M375" s="33" t="inlineStr">
        <is>
          <t>СК3</t>
        </is>
      </c>
      <c r="N375" s="33" t="n"/>
      <c r="O375" s="32" t="n">
        <v>40</v>
      </c>
      <c r="P375" s="1009">
        <f>HYPERLINK("https://abi.ru/products/Охлажденные/Стародворье/Бордо/Сосиски/P002209/","Сосиски Ганноверские Бордо Весовые П/а мгс Баварушка")</f>
        <v/>
      </c>
      <c r="Q375" s="785" t="n"/>
      <c r="R375" s="785" t="n"/>
      <c r="S375" s="785" t="n"/>
      <c r="T375" s="786" t="n"/>
      <c r="U375" s="34" t="n"/>
      <c r="V375" s="34" t="n"/>
      <c r="W375" s="35" t="inlineStr">
        <is>
          <t>кг</t>
        </is>
      </c>
      <c r="X375" s="1221" t="n">
        <v>100</v>
      </c>
      <c r="Y375" s="1222">
        <f>IFERROR(IF(X375="",0,CEILING((X375/$H375),1)*$H375),"")</f>
        <v/>
      </c>
      <c r="Z375" s="36">
        <f>IFERROR(IF(Y375=0,"",ROUNDUP(Y375/H375,0)*0.02175),"")</f>
        <v/>
      </c>
      <c r="AA375" s="56" t="n"/>
      <c r="AB375" s="57" t="n"/>
      <c r="AC375" s="447" t="inlineStr">
        <is>
          <t>ЕАЭС N RU Д-RU.АБ75.В.00420/19, ЕАЭС N RU Д-RU.РА02.В.59556/22, ЕАЭС N RU Д-RU.РА04.В.49333/24, ЕАЭС № RU Д-RU.АБ75.В.00705/19</t>
        </is>
      </c>
      <c r="AG375" s="64" t="n"/>
      <c r="AJ375" s="68" t="n"/>
      <c r="AK375" s="68" t="n">
        <v>0</v>
      </c>
      <c r="BB375" s="448" t="inlineStr">
        <is>
          <t>КИ</t>
        </is>
      </c>
      <c r="BM375" s="64">
        <f>IFERROR(X375*I375/H375,"0")</f>
        <v/>
      </c>
      <c r="BN375" s="64">
        <f>IFERROR(Y375*I375/H375,"0")</f>
        <v/>
      </c>
      <c r="BO375" s="64">
        <f>IFERROR(1/J375*(X375/H375),"0")</f>
        <v/>
      </c>
      <c r="BP375" s="64">
        <f>IFERROR(1/J375*(Y375/H375),"0")</f>
        <v/>
      </c>
    </row>
    <row r="376" ht="37.5" customHeight="1">
      <c r="A376" s="54" t="inlineStr">
        <is>
          <t>SU001727</t>
        </is>
      </c>
      <c r="B376" s="54" t="inlineStr">
        <is>
          <t>P002205</t>
        </is>
      </c>
      <c r="C376" s="31" t="n">
        <v>4301051116</v>
      </c>
      <c r="D376" s="782" t="n">
        <v>4607091387957</v>
      </c>
      <c r="E376" s="783" t="n"/>
      <c r="F376" s="1220" t="n">
        <v>1.3</v>
      </c>
      <c r="G376" s="32" t="n">
        <v>6</v>
      </c>
      <c r="H376" s="1220" t="n">
        <v>7.8</v>
      </c>
      <c r="I376" s="1220" t="n">
        <v>8.364000000000001</v>
      </c>
      <c r="J376" s="32" t="n">
        <v>56</v>
      </c>
      <c r="K376" s="32" t="inlineStr">
        <is>
          <t>8</t>
        </is>
      </c>
      <c r="L376" s="32" t="n"/>
      <c r="M376" s="33" t="inlineStr">
        <is>
          <t>СК2</t>
        </is>
      </c>
      <c r="N376" s="33" t="n"/>
      <c r="O376" s="32" t="n">
        <v>40</v>
      </c>
      <c r="P376" s="1104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Q376" s="785" t="n"/>
      <c r="R376" s="785" t="n"/>
      <c r="S376" s="785" t="n"/>
      <c r="T376" s="786" t="n"/>
      <c r="U376" s="34" t="n"/>
      <c r="V376" s="34" t="n"/>
      <c r="W376" s="35" t="inlineStr">
        <is>
          <t>кг</t>
        </is>
      </c>
      <c r="X376" s="1221" t="n">
        <v>0</v>
      </c>
      <c r="Y376" s="1222">
        <f>IFERROR(IF(X376="",0,CEILING((X376/$H376),1)*$H376),"")</f>
        <v/>
      </c>
      <c r="Z376" s="36">
        <f>IFERROR(IF(Y376=0,"",ROUNDUP(Y376/H376,0)*0.02175),"")</f>
        <v/>
      </c>
      <c r="AA376" s="56" t="n"/>
      <c r="AB376" s="57" t="n"/>
      <c r="AC376" s="449" t="inlineStr">
        <is>
          <t>ЕАЭС N RU Д-RU.АБ75.В.00420/19, ЕАЭС N RU Д-RU.РА02.В.59549/22, ЕАЭС N RU Д-RU.РА10.В.03664/24</t>
        </is>
      </c>
      <c r="AG376" s="64" t="n"/>
      <c r="AJ376" s="68" t="n"/>
      <c r="AK376" s="68" t="n">
        <v>0</v>
      </c>
      <c r="BB376" s="450" t="inlineStr">
        <is>
          <t>КИ</t>
        </is>
      </c>
      <c r="BM376" s="64">
        <f>IFERROR(X376*I376/H376,"0")</f>
        <v/>
      </c>
      <c r="BN376" s="64">
        <f>IFERROR(Y376*I376/H376,"0")</f>
        <v/>
      </c>
      <c r="BO376" s="64">
        <f>IFERROR(1/J376*(X376/H376),"0")</f>
        <v/>
      </c>
      <c r="BP376" s="64">
        <f>IFERROR(1/J376*(Y376/H376),"0")</f>
        <v/>
      </c>
    </row>
    <row r="377" ht="37.5" customHeight="1">
      <c r="A377" s="54" t="inlineStr">
        <is>
          <t>SU001728</t>
        </is>
      </c>
      <c r="B377" s="54" t="inlineStr">
        <is>
          <t>P002207</t>
        </is>
      </c>
      <c r="C377" s="31" t="n">
        <v>4301051115</v>
      </c>
      <c r="D377" s="782" t="n">
        <v>4607091387964</v>
      </c>
      <c r="E377" s="783" t="n"/>
      <c r="F377" s="1220" t="n">
        <v>1.35</v>
      </c>
      <c r="G377" s="32" t="n">
        <v>6</v>
      </c>
      <c r="H377" s="1220" t="n">
        <v>8.1</v>
      </c>
      <c r="I377" s="1220" t="n">
        <v>8.646000000000001</v>
      </c>
      <c r="J377" s="32" t="n">
        <v>56</v>
      </c>
      <c r="K377" s="32" t="inlineStr">
        <is>
          <t>8</t>
        </is>
      </c>
      <c r="L377" s="32" t="n"/>
      <c r="M377" s="33" t="inlineStr">
        <is>
          <t>СК2</t>
        </is>
      </c>
      <c r="N377" s="33" t="n"/>
      <c r="O377" s="32" t="n">
        <v>40</v>
      </c>
      <c r="P377" s="1014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Q377" s="785" t="n"/>
      <c r="R377" s="785" t="n"/>
      <c r="S377" s="785" t="n"/>
      <c r="T377" s="786" t="n"/>
      <c r="U377" s="34" t="n"/>
      <c r="V377" s="34" t="n"/>
      <c r="W377" s="35" t="inlineStr">
        <is>
          <t>кг</t>
        </is>
      </c>
      <c r="X377" s="1221" t="n">
        <v>0</v>
      </c>
      <c r="Y377" s="1222">
        <f>IFERROR(IF(X377="",0,CEILING((X377/$H377),1)*$H377),"")</f>
        <v/>
      </c>
      <c r="Z377" s="36">
        <f>IFERROR(IF(Y377=0,"",ROUNDUP(Y377/H377,0)*0.02175),"")</f>
        <v/>
      </c>
      <c r="AA377" s="56" t="n"/>
      <c r="AB377" s="57" t="n"/>
      <c r="AC377" s="451" t="inlineStr">
        <is>
          <t>ЕАЭС N RU Д-RU.АБ75.В.00420/19, ЕАЭС N RU Д-RU.РА02.В.59684/22, ЕАЭС N RU Д-RU.РА10.В.11265/24</t>
        </is>
      </c>
      <c r="AG377" s="64" t="n"/>
      <c r="AJ377" s="68" t="n"/>
      <c r="AK377" s="68" t="n">
        <v>0</v>
      </c>
      <c r="BB377" s="452" t="inlineStr">
        <is>
          <t>КИ</t>
        </is>
      </c>
      <c r="BM377" s="64">
        <f>IFERROR(X377*I377/H377,"0")</f>
        <v/>
      </c>
      <c r="BN377" s="64">
        <f>IFERROR(Y377*I377/H377,"0")</f>
        <v/>
      </c>
      <c r="BO377" s="64">
        <f>IFERROR(1/J377*(X377/H377),"0")</f>
        <v/>
      </c>
      <c r="BP377" s="64">
        <f>IFERROR(1/J377*(Y377/H377),"0")</f>
        <v/>
      </c>
    </row>
    <row r="378" ht="37.5" customHeight="1">
      <c r="A378" s="54" t="inlineStr">
        <is>
          <t>SU003333</t>
        </is>
      </c>
      <c r="B378" s="54" t="inlineStr">
        <is>
          <t>P004082</t>
        </is>
      </c>
      <c r="C378" s="31" t="n">
        <v>4301051705</v>
      </c>
      <c r="D378" s="782" t="n">
        <v>4680115884588</v>
      </c>
      <c r="E378" s="783" t="n"/>
      <c r="F378" s="1220" t="n">
        <v>0.5</v>
      </c>
      <c r="G378" s="32" t="n">
        <v>6</v>
      </c>
      <c r="H378" s="1220" t="n">
        <v>3</v>
      </c>
      <c r="I378" s="1220" t="n">
        <v>3.246</v>
      </c>
      <c r="J378" s="32" t="n">
        <v>182</v>
      </c>
      <c r="K378" s="32" t="inlineStr">
        <is>
          <t>14</t>
        </is>
      </c>
      <c r="L378" s="32" t="n"/>
      <c r="M378" s="33" t="inlineStr">
        <is>
          <t>СК2</t>
        </is>
      </c>
      <c r="N378" s="33" t="n"/>
      <c r="O378" s="32" t="n">
        <v>40</v>
      </c>
      <c r="P378" s="1088">
        <f>HYPERLINK("https://abi.ru/products/Охлажденные/Стародворье/Бордо/Сосиски/P004082/","Сосиски «Ганноверские» Фикс.вес 0,5 П/а мгс ТМ «Стародворье»")</f>
        <v/>
      </c>
      <c r="Q378" s="785" t="n"/>
      <c r="R378" s="785" t="n"/>
      <c r="S378" s="785" t="n"/>
      <c r="T378" s="786" t="n"/>
      <c r="U378" s="34" t="n"/>
      <c r="V378" s="34" t="n"/>
      <c r="W378" s="35" t="inlineStr">
        <is>
          <t>кг</t>
        </is>
      </c>
      <c r="X378" s="1221" t="n">
        <v>0</v>
      </c>
      <c r="Y378" s="1222">
        <f>IFERROR(IF(X378="",0,CEILING((X378/$H378),1)*$H378),"")</f>
        <v/>
      </c>
      <c r="Z378" s="36">
        <f>IFERROR(IF(Y378=0,"",ROUNDUP(Y378/H378,0)*0.00651),"")</f>
        <v/>
      </c>
      <c r="AA378" s="56" t="n"/>
      <c r="AB378" s="57" t="n"/>
      <c r="AC378" s="453" t="inlineStr">
        <is>
          <t>ЕАЭС N RU Д-RU.РА01.В.41891/22, ЕАЭС N RU Д-RU.РА02.В.59556/22, ЕАЭС N RU Д-RU.РА04.В.49333/24</t>
        </is>
      </c>
      <c r="AG378" s="64" t="n"/>
      <c r="AJ378" s="68" t="n"/>
      <c r="AK378" s="68" t="n">
        <v>0</v>
      </c>
      <c r="BB378" s="454" t="inlineStr">
        <is>
          <t>КИ</t>
        </is>
      </c>
      <c r="BM378" s="64">
        <f>IFERROR(X378*I378/H378,"0")</f>
        <v/>
      </c>
      <c r="BN378" s="64">
        <f>IFERROR(Y378*I378/H378,"0")</f>
        <v/>
      </c>
      <c r="BO378" s="64">
        <f>IFERROR(1/J378*(X378/H378),"0")</f>
        <v/>
      </c>
      <c r="BP378" s="64">
        <f>IFERROR(1/J378*(Y378/H378),"0")</f>
        <v/>
      </c>
    </row>
    <row r="379" ht="37.5" customHeight="1">
      <c r="A379" s="54" t="inlineStr">
        <is>
          <t>SU001763</t>
        </is>
      </c>
      <c r="B379" s="54" t="inlineStr">
        <is>
          <t>P002206</t>
        </is>
      </c>
      <c r="C379" s="31" t="n">
        <v>4301051130</v>
      </c>
      <c r="D379" s="782" t="n">
        <v>4607091387537</v>
      </c>
      <c r="E379" s="783" t="n"/>
      <c r="F379" s="1220" t="n">
        <v>0.45</v>
      </c>
      <c r="G379" s="32" t="n">
        <v>6</v>
      </c>
      <c r="H379" s="1220" t="n">
        <v>2.7</v>
      </c>
      <c r="I379" s="1220" t="n">
        <v>2.97</v>
      </c>
      <c r="J379" s="32" t="n">
        <v>182</v>
      </c>
      <c r="K379" s="32" t="inlineStr">
        <is>
          <t>14</t>
        </is>
      </c>
      <c r="L379" s="32" t="n"/>
      <c r="M379" s="33" t="inlineStr">
        <is>
          <t>СК2</t>
        </is>
      </c>
      <c r="N379" s="33" t="n"/>
      <c r="O379" s="32" t="n">
        <v>40</v>
      </c>
      <c r="P379" s="1183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Q379" s="785" t="n"/>
      <c r="R379" s="785" t="n"/>
      <c r="S379" s="785" t="n"/>
      <c r="T379" s="786" t="n"/>
      <c r="U379" s="34" t="n"/>
      <c r="V379" s="34" t="n"/>
      <c r="W379" s="35" t="inlineStr">
        <is>
          <t>кг</t>
        </is>
      </c>
      <c r="X379" s="1221" t="n">
        <v>0</v>
      </c>
      <c r="Y379" s="1222">
        <f>IFERROR(IF(X379="",0,CEILING((X379/$H379),1)*$H379),"")</f>
        <v/>
      </c>
      <c r="Z379" s="36">
        <f>IFERROR(IF(Y379=0,"",ROUNDUP(Y379/H379,0)*0.00651),"")</f>
        <v/>
      </c>
      <c r="AA379" s="56" t="n"/>
      <c r="AB379" s="57" t="n"/>
      <c r="AC379" s="455" t="inlineStr">
        <is>
          <t>ЕАЭС N RU Д-RU.АБ75.В.00420/19, ЕАЭС N RU Д-RU.РА02.В.59549/22, ЕАЭС № RU Д-RU.АБ75.В.00703/19</t>
        </is>
      </c>
      <c r="AG379" s="64" t="n"/>
      <c r="AJ379" s="68" t="n"/>
      <c r="AK379" s="68" t="n">
        <v>0</v>
      </c>
      <c r="BB379" s="456" t="inlineStr">
        <is>
          <t>КИ</t>
        </is>
      </c>
      <c r="BM379" s="64">
        <f>IFERROR(X379*I379/H379,"0")</f>
        <v/>
      </c>
      <c r="BN379" s="64">
        <f>IFERROR(Y379*I379/H379,"0")</f>
        <v/>
      </c>
      <c r="BO379" s="64">
        <f>IFERROR(1/J379*(X379/H379),"0")</f>
        <v/>
      </c>
      <c r="BP379" s="64">
        <f>IFERROR(1/J379*(Y379/H379),"0")</f>
        <v/>
      </c>
    </row>
    <row r="380" ht="48" customHeight="1">
      <c r="A380" s="54" t="inlineStr">
        <is>
          <t>SU001762</t>
        </is>
      </c>
      <c r="B380" s="54" t="inlineStr">
        <is>
          <t>P002208</t>
        </is>
      </c>
      <c r="C380" s="31" t="n">
        <v>4301051132</v>
      </c>
      <c r="D380" s="782" t="n">
        <v>4607091387513</v>
      </c>
      <c r="E380" s="783" t="n"/>
      <c r="F380" s="1220" t="n">
        <v>0.45</v>
      </c>
      <c r="G380" s="32" t="n">
        <v>6</v>
      </c>
      <c r="H380" s="1220" t="n">
        <v>2.7</v>
      </c>
      <c r="I380" s="1220" t="n">
        <v>2.958</v>
      </c>
      <c r="J380" s="32" t="n">
        <v>182</v>
      </c>
      <c r="K380" s="32" t="inlineStr">
        <is>
          <t>14</t>
        </is>
      </c>
      <c r="L380" s="32" t="n"/>
      <c r="M380" s="33" t="inlineStr">
        <is>
          <t>СК2</t>
        </is>
      </c>
      <c r="N380" s="33" t="n"/>
      <c r="O380" s="32" t="n">
        <v>40</v>
      </c>
      <c r="P380" s="1025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Q380" s="785" t="n"/>
      <c r="R380" s="785" t="n"/>
      <c r="S380" s="785" t="n"/>
      <c r="T380" s="786" t="n"/>
      <c r="U380" s="34" t="n"/>
      <c r="V380" s="34" t="n"/>
      <c r="W380" s="35" t="inlineStr">
        <is>
          <t>кг</t>
        </is>
      </c>
      <c r="X380" s="1221" t="n">
        <v>0</v>
      </c>
      <c r="Y380" s="1222">
        <f>IFERROR(IF(X380="",0,CEILING((X380/$H380),1)*$H380),"")</f>
        <v/>
      </c>
      <c r="Z380" s="36">
        <f>IFERROR(IF(Y380=0,"",ROUNDUP(Y380/H380,0)*0.00651),"")</f>
        <v/>
      </c>
      <c r="AA380" s="56" t="n"/>
      <c r="AB380" s="57" t="n"/>
      <c r="AC380" s="457" t="inlineStr">
        <is>
          <t>ЕАЭС N RU Д-RU.АБ75.В.00420/19, ЕАЭС N RU Д-RU.РА02.В.59684/22, ЕАЭС N RU Д-RU.РА10.В.11265/24, ЕАЭС № RU Д-RU.АБ75.В.00704/19</t>
        </is>
      </c>
      <c r="AG380" s="64" t="n"/>
      <c r="AJ380" s="68" t="n"/>
      <c r="AK380" s="68" t="n">
        <v>0</v>
      </c>
      <c r="BB380" s="458" t="inlineStr">
        <is>
          <t>КИ</t>
        </is>
      </c>
      <c r="BM380" s="64">
        <f>IFERROR(X380*I380/H380,"0")</f>
        <v/>
      </c>
      <c r="BN380" s="64">
        <f>IFERROR(Y380*I380/H380,"0")</f>
        <v/>
      </c>
      <c r="BO380" s="64">
        <f>IFERROR(1/J380*(X380/H380),"0")</f>
        <v/>
      </c>
      <c r="BP380" s="64">
        <f>IFERROR(1/J380*(Y380/H380),"0")</f>
        <v/>
      </c>
    </row>
    <row r="381">
      <c r="A381" s="801" t="n"/>
      <c r="B381" s="800" t="n"/>
      <c r="C381" s="800" t="n"/>
      <c r="D381" s="800" t="n"/>
      <c r="E381" s="800" t="n"/>
      <c r="F381" s="800" t="n"/>
      <c r="G381" s="800" t="n"/>
      <c r="H381" s="800" t="n"/>
      <c r="I381" s="800" t="n"/>
      <c r="J381" s="800" t="n"/>
      <c r="K381" s="800" t="n"/>
      <c r="L381" s="800" t="n"/>
      <c r="M381" s="800" t="n"/>
      <c r="N381" s="800" t="n"/>
      <c r="O381" s="802" t="n"/>
      <c r="P381" s="796" t="inlineStr">
        <is>
          <t>Итого</t>
        </is>
      </c>
      <c r="Q381" s="793" t="n"/>
      <c r="R381" s="793" t="n"/>
      <c r="S381" s="793" t="n"/>
      <c r="T381" s="793" t="n"/>
      <c r="U381" s="793" t="n"/>
      <c r="V381" s="794" t="n"/>
      <c r="W381" s="37" t="inlineStr">
        <is>
          <t>кор</t>
        </is>
      </c>
      <c r="X381" s="1223">
        <f>IFERROR(X375/H375,"0")+IFERROR(X376/H376,"0")+IFERROR(X377/H377,"0")+IFERROR(X378/H378,"0")+IFERROR(X379/H379,"0")+IFERROR(X380/H380,"0")</f>
        <v/>
      </c>
      <c r="Y381" s="1223">
        <f>IFERROR(Y375/H375,"0")+IFERROR(Y376/H376,"0")+IFERROR(Y377/H377,"0")+IFERROR(Y378/H378,"0")+IFERROR(Y379/H379,"0")+IFERROR(Y380/H380,"0")</f>
        <v/>
      </c>
      <c r="Z381" s="1223">
        <f>IFERROR(IF(Z375="",0,Z375),"0")+IFERROR(IF(Z376="",0,Z376),"0")+IFERROR(IF(Z377="",0,Z377),"0")+IFERROR(IF(Z378="",0,Z378),"0")+IFERROR(IF(Z379="",0,Z379),"0")+IFERROR(IF(Z380="",0,Z380),"0")</f>
        <v/>
      </c>
      <c r="AA381" s="1224" t="n"/>
      <c r="AB381" s="1224" t="n"/>
      <c r="AC381" s="1224" t="n"/>
    </row>
    <row r="382">
      <c r="A382" s="800" t="n"/>
      <c r="B382" s="800" t="n"/>
      <c r="C382" s="800" t="n"/>
      <c r="D382" s="800" t="n"/>
      <c r="E382" s="800" t="n"/>
      <c r="F382" s="800" t="n"/>
      <c r="G382" s="800" t="n"/>
      <c r="H382" s="800" t="n"/>
      <c r="I382" s="800" t="n"/>
      <c r="J382" s="800" t="n"/>
      <c r="K382" s="800" t="n"/>
      <c r="L382" s="800" t="n"/>
      <c r="M382" s="800" t="n"/>
      <c r="N382" s="800" t="n"/>
      <c r="O382" s="802" t="n"/>
      <c r="P382" s="796" t="inlineStr">
        <is>
          <t>Итого</t>
        </is>
      </c>
      <c r="Q382" s="793" t="n"/>
      <c r="R382" s="793" t="n"/>
      <c r="S382" s="793" t="n"/>
      <c r="T382" s="793" t="n"/>
      <c r="U382" s="793" t="n"/>
      <c r="V382" s="794" t="n"/>
      <c r="W382" s="37" t="inlineStr">
        <is>
          <t>кг</t>
        </is>
      </c>
      <c r="X382" s="1223">
        <f>IFERROR(SUM(X375:X380),"0")</f>
        <v/>
      </c>
      <c r="Y382" s="1223">
        <f>IFERROR(SUM(Y375:Y380),"0")</f>
        <v/>
      </c>
      <c r="Z382" s="37" t="n"/>
      <c r="AA382" s="1224" t="n"/>
      <c r="AB382" s="1224" t="n"/>
      <c r="AC382" s="1224" t="n"/>
    </row>
    <row r="383" ht="14.25" customHeight="1">
      <c r="A383" s="799" t="inlineStr">
        <is>
          <t>Сардельки</t>
        </is>
      </c>
      <c r="B383" s="800" t="n"/>
      <c r="C383" s="800" t="n"/>
      <c r="D383" s="800" t="n"/>
      <c r="E383" s="800" t="n"/>
      <c r="F383" s="800" t="n"/>
      <c r="G383" s="800" t="n"/>
      <c r="H383" s="800" t="n"/>
      <c r="I383" s="800" t="n"/>
      <c r="J383" s="800" t="n"/>
      <c r="K383" s="800" t="n"/>
      <c r="L383" s="800" t="n"/>
      <c r="M383" s="800" t="n"/>
      <c r="N383" s="800" t="n"/>
      <c r="O383" s="800" t="n"/>
      <c r="P383" s="800" t="n"/>
      <c r="Q383" s="800" t="n"/>
      <c r="R383" s="800" t="n"/>
      <c r="S383" s="800" t="n"/>
      <c r="T383" s="800" t="n"/>
      <c r="U383" s="800" t="n"/>
      <c r="V383" s="800" t="n"/>
      <c r="W383" s="800" t="n"/>
      <c r="X383" s="800" t="n"/>
      <c r="Y383" s="800" t="n"/>
      <c r="Z383" s="800" t="n"/>
      <c r="AA383" s="799" t="n"/>
      <c r="AB383" s="799" t="n"/>
      <c r="AC383" s="799" t="n"/>
    </row>
    <row r="384" ht="37.5" customHeight="1">
      <c r="A384" s="54" t="inlineStr">
        <is>
          <t>SU001051</t>
        </is>
      </c>
      <c r="B384" s="54" t="inlineStr">
        <is>
          <t>P003997</t>
        </is>
      </c>
      <c r="C384" s="31" t="n">
        <v>4301060379</v>
      </c>
      <c r="D384" s="782" t="n">
        <v>4607091380880</v>
      </c>
      <c r="E384" s="783" t="n"/>
      <c r="F384" s="1220" t="n">
        <v>1.4</v>
      </c>
      <c r="G384" s="32" t="n">
        <v>6</v>
      </c>
      <c r="H384" s="1220" t="n">
        <v>8.4</v>
      </c>
      <c r="I384" s="1220" t="n">
        <v>8.964</v>
      </c>
      <c r="J384" s="32" t="n">
        <v>56</v>
      </c>
      <c r="K384" s="32" t="inlineStr">
        <is>
          <t>8</t>
        </is>
      </c>
      <c r="L384" s="32" t="n"/>
      <c r="M384" s="33" t="inlineStr">
        <is>
          <t>СК2</t>
        </is>
      </c>
      <c r="N384" s="33" t="n"/>
      <c r="O384" s="32" t="n">
        <v>30</v>
      </c>
      <c r="P384" s="1186">
        <f>HYPERLINK("https://abi.ru/products/Охлажденные/Стародворье/Бордо/Сардельки/P003997/","Сардельки «Нежные» Весовые NDX мгс ТМ «Стародворье»")</f>
        <v/>
      </c>
      <c r="Q384" s="785" t="n"/>
      <c r="R384" s="785" t="n"/>
      <c r="S384" s="785" t="n"/>
      <c r="T384" s="786" t="n"/>
      <c r="U384" s="34" t="n"/>
      <c r="V384" s="34" t="n"/>
      <c r="W384" s="35" t="inlineStr">
        <is>
          <t>кг</t>
        </is>
      </c>
      <c r="X384" s="1221" t="n">
        <v>0</v>
      </c>
      <c r="Y384" s="1222">
        <f>IFERROR(IF(X384="",0,CEILING((X384/$H384),1)*$H384),"")</f>
        <v/>
      </c>
      <c r="Z384" s="36">
        <f>IFERROR(IF(Y384=0,"",ROUNDUP(Y384/H384,0)*0.02175),"")</f>
        <v/>
      </c>
      <c r="AA384" s="56" t="n"/>
      <c r="AB384" s="57" t="n"/>
      <c r="AC384" s="459" t="inlineStr">
        <is>
          <t>ЕАЭС N RU Д-RU.РА01.В.99293/24, ЕАЭС N RU Д-RU.РА01.В.99372/24, ЕАЭС N RU Д-RU.РА01.В.99458/24</t>
        </is>
      </c>
      <c r="AG384" s="64" t="n"/>
      <c r="AJ384" s="68" t="n"/>
      <c r="AK384" s="68" t="n">
        <v>0</v>
      </c>
      <c r="BB384" s="460" t="inlineStr">
        <is>
          <t>КИ</t>
        </is>
      </c>
      <c r="BM384" s="64">
        <f>IFERROR(X384*I384/H384,"0")</f>
        <v/>
      </c>
      <c r="BN384" s="64">
        <f>IFERROR(Y384*I384/H384,"0")</f>
        <v/>
      </c>
      <c r="BO384" s="64">
        <f>IFERROR(1/J384*(X384/H384),"0")</f>
        <v/>
      </c>
      <c r="BP384" s="64">
        <f>IFERROR(1/J384*(Y384/H384),"0")</f>
        <v/>
      </c>
    </row>
    <row r="385" ht="37.5" customHeight="1">
      <c r="A385" s="54" t="inlineStr">
        <is>
          <t>SU000227</t>
        </is>
      </c>
      <c r="B385" s="54" t="inlineStr">
        <is>
          <t>P002536</t>
        </is>
      </c>
      <c r="C385" s="31" t="n">
        <v>4301060308</v>
      </c>
      <c r="D385" s="782" t="n">
        <v>4607091384482</v>
      </c>
      <c r="E385" s="783" t="n"/>
      <c r="F385" s="1220" t="n">
        <v>1.3</v>
      </c>
      <c r="G385" s="32" t="n">
        <v>6</v>
      </c>
      <c r="H385" s="1220" t="n">
        <v>7.8</v>
      </c>
      <c r="I385" s="1220" t="n">
        <v>8.364000000000001</v>
      </c>
      <c r="J385" s="32" t="n">
        <v>56</v>
      </c>
      <c r="K385" s="32" t="inlineStr">
        <is>
          <t>8</t>
        </is>
      </c>
      <c r="L385" s="32" t="n"/>
      <c r="M385" s="33" t="inlineStr">
        <is>
          <t>СК2</t>
        </is>
      </c>
      <c r="N385" s="33" t="n"/>
      <c r="O385" s="32" t="n">
        <v>30</v>
      </c>
      <c r="P385" s="795">
        <f>HYPERLINK("https://abi.ru/products/Охлажденные/Стародворье/Бордо/Сардельки/P002536/","Сардельки «Стародворские с говядиной» Весовые NDX ТМ «Стародворье»")</f>
        <v/>
      </c>
      <c r="Q385" s="785" t="n"/>
      <c r="R385" s="785" t="n"/>
      <c r="S385" s="785" t="n"/>
      <c r="T385" s="786" t="n"/>
      <c r="U385" s="34" t="n"/>
      <c r="V385" s="34" t="n"/>
      <c r="W385" s="35" t="inlineStr">
        <is>
          <t>кг</t>
        </is>
      </c>
      <c r="X385" s="1221" t="n">
        <v>0</v>
      </c>
      <c r="Y385" s="1222">
        <f>IFERROR(IF(X385="",0,CEILING((X385/$H385),1)*$H385),"")</f>
        <v/>
      </c>
      <c r="Z385" s="36">
        <f>IFERROR(IF(Y385=0,"",ROUNDUP(Y385/H385,0)*0.02175),"")</f>
        <v/>
      </c>
      <c r="AA385" s="56" t="n"/>
      <c r="AB385" s="57" t="n"/>
      <c r="AC385" s="461" t="inlineStr">
        <is>
          <t>ЕАЭС N RU Д-RU.РА01.В.44476/21, ЕАЭС N RU Д-RU.РА03.В.18017/24, ЕАЭС N RU Д-RU.РА03.В.24110/24</t>
        </is>
      </c>
      <c r="AG385" s="64" t="n"/>
      <c r="AJ385" s="68" t="n"/>
      <c r="AK385" s="68" t="n">
        <v>0</v>
      </c>
      <c r="BB385" s="462" t="inlineStr">
        <is>
          <t>КИ</t>
        </is>
      </c>
      <c r="BM385" s="64">
        <f>IFERROR(X385*I385/H385,"0")</f>
        <v/>
      </c>
      <c r="BN385" s="64">
        <f>IFERROR(Y385*I385/H385,"0")</f>
        <v/>
      </c>
      <c r="BO385" s="64">
        <f>IFERROR(1/J385*(X385/H385),"0")</f>
        <v/>
      </c>
      <c r="BP385" s="64">
        <f>IFERROR(1/J385*(Y385/H385),"0")</f>
        <v/>
      </c>
    </row>
    <row r="386" ht="16.5" customHeight="1">
      <c r="A386" s="54" t="inlineStr">
        <is>
          <t>SU001430</t>
        </is>
      </c>
      <c r="B386" s="54" t="inlineStr">
        <is>
          <t>P004913</t>
        </is>
      </c>
      <c r="C386" s="31" t="n">
        <v>4301060484</v>
      </c>
      <c r="D386" s="782" t="n">
        <v>4607091380897</v>
      </c>
      <c r="E386" s="783" t="n"/>
      <c r="F386" s="1220" t="n">
        <v>1.4</v>
      </c>
      <c r="G386" s="32" t="n">
        <v>6</v>
      </c>
      <c r="H386" s="1220" t="n">
        <v>8.4</v>
      </c>
      <c r="I386" s="1220" t="n">
        <v>8.964</v>
      </c>
      <c r="J386" s="32" t="n">
        <v>56</v>
      </c>
      <c r="K386" s="32" t="inlineStr">
        <is>
          <t>8</t>
        </is>
      </c>
      <c r="L386" s="32" t="n"/>
      <c r="M386" s="33" t="inlineStr">
        <is>
          <t>СК4</t>
        </is>
      </c>
      <c r="N386" s="33" t="n"/>
      <c r="O386" s="32" t="n">
        <v>30</v>
      </c>
      <c r="P386" s="1192" t="inlineStr">
        <is>
          <t>Сардельки «Шпикачки Стародворские» Весовой NDX ТМ «Стародворье»</t>
        </is>
      </c>
      <c r="Q386" s="785" t="n"/>
      <c r="R386" s="785" t="n"/>
      <c r="S386" s="785" t="n"/>
      <c r="T386" s="786" t="n"/>
      <c r="U386" s="34" t="n"/>
      <c r="V386" s="34" t="n"/>
      <c r="W386" s="35" t="inlineStr">
        <is>
          <t>кг</t>
        </is>
      </c>
      <c r="X386" s="1221" t="n">
        <v>0</v>
      </c>
      <c r="Y386" s="1222">
        <f>IFERROR(IF(X386="",0,CEILING((X386/$H386),1)*$H386),"")</f>
        <v/>
      </c>
      <c r="Z386" s="36">
        <f>IFERROR(IF(Y386=0,"",ROUNDUP(Y386/H386,0)*0.02175),"")</f>
        <v/>
      </c>
      <c r="AA386" s="56" t="n"/>
      <c r="AB386" s="57" t="n"/>
      <c r="AC386" s="463" t="inlineStr">
        <is>
          <t>ЕАЭС N RU Д-RU.РА10.В.28304/24</t>
        </is>
      </c>
      <c r="AG386" s="64" t="n"/>
      <c r="AJ386" s="68" t="n"/>
      <c r="AK386" s="68" t="n">
        <v>0</v>
      </c>
      <c r="BB386" s="464" t="inlineStr">
        <is>
          <t>КИ</t>
        </is>
      </c>
      <c r="BM386" s="64">
        <f>IFERROR(X386*I386/H386,"0")</f>
        <v/>
      </c>
      <c r="BN386" s="64">
        <f>IFERROR(Y386*I386/H386,"0")</f>
        <v/>
      </c>
      <c r="BO386" s="64">
        <f>IFERROR(1/J386*(X386/H386),"0")</f>
        <v/>
      </c>
      <c r="BP386" s="64">
        <f>IFERROR(1/J386*(Y386/H386),"0")</f>
        <v/>
      </c>
    </row>
    <row r="387" ht="16.5" customHeight="1">
      <c r="A387" s="54" t="inlineStr">
        <is>
          <t>SU001430</t>
        </is>
      </c>
      <c r="B387" s="54" t="inlineStr">
        <is>
          <t>P002036</t>
        </is>
      </c>
      <c r="C387" s="31" t="n">
        <v>4301060325</v>
      </c>
      <c r="D387" s="782" t="n">
        <v>4607091380897</v>
      </c>
      <c r="E387" s="783" t="n"/>
      <c r="F387" s="1220" t="n">
        <v>1.4</v>
      </c>
      <c r="G387" s="32" t="n">
        <v>6</v>
      </c>
      <c r="H387" s="1220" t="n">
        <v>8.4</v>
      </c>
      <c r="I387" s="1220" t="n">
        <v>8.964</v>
      </c>
      <c r="J387" s="32" t="n">
        <v>56</v>
      </c>
      <c r="K387" s="32" t="inlineStr">
        <is>
          <t>8</t>
        </is>
      </c>
      <c r="L387" s="32" t="n"/>
      <c r="M387" s="33" t="inlineStr">
        <is>
          <t>СК2</t>
        </is>
      </c>
      <c r="N387" s="33" t="n"/>
      <c r="O387" s="32" t="n">
        <v>30</v>
      </c>
      <c r="P387" s="1038">
        <f>HYPERLINK("https://abi.ru/products/Охлажденные/Стародворье/Бордо/Сардельки/P002036/","Сардельки Шпикачки Бордо Весовые NDX мгс Стародворье")</f>
        <v/>
      </c>
      <c r="Q387" s="785" t="n"/>
      <c r="R387" s="785" t="n"/>
      <c r="S387" s="785" t="n"/>
      <c r="T387" s="786" t="n"/>
      <c r="U387" s="34" t="n"/>
      <c r="V387" s="34" t="n"/>
      <c r="W387" s="35" t="inlineStr">
        <is>
          <t>кг</t>
        </is>
      </c>
      <c r="X387" s="1221" t="n">
        <v>0</v>
      </c>
      <c r="Y387" s="1222">
        <f>IFERROR(IF(X387="",0,CEILING((X387/$H387),1)*$H387),"")</f>
        <v/>
      </c>
      <c r="Z387" s="36">
        <f>IFERROR(IF(Y387=0,"",ROUNDUP(Y387/H387,0)*0.02175),"")</f>
        <v/>
      </c>
      <c r="AA387" s="56" t="n"/>
      <c r="AB387" s="57" t="n"/>
      <c r="AC387" s="465" t="inlineStr">
        <is>
          <t>ЕАЭС N RU Д-RU.РА03.В.16871/22</t>
        </is>
      </c>
      <c r="AG387" s="64" t="n"/>
      <c r="AJ387" s="68" t="n"/>
      <c r="AK387" s="68" t="n">
        <v>0</v>
      </c>
      <c r="BB387" s="466" t="inlineStr">
        <is>
          <t>КИ</t>
        </is>
      </c>
      <c r="BM387" s="64">
        <f>IFERROR(X387*I387/H387,"0")</f>
        <v/>
      </c>
      <c r="BN387" s="64">
        <f>IFERROR(Y387*I387/H387,"0")</f>
        <v/>
      </c>
      <c r="BO387" s="64">
        <f>IFERROR(1/J387*(X387/H387),"0")</f>
        <v/>
      </c>
      <c r="BP387" s="64">
        <f>IFERROR(1/J387*(Y387/H387),"0")</f>
        <v/>
      </c>
    </row>
    <row r="388">
      <c r="A388" s="801" t="n"/>
      <c r="B388" s="800" t="n"/>
      <c r="C388" s="800" t="n"/>
      <c r="D388" s="800" t="n"/>
      <c r="E388" s="800" t="n"/>
      <c r="F388" s="800" t="n"/>
      <c r="G388" s="800" t="n"/>
      <c r="H388" s="800" t="n"/>
      <c r="I388" s="800" t="n"/>
      <c r="J388" s="800" t="n"/>
      <c r="K388" s="800" t="n"/>
      <c r="L388" s="800" t="n"/>
      <c r="M388" s="800" t="n"/>
      <c r="N388" s="800" t="n"/>
      <c r="O388" s="802" t="n"/>
      <c r="P388" s="796" t="inlineStr">
        <is>
          <t>Итого</t>
        </is>
      </c>
      <c r="Q388" s="793" t="n"/>
      <c r="R388" s="793" t="n"/>
      <c r="S388" s="793" t="n"/>
      <c r="T388" s="793" t="n"/>
      <c r="U388" s="793" t="n"/>
      <c r="V388" s="794" t="n"/>
      <c r="W388" s="37" t="inlineStr">
        <is>
          <t>кор</t>
        </is>
      </c>
      <c r="X388" s="1223">
        <f>IFERROR(X384/H384,"0")+IFERROR(X385/H385,"0")+IFERROR(X386/H386,"0")+IFERROR(X387/H387,"0")</f>
        <v/>
      </c>
      <c r="Y388" s="1223">
        <f>IFERROR(Y384/H384,"0")+IFERROR(Y385/H385,"0")+IFERROR(Y386/H386,"0")+IFERROR(Y387/H387,"0")</f>
        <v/>
      </c>
      <c r="Z388" s="1223">
        <f>IFERROR(IF(Z384="",0,Z384),"0")+IFERROR(IF(Z385="",0,Z385),"0")+IFERROR(IF(Z386="",0,Z386),"0")+IFERROR(IF(Z387="",0,Z387),"0")</f>
        <v/>
      </c>
      <c r="AA388" s="1224" t="n"/>
      <c r="AB388" s="1224" t="n"/>
      <c r="AC388" s="1224" t="n"/>
    </row>
    <row r="389">
      <c r="A389" s="800" t="n"/>
      <c r="B389" s="800" t="n"/>
      <c r="C389" s="800" t="n"/>
      <c r="D389" s="800" t="n"/>
      <c r="E389" s="800" t="n"/>
      <c r="F389" s="800" t="n"/>
      <c r="G389" s="800" t="n"/>
      <c r="H389" s="800" t="n"/>
      <c r="I389" s="800" t="n"/>
      <c r="J389" s="800" t="n"/>
      <c r="K389" s="800" t="n"/>
      <c r="L389" s="800" t="n"/>
      <c r="M389" s="800" t="n"/>
      <c r="N389" s="800" t="n"/>
      <c r="O389" s="802" t="n"/>
      <c r="P389" s="796" t="inlineStr">
        <is>
          <t>Итого</t>
        </is>
      </c>
      <c r="Q389" s="793" t="n"/>
      <c r="R389" s="793" t="n"/>
      <c r="S389" s="793" t="n"/>
      <c r="T389" s="793" t="n"/>
      <c r="U389" s="793" t="n"/>
      <c r="V389" s="794" t="n"/>
      <c r="W389" s="37" t="inlineStr">
        <is>
          <t>кг</t>
        </is>
      </c>
      <c r="X389" s="1223">
        <f>IFERROR(SUM(X384:X387),"0")</f>
        <v/>
      </c>
      <c r="Y389" s="1223">
        <f>IFERROR(SUM(Y384:Y387),"0")</f>
        <v/>
      </c>
      <c r="Z389" s="37" t="n"/>
      <c r="AA389" s="1224" t="n"/>
      <c r="AB389" s="1224" t="n"/>
      <c r="AC389" s="1224" t="n"/>
    </row>
    <row r="390" ht="14.25" customHeight="1">
      <c r="A390" s="799" t="inlineStr">
        <is>
          <t>Сырокопченые колбасы</t>
        </is>
      </c>
      <c r="B390" s="800" t="n"/>
      <c r="C390" s="800" t="n"/>
      <c r="D390" s="800" t="n"/>
      <c r="E390" s="800" t="n"/>
      <c r="F390" s="800" t="n"/>
      <c r="G390" s="800" t="n"/>
      <c r="H390" s="800" t="n"/>
      <c r="I390" s="800" t="n"/>
      <c r="J390" s="800" t="n"/>
      <c r="K390" s="800" t="n"/>
      <c r="L390" s="800" t="n"/>
      <c r="M390" s="800" t="n"/>
      <c r="N390" s="800" t="n"/>
      <c r="O390" s="800" t="n"/>
      <c r="P390" s="800" t="n"/>
      <c r="Q390" s="800" t="n"/>
      <c r="R390" s="800" t="n"/>
      <c r="S390" s="800" t="n"/>
      <c r="T390" s="800" t="n"/>
      <c r="U390" s="800" t="n"/>
      <c r="V390" s="800" t="n"/>
      <c r="W390" s="800" t="n"/>
      <c r="X390" s="800" t="n"/>
      <c r="Y390" s="800" t="n"/>
      <c r="Z390" s="800" t="n"/>
      <c r="AA390" s="799" t="n"/>
      <c r="AB390" s="799" t="n"/>
      <c r="AC390" s="799" t="n"/>
    </row>
    <row r="391" ht="16.5" customHeight="1">
      <c r="A391" s="54" t="inlineStr">
        <is>
          <t>SU001920</t>
        </is>
      </c>
      <c r="B391" s="54" t="inlineStr">
        <is>
          <t>P001900</t>
        </is>
      </c>
      <c r="C391" s="31" t="n">
        <v>4301030232</v>
      </c>
      <c r="D391" s="782" t="n">
        <v>4607091388374</v>
      </c>
      <c r="E391" s="783" t="n"/>
      <c r="F391" s="1220" t="n">
        <v>0.38</v>
      </c>
      <c r="G391" s="32" t="n">
        <v>8</v>
      </c>
      <c r="H391" s="1220" t="n">
        <v>3.04</v>
      </c>
      <c r="I391" s="1220" t="n">
        <v>3.29</v>
      </c>
      <c r="J391" s="32" t="n">
        <v>132</v>
      </c>
      <c r="K391" s="32" t="inlineStr">
        <is>
          <t>12</t>
        </is>
      </c>
      <c r="L391" s="32" t="n"/>
      <c r="M391" s="33" t="inlineStr">
        <is>
          <t>АК</t>
        </is>
      </c>
      <c r="N391" s="33" t="n"/>
      <c r="O391" s="32" t="n">
        <v>180</v>
      </c>
      <c r="P391" s="1200" t="inlineStr">
        <is>
          <t>С/к колбасы Княжеская Бордо Весовые б/о терм/п Стародворье</t>
        </is>
      </c>
      <c r="Q391" s="785" t="n"/>
      <c r="R391" s="785" t="n"/>
      <c r="S391" s="785" t="n"/>
      <c r="T391" s="786" t="n"/>
      <c r="U391" s="34" t="n"/>
      <c r="V391" s="34" t="n"/>
      <c r="W391" s="35" t="inlineStr">
        <is>
          <t>кг</t>
        </is>
      </c>
      <c r="X391" s="1221" t="n">
        <v>0</v>
      </c>
      <c r="Y391" s="1222">
        <f>IFERROR(IF(X391="",0,CEILING((X391/$H391),1)*$H391),"")</f>
        <v/>
      </c>
      <c r="Z391" s="36">
        <f>IFERROR(IF(Y391=0,"",ROUNDUP(Y391/H391,0)*0.00902),"")</f>
        <v/>
      </c>
      <c r="AA391" s="56" t="n"/>
      <c r="AB391" s="57" t="n"/>
      <c r="AC391" s="467" t="inlineStr">
        <is>
          <t>ЕАЭС N RU Д-RU.РА01.В.91379</t>
        </is>
      </c>
      <c r="AG391" s="64" t="n"/>
      <c r="AJ391" s="68" t="n"/>
      <c r="AK391" s="68" t="n">
        <v>0</v>
      </c>
      <c r="BB391" s="468" t="inlineStr">
        <is>
          <t>КИ</t>
        </is>
      </c>
      <c r="BM391" s="64">
        <f>IFERROR(X391*I391/H391,"0")</f>
        <v/>
      </c>
      <c r="BN391" s="64">
        <f>IFERROR(Y391*I391/H391,"0")</f>
        <v/>
      </c>
      <c r="BO391" s="64">
        <f>IFERROR(1/J391*(X391/H391),"0")</f>
        <v/>
      </c>
      <c r="BP391" s="64">
        <f>IFERROR(1/J391*(Y391/H391),"0")</f>
        <v/>
      </c>
    </row>
    <row r="392" ht="27" customHeight="1">
      <c r="A392" s="54" t="inlineStr">
        <is>
          <t>SU001921</t>
        </is>
      </c>
      <c r="B392" s="54" t="inlineStr">
        <is>
          <t>P001916</t>
        </is>
      </c>
      <c r="C392" s="31" t="n">
        <v>4301030235</v>
      </c>
      <c r="D392" s="782" t="n">
        <v>4607091388381</v>
      </c>
      <c r="E392" s="783" t="n"/>
      <c r="F392" s="1220" t="n">
        <v>0.38</v>
      </c>
      <c r="G392" s="32" t="n">
        <v>8</v>
      </c>
      <c r="H392" s="1220" t="n">
        <v>3.04</v>
      </c>
      <c r="I392" s="1220" t="n">
        <v>3.33</v>
      </c>
      <c r="J392" s="32" t="n">
        <v>132</v>
      </c>
      <c r="K392" s="32" t="inlineStr">
        <is>
          <t>12</t>
        </is>
      </c>
      <c r="L392" s="32" t="n"/>
      <c r="M392" s="33" t="inlineStr">
        <is>
          <t>АК</t>
        </is>
      </c>
      <c r="N392" s="33" t="n"/>
      <c r="O392" s="32" t="n">
        <v>180</v>
      </c>
      <c r="P392" s="1190" t="inlineStr">
        <is>
          <t>С/к колбасы Салями Охотничья Бордо Весовые б/о терм/п 180 Стародворье</t>
        </is>
      </c>
      <c r="Q392" s="785" t="n"/>
      <c r="R392" s="785" t="n"/>
      <c r="S392" s="785" t="n"/>
      <c r="T392" s="786" t="n"/>
      <c r="U392" s="34" t="n"/>
      <c r="V392" s="34" t="n"/>
      <c r="W392" s="35" t="inlineStr">
        <is>
          <t>кг</t>
        </is>
      </c>
      <c r="X392" s="1221" t="n">
        <v>0</v>
      </c>
      <c r="Y392" s="1222">
        <f>IFERROR(IF(X392="",0,CEILING((X392/$H392),1)*$H392),"")</f>
        <v/>
      </c>
      <c r="Z392" s="36">
        <f>IFERROR(IF(Y392=0,"",ROUNDUP(Y392/H392,0)*0.00902),"")</f>
        <v/>
      </c>
      <c r="AA392" s="56" t="n"/>
      <c r="AB392" s="57" t="n"/>
      <c r="AC392" s="469" t="inlineStr">
        <is>
          <t>ЕАЭС N RU Д-RU.РА01.В.91379</t>
        </is>
      </c>
      <c r="AG392" s="64" t="n"/>
      <c r="AJ392" s="68" t="n"/>
      <c r="AK392" s="68" t="n">
        <v>0</v>
      </c>
      <c r="BB392" s="470" t="inlineStr">
        <is>
          <t>КИ</t>
        </is>
      </c>
      <c r="BM392" s="64">
        <f>IFERROR(X392*I392/H392,"0")</f>
        <v/>
      </c>
      <c r="BN392" s="64">
        <f>IFERROR(Y392*I392/H392,"0")</f>
        <v/>
      </c>
      <c r="BO392" s="64">
        <f>IFERROR(1/J392*(X392/H392),"0")</f>
        <v/>
      </c>
      <c r="BP392" s="64">
        <f>IFERROR(1/J392*(Y392/H392),"0")</f>
        <v/>
      </c>
    </row>
    <row r="393" ht="27" customHeight="1">
      <c r="A393" s="54" t="inlineStr">
        <is>
          <t>SU002092</t>
        </is>
      </c>
      <c r="B393" s="54" t="inlineStr">
        <is>
          <t>P002290</t>
        </is>
      </c>
      <c r="C393" s="31" t="n">
        <v>4301032015</v>
      </c>
      <c r="D393" s="782" t="n">
        <v>4607091383102</v>
      </c>
      <c r="E393" s="783" t="n"/>
      <c r="F393" s="1220" t="n">
        <v>0.17</v>
      </c>
      <c r="G393" s="32" t="n">
        <v>15</v>
      </c>
      <c r="H393" s="1220" t="n">
        <v>2.55</v>
      </c>
      <c r="I393" s="1220" t="n">
        <v>2.955</v>
      </c>
      <c r="J393" s="32" t="n">
        <v>182</v>
      </c>
      <c r="K393" s="32" t="inlineStr">
        <is>
          <t>14</t>
        </is>
      </c>
      <c r="L393" s="32" t="n"/>
      <c r="M393" s="33" t="inlineStr">
        <is>
          <t>АК</t>
        </is>
      </c>
      <c r="N393" s="33" t="n"/>
      <c r="O393" s="32" t="n">
        <v>180</v>
      </c>
      <c r="P393" s="1006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/>
      </c>
      <c r="Q393" s="785" t="n"/>
      <c r="R393" s="785" t="n"/>
      <c r="S393" s="785" t="n"/>
      <c r="T393" s="786" t="n"/>
      <c r="U393" s="34" t="n"/>
      <c r="V393" s="34" t="n"/>
      <c r="W393" s="35" t="inlineStr">
        <is>
          <t>кг</t>
        </is>
      </c>
      <c r="X393" s="1221" t="n">
        <v>0</v>
      </c>
      <c r="Y393" s="1222">
        <f>IFERROR(IF(X393="",0,CEILING((X393/$H393),1)*$H393),"")</f>
        <v/>
      </c>
      <c r="Z393" s="36">
        <f>IFERROR(IF(Y393=0,"",ROUNDUP(Y393/H393,0)*0.00651),"")</f>
        <v/>
      </c>
      <c r="AA393" s="56" t="n"/>
      <c r="AB393" s="57" t="n"/>
      <c r="AC393" s="471" t="inlineStr">
        <is>
          <t>ЕАЭС N RU Д-RU.РА01.В.73997/20</t>
        </is>
      </c>
      <c r="AG393" s="64" t="n"/>
      <c r="AJ393" s="68" t="n"/>
      <c r="AK393" s="68" t="n">
        <v>0</v>
      </c>
      <c r="BB393" s="472" t="inlineStr">
        <is>
          <t>КИ</t>
        </is>
      </c>
      <c r="BM393" s="64">
        <f>IFERROR(X393*I393/H393,"0")</f>
        <v/>
      </c>
      <c r="BN393" s="64">
        <f>IFERROR(Y393*I393/H393,"0")</f>
        <v/>
      </c>
      <c r="BO393" s="64">
        <f>IFERROR(1/J393*(X393/H393),"0")</f>
        <v/>
      </c>
      <c r="BP393" s="64">
        <f>IFERROR(1/J393*(Y393/H393),"0")</f>
        <v/>
      </c>
    </row>
    <row r="394" ht="27" customHeight="1">
      <c r="A394" s="54" t="inlineStr">
        <is>
          <t>SU001869</t>
        </is>
      </c>
      <c r="B394" s="54" t="inlineStr">
        <is>
          <t>P001909</t>
        </is>
      </c>
      <c r="C394" s="31" t="n">
        <v>4301030233</v>
      </c>
      <c r="D394" s="782" t="n">
        <v>4607091388404</v>
      </c>
      <c r="E394" s="783" t="n"/>
      <c r="F394" s="1220" t="n">
        <v>0.17</v>
      </c>
      <c r="G394" s="32" t="n">
        <v>15</v>
      </c>
      <c r="H394" s="1220" t="n">
        <v>2.55</v>
      </c>
      <c r="I394" s="1220" t="n">
        <v>2.88</v>
      </c>
      <c r="J394" s="32" t="n">
        <v>182</v>
      </c>
      <c r="K394" s="32" t="inlineStr">
        <is>
          <t>14</t>
        </is>
      </c>
      <c r="L394" s="32" t="n"/>
      <c r="M394" s="33" t="inlineStr">
        <is>
          <t>АК</t>
        </is>
      </c>
      <c r="N394" s="33" t="n"/>
      <c r="O394" s="32" t="n">
        <v>180</v>
      </c>
      <c r="P394" s="1163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Q394" s="785" t="n"/>
      <c r="R394" s="785" t="n"/>
      <c r="S394" s="785" t="n"/>
      <c r="T394" s="786" t="n"/>
      <c r="U394" s="34" t="n"/>
      <c r="V394" s="34" t="n"/>
      <c r="W394" s="35" t="inlineStr">
        <is>
          <t>кг</t>
        </is>
      </c>
      <c r="X394" s="1221" t="n">
        <v>0</v>
      </c>
      <c r="Y394" s="1222">
        <f>IFERROR(IF(X394="",0,CEILING((X394/$H394),1)*$H394),"")</f>
        <v/>
      </c>
      <c r="Z394" s="36">
        <f>IFERROR(IF(Y394=0,"",ROUNDUP(Y394/H394,0)*0.00651),"")</f>
        <v/>
      </c>
      <c r="AA394" s="56" t="n"/>
      <c r="AB394" s="57" t="n"/>
      <c r="AC394" s="473" t="inlineStr">
        <is>
          <t>ЕАЭС N RU Д-RU.РА01.В.91379</t>
        </is>
      </c>
      <c r="AG394" s="64" t="n"/>
      <c r="AJ394" s="68" t="n"/>
      <c r="AK394" s="68" t="n">
        <v>0</v>
      </c>
      <c r="BB394" s="474" t="inlineStr">
        <is>
          <t>КИ</t>
        </is>
      </c>
      <c r="BM394" s="64">
        <f>IFERROR(X394*I394/H394,"0")</f>
        <v/>
      </c>
      <c r="BN394" s="64">
        <f>IFERROR(Y394*I394/H394,"0")</f>
        <v/>
      </c>
      <c r="BO394" s="64">
        <f>IFERROR(1/J394*(X394/H394),"0")</f>
        <v/>
      </c>
      <c r="BP394" s="64">
        <f>IFERROR(1/J394*(Y394/H394),"0")</f>
        <v/>
      </c>
    </row>
    <row r="395">
      <c r="A395" s="801" t="n"/>
      <c r="B395" s="800" t="n"/>
      <c r="C395" s="800" t="n"/>
      <c r="D395" s="800" t="n"/>
      <c r="E395" s="800" t="n"/>
      <c r="F395" s="800" t="n"/>
      <c r="G395" s="800" t="n"/>
      <c r="H395" s="800" t="n"/>
      <c r="I395" s="800" t="n"/>
      <c r="J395" s="800" t="n"/>
      <c r="K395" s="800" t="n"/>
      <c r="L395" s="800" t="n"/>
      <c r="M395" s="800" t="n"/>
      <c r="N395" s="800" t="n"/>
      <c r="O395" s="802" t="n"/>
      <c r="P395" s="796" t="inlineStr">
        <is>
          <t>Итого</t>
        </is>
      </c>
      <c r="Q395" s="793" t="n"/>
      <c r="R395" s="793" t="n"/>
      <c r="S395" s="793" t="n"/>
      <c r="T395" s="793" t="n"/>
      <c r="U395" s="793" t="n"/>
      <c r="V395" s="794" t="n"/>
      <c r="W395" s="37" t="inlineStr">
        <is>
          <t>кор</t>
        </is>
      </c>
      <c r="X395" s="1223">
        <f>IFERROR(X391/H391,"0")+IFERROR(X392/H392,"0")+IFERROR(X393/H393,"0")+IFERROR(X394/H394,"0")</f>
        <v/>
      </c>
      <c r="Y395" s="1223">
        <f>IFERROR(Y391/H391,"0")+IFERROR(Y392/H392,"0")+IFERROR(Y393/H393,"0")+IFERROR(Y394/H394,"0")</f>
        <v/>
      </c>
      <c r="Z395" s="1223">
        <f>IFERROR(IF(Z391="",0,Z391),"0")+IFERROR(IF(Z392="",0,Z392),"0")+IFERROR(IF(Z393="",0,Z393),"0")+IFERROR(IF(Z394="",0,Z394),"0")</f>
        <v/>
      </c>
      <c r="AA395" s="1224" t="n"/>
      <c r="AB395" s="1224" t="n"/>
      <c r="AC395" s="1224" t="n"/>
    </row>
    <row r="396">
      <c r="A396" s="800" t="n"/>
      <c r="B396" s="800" t="n"/>
      <c r="C396" s="800" t="n"/>
      <c r="D396" s="800" t="n"/>
      <c r="E396" s="800" t="n"/>
      <c r="F396" s="800" t="n"/>
      <c r="G396" s="800" t="n"/>
      <c r="H396" s="800" t="n"/>
      <c r="I396" s="800" t="n"/>
      <c r="J396" s="800" t="n"/>
      <c r="K396" s="800" t="n"/>
      <c r="L396" s="800" t="n"/>
      <c r="M396" s="800" t="n"/>
      <c r="N396" s="800" t="n"/>
      <c r="O396" s="802" t="n"/>
      <c r="P396" s="796" t="inlineStr">
        <is>
          <t>Итого</t>
        </is>
      </c>
      <c r="Q396" s="793" t="n"/>
      <c r="R396" s="793" t="n"/>
      <c r="S396" s="793" t="n"/>
      <c r="T396" s="793" t="n"/>
      <c r="U396" s="793" t="n"/>
      <c r="V396" s="794" t="n"/>
      <c r="W396" s="37" t="inlineStr">
        <is>
          <t>кг</t>
        </is>
      </c>
      <c r="X396" s="1223">
        <f>IFERROR(SUM(X391:X394),"0")</f>
        <v/>
      </c>
      <c r="Y396" s="1223">
        <f>IFERROR(SUM(Y391:Y394),"0")</f>
        <v/>
      </c>
      <c r="Z396" s="37" t="n"/>
      <c r="AA396" s="1224" t="n"/>
      <c r="AB396" s="1224" t="n"/>
      <c r="AC396" s="1224" t="n"/>
    </row>
    <row r="397" ht="14.25" customHeight="1">
      <c r="A397" s="799" t="inlineStr">
        <is>
          <t>Паштеты</t>
        </is>
      </c>
      <c r="B397" s="800" t="n"/>
      <c r="C397" s="800" t="n"/>
      <c r="D397" s="800" t="n"/>
      <c r="E397" s="800" t="n"/>
      <c r="F397" s="800" t="n"/>
      <c r="G397" s="800" t="n"/>
      <c r="H397" s="800" t="n"/>
      <c r="I397" s="800" t="n"/>
      <c r="J397" s="800" t="n"/>
      <c r="K397" s="800" t="n"/>
      <c r="L397" s="800" t="n"/>
      <c r="M397" s="800" t="n"/>
      <c r="N397" s="800" t="n"/>
      <c r="O397" s="800" t="n"/>
      <c r="P397" s="800" t="n"/>
      <c r="Q397" s="800" t="n"/>
      <c r="R397" s="800" t="n"/>
      <c r="S397" s="800" t="n"/>
      <c r="T397" s="800" t="n"/>
      <c r="U397" s="800" t="n"/>
      <c r="V397" s="800" t="n"/>
      <c r="W397" s="800" t="n"/>
      <c r="X397" s="800" t="n"/>
      <c r="Y397" s="800" t="n"/>
      <c r="Z397" s="800" t="n"/>
      <c r="AA397" s="799" t="n"/>
      <c r="AB397" s="799" t="n"/>
      <c r="AC397" s="799" t="n"/>
    </row>
    <row r="398" ht="16.5" customHeight="1">
      <c r="A398" s="54" t="inlineStr">
        <is>
          <t>SU002841</t>
        </is>
      </c>
      <c r="B398" s="54" t="inlineStr">
        <is>
          <t>P003253</t>
        </is>
      </c>
      <c r="C398" s="31" t="n">
        <v>4301180007</v>
      </c>
      <c r="D398" s="782" t="n">
        <v>4680115881808</v>
      </c>
      <c r="E398" s="783" t="n"/>
      <c r="F398" s="1220" t="n">
        <v>0.1</v>
      </c>
      <c r="G398" s="32" t="n">
        <v>20</v>
      </c>
      <c r="H398" s="1220" t="n">
        <v>2</v>
      </c>
      <c r="I398" s="1220" t="n">
        <v>2.24</v>
      </c>
      <c r="J398" s="32" t="n">
        <v>238</v>
      </c>
      <c r="K398" s="32" t="inlineStr">
        <is>
          <t>14</t>
        </is>
      </c>
      <c r="L398" s="32" t="n"/>
      <c r="M398" s="33" t="inlineStr">
        <is>
          <t>РК</t>
        </is>
      </c>
      <c r="N398" s="33" t="n"/>
      <c r="O398" s="32" t="n">
        <v>730</v>
      </c>
      <c r="P398" s="942">
        <f>HYPERLINK("https://abi.ru/products/Охлажденные/Стародворье/Бордо/Паштеты/P003253/","Паштеты «Любительский ГОСТ» Фикс.вес 0,1 ТМ «Стародворье»")</f>
        <v/>
      </c>
      <c r="Q398" s="785" t="n"/>
      <c r="R398" s="785" t="n"/>
      <c r="S398" s="785" t="n"/>
      <c r="T398" s="786" t="n"/>
      <c r="U398" s="34" t="n"/>
      <c r="V398" s="34" t="n"/>
      <c r="W398" s="35" t="inlineStr">
        <is>
          <t>кг</t>
        </is>
      </c>
      <c r="X398" s="1221" t="n">
        <v>0</v>
      </c>
      <c r="Y398" s="1222">
        <f>IFERROR(IF(X398="",0,CEILING((X398/$H398),1)*$H398),"")</f>
        <v/>
      </c>
      <c r="Z398" s="36">
        <f>IFERROR(IF(Y398=0,"",ROUNDUP(Y398/H398,0)*0.00474),"")</f>
        <v/>
      </c>
      <c r="AA398" s="56" t="n"/>
      <c r="AB398" s="57" t="n"/>
      <c r="AC398" s="475" t="inlineStr">
        <is>
          <t>ЕАЭС N RU Д-RU.РА04.В.53299/22</t>
        </is>
      </c>
      <c r="AG398" s="64" t="n"/>
      <c r="AJ398" s="68" t="n"/>
      <c r="AK398" s="68" t="n">
        <v>0</v>
      </c>
      <c r="BB398" s="476" t="inlineStr">
        <is>
          <t>КИ</t>
        </is>
      </c>
      <c r="BM398" s="64">
        <f>IFERROR(X398*I398/H398,"0")</f>
        <v/>
      </c>
      <c r="BN398" s="64">
        <f>IFERROR(Y398*I398/H398,"0")</f>
        <v/>
      </c>
      <c r="BO398" s="64">
        <f>IFERROR(1/J398*(X398/H398),"0")</f>
        <v/>
      </c>
      <c r="BP398" s="64">
        <f>IFERROR(1/J398*(Y398/H398),"0")</f>
        <v/>
      </c>
    </row>
    <row r="399" ht="27" customHeight="1">
      <c r="A399" s="54" t="inlineStr">
        <is>
          <t>SU002840</t>
        </is>
      </c>
      <c r="B399" s="54" t="inlineStr">
        <is>
          <t>P003252</t>
        </is>
      </c>
      <c r="C399" s="31" t="n">
        <v>4301180006</v>
      </c>
      <c r="D399" s="782" t="n">
        <v>4680115881822</v>
      </c>
      <c r="E399" s="783" t="n"/>
      <c r="F399" s="1220" t="n">
        <v>0.1</v>
      </c>
      <c r="G399" s="32" t="n">
        <v>20</v>
      </c>
      <c r="H399" s="1220" t="n">
        <v>2</v>
      </c>
      <c r="I399" s="1220" t="n">
        <v>2.24</v>
      </c>
      <c r="J399" s="32" t="n">
        <v>238</v>
      </c>
      <c r="K399" s="32" t="inlineStr">
        <is>
          <t>14</t>
        </is>
      </c>
      <c r="L399" s="32" t="n"/>
      <c r="M399" s="33" t="inlineStr">
        <is>
          <t>РК</t>
        </is>
      </c>
      <c r="N399" s="33" t="n"/>
      <c r="O399" s="32" t="n">
        <v>730</v>
      </c>
      <c r="P399" s="932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Q399" s="785" t="n"/>
      <c r="R399" s="785" t="n"/>
      <c r="S399" s="785" t="n"/>
      <c r="T399" s="786" t="n"/>
      <c r="U399" s="34" t="n"/>
      <c r="V399" s="34" t="n"/>
      <c r="W399" s="35" t="inlineStr">
        <is>
          <t>кг</t>
        </is>
      </c>
      <c r="X399" s="1221" t="n">
        <v>0</v>
      </c>
      <c r="Y399" s="1222">
        <f>IFERROR(IF(X399="",0,CEILING((X399/$H399),1)*$H399),"")</f>
        <v/>
      </c>
      <c r="Z399" s="36">
        <f>IFERROR(IF(Y399=0,"",ROUNDUP(Y399/H399,0)*0.00474),"")</f>
        <v/>
      </c>
      <c r="AA399" s="56" t="n"/>
      <c r="AB399" s="57" t="n"/>
      <c r="AC399" s="477" t="inlineStr">
        <is>
          <t>ЕАЭС N RU Д-RU.РА04.В.53299/22</t>
        </is>
      </c>
      <c r="AG399" s="64" t="n"/>
      <c r="AJ399" s="68" t="n"/>
      <c r="AK399" s="68" t="n">
        <v>0</v>
      </c>
      <c r="BB399" s="478" t="inlineStr">
        <is>
          <t>КИ</t>
        </is>
      </c>
      <c r="BM399" s="64">
        <f>IFERROR(X399*I399/H399,"0")</f>
        <v/>
      </c>
      <c r="BN399" s="64">
        <f>IFERROR(Y399*I399/H399,"0")</f>
        <v/>
      </c>
      <c r="BO399" s="64">
        <f>IFERROR(1/J399*(X399/H399),"0")</f>
        <v/>
      </c>
      <c r="BP399" s="64">
        <f>IFERROR(1/J399*(Y399/H399),"0")</f>
        <v/>
      </c>
    </row>
    <row r="400" ht="27" customHeight="1">
      <c r="A400" s="54" t="inlineStr">
        <is>
          <t>SU002368</t>
        </is>
      </c>
      <c r="B400" s="54" t="inlineStr">
        <is>
          <t>P002648</t>
        </is>
      </c>
      <c r="C400" s="31" t="n">
        <v>4301180001</v>
      </c>
      <c r="D400" s="782" t="n">
        <v>4680115880016</v>
      </c>
      <c r="E400" s="783" t="n"/>
      <c r="F400" s="1220" t="n">
        <v>0.1</v>
      </c>
      <c r="G400" s="32" t="n">
        <v>20</v>
      </c>
      <c r="H400" s="1220" t="n">
        <v>2</v>
      </c>
      <c r="I400" s="1220" t="n">
        <v>2.24</v>
      </c>
      <c r="J400" s="32" t="n">
        <v>238</v>
      </c>
      <c r="K400" s="32" t="inlineStr">
        <is>
          <t>14</t>
        </is>
      </c>
      <c r="L400" s="32" t="n"/>
      <c r="M400" s="33" t="inlineStr">
        <is>
          <t>РК</t>
        </is>
      </c>
      <c r="N400" s="33" t="n"/>
      <c r="O400" s="32" t="n">
        <v>730</v>
      </c>
      <c r="P400" s="1141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Q400" s="785" t="n"/>
      <c r="R400" s="785" t="n"/>
      <c r="S400" s="785" t="n"/>
      <c r="T400" s="786" t="n"/>
      <c r="U400" s="34" t="n"/>
      <c r="V400" s="34" t="n"/>
      <c r="W400" s="35" t="inlineStr">
        <is>
          <t>кг</t>
        </is>
      </c>
      <c r="X400" s="1221" t="n">
        <v>0</v>
      </c>
      <c r="Y400" s="1222">
        <f>IFERROR(IF(X400="",0,CEILING((X400/$H400),1)*$H400),"")</f>
        <v/>
      </c>
      <c r="Z400" s="36">
        <f>IFERROR(IF(Y400=0,"",ROUNDUP(Y400/H400,0)*0.00474),"")</f>
        <v/>
      </c>
      <c r="AA400" s="56" t="n"/>
      <c r="AB400" s="57" t="n"/>
      <c r="AC400" s="479" t="inlineStr">
        <is>
          <t>ЕАЭС N RU Д-RU.РА04.В.53299/22</t>
        </is>
      </c>
      <c r="AG400" s="64" t="n"/>
      <c r="AJ400" s="68" t="n"/>
      <c r="AK400" s="68" t="n">
        <v>0</v>
      </c>
      <c r="BB400" s="480" t="inlineStr">
        <is>
          <t>КИ</t>
        </is>
      </c>
      <c r="BM400" s="64">
        <f>IFERROR(X400*I400/H400,"0")</f>
        <v/>
      </c>
      <c r="BN400" s="64">
        <f>IFERROR(Y400*I400/H400,"0")</f>
        <v/>
      </c>
      <c r="BO400" s="64">
        <f>IFERROR(1/J400*(X400/H400),"0")</f>
        <v/>
      </c>
      <c r="BP400" s="64">
        <f>IFERROR(1/J400*(Y400/H400),"0")</f>
        <v/>
      </c>
    </row>
    <row r="401">
      <c r="A401" s="801" t="n"/>
      <c r="B401" s="800" t="n"/>
      <c r="C401" s="800" t="n"/>
      <c r="D401" s="800" t="n"/>
      <c r="E401" s="800" t="n"/>
      <c r="F401" s="800" t="n"/>
      <c r="G401" s="800" t="n"/>
      <c r="H401" s="800" t="n"/>
      <c r="I401" s="800" t="n"/>
      <c r="J401" s="800" t="n"/>
      <c r="K401" s="800" t="n"/>
      <c r="L401" s="800" t="n"/>
      <c r="M401" s="800" t="n"/>
      <c r="N401" s="800" t="n"/>
      <c r="O401" s="802" t="n"/>
      <c r="P401" s="796" t="inlineStr">
        <is>
          <t>Итого</t>
        </is>
      </c>
      <c r="Q401" s="793" t="n"/>
      <c r="R401" s="793" t="n"/>
      <c r="S401" s="793" t="n"/>
      <c r="T401" s="793" t="n"/>
      <c r="U401" s="793" t="n"/>
      <c r="V401" s="794" t="n"/>
      <c r="W401" s="37" t="inlineStr">
        <is>
          <t>кор</t>
        </is>
      </c>
      <c r="X401" s="1223">
        <f>IFERROR(X398/H398,"0")+IFERROR(X399/H399,"0")+IFERROR(X400/H400,"0")</f>
        <v/>
      </c>
      <c r="Y401" s="1223">
        <f>IFERROR(Y398/H398,"0")+IFERROR(Y399/H399,"0")+IFERROR(Y400/H400,"0")</f>
        <v/>
      </c>
      <c r="Z401" s="1223">
        <f>IFERROR(IF(Z398="",0,Z398),"0")+IFERROR(IF(Z399="",0,Z399),"0")+IFERROR(IF(Z400="",0,Z400),"0")</f>
        <v/>
      </c>
      <c r="AA401" s="1224" t="n"/>
      <c r="AB401" s="1224" t="n"/>
      <c r="AC401" s="1224" t="n"/>
    </row>
    <row r="402">
      <c r="A402" s="800" t="n"/>
      <c r="B402" s="800" t="n"/>
      <c r="C402" s="800" t="n"/>
      <c r="D402" s="800" t="n"/>
      <c r="E402" s="800" t="n"/>
      <c r="F402" s="800" t="n"/>
      <c r="G402" s="800" t="n"/>
      <c r="H402" s="800" t="n"/>
      <c r="I402" s="800" t="n"/>
      <c r="J402" s="800" t="n"/>
      <c r="K402" s="800" t="n"/>
      <c r="L402" s="800" t="n"/>
      <c r="M402" s="800" t="n"/>
      <c r="N402" s="800" t="n"/>
      <c r="O402" s="802" t="n"/>
      <c r="P402" s="796" t="inlineStr">
        <is>
          <t>Итого</t>
        </is>
      </c>
      <c r="Q402" s="793" t="n"/>
      <c r="R402" s="793" t="n"/>
      <c r="S402" s="793" t="n"/>
      <c r="T402" s="793" t="n"/>
      <c r="U402" s="793" t="n"/>
      <c r="V402" s="794" t="n"/>
      <c r="W402" s="37" t="inlineStr">
        <is>
          <t>кг</t>
        </is>
      </c>
      <c r="X402" s="1223">
        <f>IFERROR(SUM(X398:X400),"0")</f>
        <v/>
      </c>
      <c r="Y402" s="1223">
        <f>IFERROR(SUM(Y398:Y400),"0")</f>
        <v/>
      </c>
      <c r="Z402" s="37" t="n"/>
      <c r="AA402" s="1224" t="n"/>
      <c r="AB402" s="1224" t="n"/>
      <c r="AC402" s="1224" t="n"/>
    </row>
    <row r="403" ht="16.5" customHeight="1">
      <c r="A403" s="807" t="inlineStr">
        <is>
          <t>Бавария</t>
        </is>
      </c>
      <c r="B403" s="800" t="n"/>
      <c r="C403" s="800" t="n"/>
      <c r="D403" s="800" t="n"/>
      <c r="E403" s="800" t="n"/>
      <c r="F403" s="800" t="n"/>
      <c r="G403" s="800" t="n"/>
      <c r="H403" s="800" t="n"/>
      <c r="I403" s="800" t="n"/>
      <c r="J403" s="800" t="n"/>
      <c r="K403" s="800" t="n"/>
      <c r="L403" s="800" t="n"/>
      <c r="M403" s="800" t="n"/>
      <c r="N403" s="800" t="n"/>
      <c r="O403" s="800" t="n"/>
      <c r="P403" s="800" t="n"/>
      <c r="Q403" s="800" t="n"/>
      <c r="R403" s="800" t="n"/>
      <c r="S403" s="800" t="n"/>
      <c r="T403" s="800" t="n"/>
      <c r="U403" s="800" t="n"/>
      <c r="V403" s="800" t="n"/>
      <c r="W403" s="800" t="n"/>
      <c r="X403" s="800" t="n"/>
      <c r="Y403" s="800" t="n"/>
      <c r="Z403" s="800" t="n"/>
      <c r="AA403" s="807" t="n"/>
      <c r="AB403" s="807" t="n"/>
      <c r="AC403" s="807" t="n"/>
    </row>
    <row r="404" ht="14.25" customHeight="1">
      <c r="A404" s="799" t="inlineStr">
        <is>
          <t>Копченые колбасы</t>
        </is>
      </c>
      <c r="B404" s="800" t="n"/>
      <c r="C404" s="800" t="n"/>
      <c r="D404" s="800" t="n"/>
      <c r="E404" s="800" t="n"/>
      <c r="F404" s="800" t="n"/>
      <c r="G404" s="800" t="n"/>
      <c r="H404" s="800" t="n"/>
      <c r="I404" s="800" t="n"/>
      <c r="J404" s="800" t="n"/>
      <c r="K404" s="800" t="n"/>
      <c r="L404" s="800" t="n"/>
      <c r="M404" s="800" t="n"/>
      <c r="N404" s="800" t="n"/>
      <c r="O404" s="800" t="n"/>
      <c r="P404" s="800" t="n"/>
      <c r="Q404" s="800" t="n"/>
      <c r="R404" s="800" t="n"/>
      <c r="S404" s="800" t="n"/>
      <c r="T404" s="800" t="n"/>
      <c r="U404" s="800" t="n"/>
      <c r="V404" s="800" t="n"/>
      <c r="W404" s="800" t="n"/>
      <c r="X404" s="800" t="n"/>
      <c r="Y404" s="800" t="n"/>
      <c r="Z404" s="800" t="n"/>
      <c r="AA404" s="799" t="n"/>
      <c r="AB404" s="799" t="n"/>
      <c r="AC404" s="799" t="n"/>
    </row>
    <row r="405" ht="27" customHeight="1">
      <c r="A405" s="54" t="inlineStr">
        <is>
          <t>SU002252</t>
        </is>
      </c>
      <c r="B405" s="54" t="inlineStr">
        <is>
          <t>P002461</t>
        </is>
      </c>
      <c r="C405" s="31" t="n">
        <v>4301031066</v>
      </c>
      <c r="D405" s="782" t="n">
        <v>4607091383836</v>
      </c>
      <c r="E405" s="783" t="n"/>
      <c r="F405" s="1220" t="n">
        <v>0.3</v>
      </c>
      <c r="G405" s="32" t="n">
        <v>6</v>
      </c>
      <c r="H405" s="1220" t="n">
        <v>1.8</v>
      </c>
      <c r="I405" s="1220" t="n">
        <v>2.028</v>
      </c>
      <c r="J405" s="32" t="n">
        <v>182</v>
      </c>
      <c r="K405" s="32" t="inlineStr">
        <is>
          <t>14</t>
        </is>
      </c>
      <c r="L405" s="32" t="n"/>
      <c r="M405" s="33" t="inlineStr">
        <is>
          <t>СК2</t>
        </is>
      </c>
      <c r="N405" s="33" t="n"/>
      <c r="O405" s="32" t="n">
        <v>40</v>
      </c>
      <c r="P405" s="1142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Q405" s="785" t="n"/>
      <c r="R405" s="785" t="n"/>
      <c r="S405" s="785" t="n"/>
      <c r="T405" s="786" t="n"/>
      <c r="U405" s="34" t="n"/>
      <c r="V405" s="34" t="n"/>
      <c r="W405" s="35" t="inlineStr">
        <is>
          <t>кг</t>
        </is>
      </c>
      <c r="X405" s="1221" t="n">
        <v>0</v>
      </c>
      <c r="Y405" s="1222">
        <f>IFERROR(IF(X405="",0,CEILING((X405/$H405),1)*$H405),"")</f>
        <v/>
      </c>
      <c r="Z405" s="36">
        <f>IFERROR(IF(Y405=0,"",ROUNDUP(Y405/H405,0)*0.00651),"")</f>
        <v/>
      </c>
      <c r="AA405" s="56" t="n"/>
      <c r="AB405" s="57" t="n"/>
      <c r="AC405" s="481" t="inlineStr">
        <is>
          <t>ЕАЭС N RU Д-RU.PA01.B.88489/21</t>
        </is>
      </c>
      <c r="AG405" s="64" t="n"/>
      <c r="AJ405" s="68" t="n"/>
      <c r="AK405" s="68" t="n">
        <v>0</v>
      </c>
      <c r="BB405" s="482" t="inlineStr">
        <is>
          <t>КИ</t>
        </is>
      </c>
      <c r="BM405" s="64">
        <f>IFERROR(X405*I405/H405,"0")</f>
        <v/>
      </c>
      <c r="BN405" s="64">
        <f>IFERROR(Y405*I405/H405,"0")</f>
        <v/>
      </c>
      <c r="BO405" s="64">
        <f>IFERROR(1/J405*(X405/H405),"0")</f>
        <v/>
      </c>
      <c r="BP405" s="64">
        <f>IFERROR(1/J405*(Y405/H405),"0")</f>
        <v/>
      </c>
    </row>
    <row r="406">
      <c r="A406" s="801" t="n"/>
      <c r="B406" s="800" t="n"/>
      <c r="C406" s="800" t="n"/>
      <c r="D406" s="800" t="n"/>
      <c r="E406" s="800" t="n"/>
      <c r="F406" s="800" t="n"/>
      <c r="G406" s="800" t="n"/>
      <c r="H406" s="800" t="n"/>
      <c r="I406" s="800" t="n"/>
      <c r="J406" s="800" t="n"/>
      <c r="K406" s="800" t="n"/>
      <c r="L406" s="800" t="n"/>
      <c r="M406" s="800" t="n"/>
      <c r="N406" s="800" t="n"/>
      <c r="O406" s="802" t="n"/>
      <c r="P406" s="796" t="inlineStr">
        <is>
          <t>Итого</t>
        </is>
      </c>
      <c r="Q406" s="793" t="n"/>
      <c r="R406" s="793" t="n"/>
      <c r="S406" s="793" t="n"/>
      <c r="T406" s="793" t="n"/>
      <c r="U406" s="793" t="n"/>
      <c r="V406" s="794" t="n"/>
      <c r="W406" s="37" t="inlineStr">
        <is>
          <t>кор</t>
        </is>
      </c>
      <c r="X406" s="1223">
        <f>IFERROR(X405/H405,"0")</f>
        <v/>
      </c>
      <c r="Y406" s="1223">
        <f>IFERROR(Y405/H405,"0")</f>
        <v/>
      </c>
      <c r="Z406" s="1223">
        <f>IFERROR(IF(Z405="",0,Z405),"0")</f>
        <v/>
      </c>
      <c r="AA406" s="1224" t="n"/>
      <c r="AB406" s="1224" t="n"/>
      <c r="AC406" s="1224" t="n"/>
    </row>
    <row r="407">
      <c r="A407" s="800" t="n"/>
      <c r="B407" s="800" t="n"/>
      <c r="C407" s="800" t="n"/>
      <c r="D407" s="800" t="n"/>
      <c r="E407" s="800" t="n"/>
      <c r="F407" s="800" t="n"/>
      <c r="G407" s="800" t="n"/>
      <c r="H407" s="800" t="n"/>
      <c r="I407" s="800" t="n"/>
      <c r="J407" s="800" t="n"/>
      <c r="K407" s="800" t="n"/>
      <c r="L407" s="800" t="n"/>
      <c r="M407" s="800" t="n"/>
      <c r="N407" s="800" t="n"/>
      <c r="O407" s="802" t="n"/>
      <c r="P407" s="796" t="inlineStr">
        <is>
          <t>Итого</t>
        </is>
      </c>
      <c r="Q407" s="793" t="n"/>
      <c r="R407" s="793" t="n"/>
      <c r="S407" s="793" t="n"/>
      <c r="T407" s="793" t="n"/>
      <c r="U407" s="793" t="n"/>
      <c r="V407" s="794" t="n"/>
      <c r="W407" s="37" t="inlineStr">
        <is>
          <t>кг</t>
        </is>
      </c>
      <c r="X407" s="1223">
        <f>IFERROR(SUM(X405:X405),"0")</f>
        <v/>
      </c>
      <c r="Y407" s="1223">
        <f>IFERROR(SUM(Y405:Y405),"0")</f>
        <v/>
      </c>
      <c r="Z407" s="37" t="n"/>
      <c r="AA407" s="1224" t="n"/>
      <c r="AB407" s="1224" t="n"/>
      <c r="AC407" s="1224" t="n"/>
    </row>
    <row r="408" ht="14.25" customHeight="1">
      <c r="A408" s="799" t="inlineStr">
        <is>
          <t>Сосиски</t>
        </is>
      </c>
      <c r="B408" s="800" t="n"/>
      <c r="C408" s="800" t="n"/>
      <c r="D408" s="800" t="n"/>
      <c r="E408" s="800" t="n"/>
      <c r="F408" s="800" t="n"/>
      <c r="G408" s="800" t="n"/>
      <c r="H408" s="800" t="n"/>
      <c r="I408" s="800" t="n"/>
      <c r="J408" s="800" t="n"/>
      <c r="K408" s="800" t="n"/>
      <c r="L408" s="800" t="n"/>
      <c r="M408" s="800" t="n"/>
      <c r="N408" s="800" t="n"/>
      <c r="O408" s="800" t="n"/>
      <c r="P408" s="800" t="n"/>
      <c r="Q408" s="800" t="n"/>
      <c r="R408" s="800" t="n"/>
      <c r="S408" s="800" t="n"/>
      <c r="T408" s="800" t="n"/>
      <c r="U408" s="800" t="n"/>
      <c r="V408" s="800" t="n"/>
      <c r="W408" s="800" t="n"/>
      <c r="X408" s="800" t="n"/>
      <c r="Y408" s="800" t="n"/>
      <c r="Z408" s="800" t="n"/>
      <c r="AA408" s="799" t="n"/>
      <c r="AB408" s="799" t="n"/>
      <c r="AC408" s="799" t="n"/>
    </row>
    <row r="409" ht="37.5" customHeight="1">
      <c r="A409" s="54" t="inlineStr">
        <is>
          <t>SU001835</t>
        </is>
      </c>
      <c r="B409" s="54" t="inlineStr">
        <is>
          <t>P002202</t>
        </is>
      </c>
      <c r="C409" s="31" t="n">
        <v>4301051142</v>
      </c>
      <c r="D409" s="782" t="n">
        <v>4607091387919</v>
      </c>
      <c r="E409" s="783" t="n"/>
      <c r="F409" s="1220" t="n">
        <v>1.35</v>
      </c>
      <c r="G409" s="32" t="n">
        <v>6</v>
      </c>
      <c r="H409" s="1220" t="n">
        <v>8.1</v>
      </c>
      <c r="I409" s="1220" t="n">
        <v>8.664</v>
      </c>
      <c r="J409" s="32" t="n">
        <v>56</v>
      </c>
      <c r="K409" s="32" t="inlineStr">
        <is>
          <t>8</t>
        </is>
      </c>
      <c r="L409" s="32" t="n"/>
      <c r="M409" s="33" t="inlineStr">
        <is>
          <t>СК2</t>
        </is>
      </c>
      <c r="N409" s="33" t="n"/>
      <c r="O409" s="32" t="n">
        <v>45</v>
      </c>
      <c r="P409" s="915">
        <f>HYPERLINK("https://abi.ru/products/Охлажденные/Стародворье/Бавария/Сосиски/P002202/","Сосиски Баварские Бавария Весовые П/а мгс Стародворье")</f>
        <v/>
      </c>
      <c r="Q409" s="785" t="n"/>
      <c r="R409" s="785" t="n"/>
      <c r="S409" s="785" t="n"/>
      <c r="T409" s="786" t="n"/>
      <c r="U409" s="34" t="n"/>
      <c r="V409" s="34" t="n"/>
      <c r="W409" s="35" t="inlineStr">
        <is>
          <t>кг</t>
        </is>
      </c>
      <c r="X409" s="1221" t="n">
        <v>0</v>
      </c>
      <c r="Y409" s="1222">
        <f>IFERROR(IF(X409="",0,CEILING((X409/$H409),1)*$H409),"")</f>
        <v/>
      </c>
      <c r="Z409" s="36">
        <f>IFERROR(IF(Y409=0,"",ROUNDUP(Y409/H409,0)*0.02175),"")</f>
        <v/>
      </c>
      <c r="AA409" s="56" t="n"/>
      <c r="AB409" s="57" t="n"/>
      <c r="AC409" s="483" t="inlineStr">
        <is>
          <t>ЕАЭС N RU Д-RU.PA01.B.48690/21, ЕАЭС N RU Д-RU.РА04.В.57451/23, ЕАЭС № RU Д-RU.АБ75.В.01081/20</t>
        </is>
      </c>
      <c r="AG409" s="64" t="n"/>
      <c r="AJ409" s="68" t="n"/>
      <c r="AK409" s="68" t="n">
        <v>0</v>
      </c>
      <c r="BB409" s="484" t="inlineStr">
        <is>
          <t>КИ</t>
        </is>
      </c>
      <c r="BM409" s="64">
        <f>IFERROR(X409*I409/H409,"0")</f>
        <v/>
      </c>
      <c r="BN409" s="64">
        <f>IFERROR(Y409*I409/H409,"0")</f>
        <v/>
      </c>
      <c r="BO409" s="64">
        <f>IFERROR(1/J409*(X409/H409),"0")</f>
        <v/>
      </c>
      <c r="BP409" s="64">
        <f>IFERROR(1/J409*(Y409/H409),"0")</f>
        <v/>
      </c>
    </row>
    <row r="410" ht="37.5" customHeight="1">
      <c r="A410" s="54" t="inlineStr">
        <is>
          <t>SU003167</t>
        </is>
      </c>
      <c r="B410" s="54" t="inlineStr">
        <is>
          <t>P003363</t>
        </is>
      </c>
      <c r="C410" s="31" t="n">
        <v>4301051461</v>
      </c>
      <c r="D410" s="782" t="n">
        <v>4680115883604</v>
      </c>
      <c r="E410" s="783" t="n"/>
      <c r="F410" s="1220" t="n">
        <v>0.35</v>
      </c>
      <c r="G410" s="32" t="n">
        <v>6</v>
      </c>
      <c r="H410" s="1220" t="n">
        <v>2.1</v>
      </c>
      <c r="I410" s="1220" t="n">
        <v>2.352</v>
      </c>
      <c r="J410" s="32" t="n">
        <v>182</v>
      </c>
      <c r="K410" s="32" t="inlineStr">
        <is>
          <t>14</t>
        </is>
      </c>
      <c r="L410" s="32" t="n"/>
      <c r="M410" s="33" t="inlineStr">
        <is>
          <t>СК3</t>
        </is>
      </c>
      <c r="N410" s="33" t="n"/>
      <c r="O410" s="32" t="n">
        <v>45</v>
      </c>
      <c r="P410" s="823">
        <f>HYPERLINK("https://abi.ru/products/Охлажденные/Стародворье/Бавария/Сосиски/P003363/","Сосиски «Баварские» Фикс.вес 0,35 П/а ТМ «Стародворье»")</f>
        <v/>
      </c>
      <c r="Q410" s="785" t="n"/>
      <c r="R410" s="785" t="n"/>
      <c r="S410" s="785" t="n"/>
      <c r="T410" s="786" t="n"/>
      <c r="U410" s="34" t="n"/>
      <c r="V410" s="34" t="n"/>
      <c r="W410" s="35" t="inlineStr">
        <is>
          <t>кг</t>
        </is>
      </c>
      <c r="X410" s="1221" t="n">
        <v>0</v>
      </c>
      <c r="Y410" s="1222">
        <f>IFERROR(IF(X410="",0,CEILING((X410/$H410),1)*$H410),"")</f>
        <v/>
      </c>
      <c r="Z410" s="36">
        <f>IFERROR(IF(Y410=0,"",ROUNDUP(Y410/H410,0)*0.00651),"")</f>
        <v/>
      </c>
      <c r="AA410" s="56" t="n"/>
      <c r="AB410" s="57" t="n"/>
      <c r="AC410" s="485" t="inlineStr">
        <is>
          <t>ЕАЭС N RU Д-RU.РА05.В.42328/23, ЕАЭС N RU Д-RU.РА05.В.42404/23, ЕАЭС N RU Д-RU.РА05.В.42627/23</t>
        </is>
      </c>
      <c r="AG410" s="64" t="n"/>
      <c r="AJ410" s="68" t="n"/>
      <c r="AK410" s="68" t="n">
        <v>0</v>
      </c>
      <c r="BB410" s="486" t="inlineStr">
        <is>
          <t>КИ</t>
        </is>
      </c>
      <c r="BM410" s="64">
        <f>IFERROR(X410*I410/H410,"0")</f>
        <v/>
      </c>
      <c r="BN410" s="64">
        <f>IFERROR(Y410*I410/H410,"0")</f>
        <v/>
      </c>
      <c r="BO410" s="64">
        <f>IFERROR(1/J410*(X410/H410),"0")</f>
        <v/>
      </c>
      <c r="BP410" s="64">
        <f>IFERROR(1/J410*(Y410/H410),"0")</f>
        <v/>
      </c>
    </row>
    <row r="411" ht="27" customHeight="1">
      <c r="A411" s="54" t="inlineStr">
        <is>
          <t>SU003168</t>
        </is>
      </c>
      <c r="B411" s="54" t="inlineStr">
        <is>
          <t>P003364</t>
        </is>
      </c>
      <c r="C411" s="31" t="n">
        <v>4301051485</v>
      </c>
      <c r="D411" s="782" t="n">
        <v>4680115883567</v>
      </c>
      <c r="E411" s="783" t="n"/>
      <c r="F411" s="1220" t="n">
        <v>0.35</v>
      </c>
      <c r="G411" s="32" t="n">
        <v>6</v>
      </c>
      <c r="H411" s="1220" t="n">
        <v>2.1</v>
      </c>
      <c r="I411" s="1220" t="n">
        <v>2.34</v>
      </c>
      <c r="J411" s="32" t="n">
        <v>182</v>
      </c>
      <c r="K411" s="32" t="inlineStr">
        <is>
          <t>14</t>
        </is>
      </c>
      <c r="L411" s="32" t="n"/>
      <c r="M411" s="33" t="inlineStr">
        <is>
          <t>СК2</t>
        </is>
      </c>
      <c r="N411" s="33" t="n"/>
      <c r="O411" s="32" t="n">
        <v>40</v>
      </c>
      <c r="P411" s="1093">
        <f>HYPERLINK("https://abi.ru/products/Охлажденные/Стародворье/Бавария/Сосиски/P003364/","Сосиски «Баварские с сыром» Фикс.вес 0,35 п/а ТМ «Стародворье»")</f>
        <v/>
      </c>
      <c r="Q411" s="785" t="n"/>
      <c r="R411" s="785" t="n"/>
      <c r="S411" s="785" t="n"/>
      <c r="T411" s="786" t="n"/>
      <c r="U411" s="34" t="n"/>
      <c r="V411" s="34" t="n"/>
      <c r="W411" s="35" t="inlineStr">
        <is>
          <t>кг</t>
        </is>
      </c>
      <c r="X411" s="1221" t="n">
        <v>0</v>
      </c>
      <c r="Y411" s="1222">
        <f>IFERROR(IF(X411="",0,CEILING((X411/$H411),1)*$H411),"")</f>
        <v/>
      </c>
      <c r="Z411" s="36">
        <f>IFERROR(IF(Y411=0,"",ROUNDUP(Y411/H411,0)*0.00651),"")</f>
        <v/>
      </c>
      <c r="AA411" s="56" t="n"/>
      <c r="AB411" s="57" t="n"/>
      <c r="AC411" s="487" t="inlineStr">
        <is>
          <t>ЕАЭС N RU Д-RU.РА05.В.42849/23, ЕАЭС N RU Д-RU.РА05.В.42915/23</t>
        </is>
      </c>
      <c r="AG411" s="64" t="n"/>
      <c r="AJ411" s="68" t="n"/>
      <c r="AK411" s="68" t="n">
        <v>0</v>
      </c>
      <c r="BB411" s="488" t="inlineStr">
        <is>
          <t>КИ</t>
        </is>
      </c>
      <c r="BM411" s="64">
        <f>IFERROR(X411*I411/H411,"0")</f>
        <v/>
      </c>
      <c r="BN411" s="64">
        <f>IFERROR(Y411*I411/H411,"0")</f>
        <v/>
      </c>
      <c r="BO411" s="64">
        <f>IFERROR(1/J411*(X411/H411),"0")</f>
        <v/>
      </c>
      <c r="BP411" s="64">
        <f>IFERROR(1/J411*(Y411/H411),"0")</f>
        <v/>
      </c>
    </row>
    <row r="412">
      <c r="A412" s="801" t="n"/>
      <c r="B412" s="800" t="n"/>
      <c r="C412" s="800" t="n"/>
      <c r="D412" s="800" t="n"/>
      <c r="E412" s="800" t="n"/>
      <c r="F412" s="800" t="n"/>
      <c r="G412" s="800" t="n"/>
      <c r="H412" s="800" t="n"/>
      <c r="I412" s="800" t="n"/>
      <c r="J412" s="800" t="n"/>
      <c r="K412" s="800" t="n"/>
      <c r="L412" s="800" t="n"/>
      <c r="M412" s="800" t="n"/>
      <c r="N412" s="800" t="n"/>
      <c r="O412" s="802" t="n"/>
      <c r="P412" s="796" t="inlineStr">
        <is>
          <t>Итого</t>
        </is>
      </c>
      <c r="Q412" s="793" t="n"/>
      <c r="R412" s="793" t="n"/>
      <c r="S412" s="793" t="n"/>
      <c r="T412" s="793" t="n"/>
      <c r="U412" s="793" t="n"/>
      <c r="V412" s="794" t="n"/>
      <c r="W412" s="37" t="inlineStr">
        <is>
          <t>кор</t>
        </is>
      </c>
      <c r="X412" s="1223">
        <f>IFERROR(X409/H409,"0")+IFERROR(X410/H410,"0")+IFERROR(X411/H411,"0")</f>
        <v/>
      </c>
      <c r="Y412" s="1223">
        <f>IFERROR(Y409/H409,"0")+IFERROR(Y410/H410,"0")+IFERROR(Y411/H411,"0")</f>
        <v/>
      </c>
      <c r="Z412" s="1223">
        <f>IFERROR(IF(Z409="",0,Z409),"0")+IFERROR(IF(Z410="",0,Z410),"0")+IFERROR(IF(Z411="",0,Z411),"0")</f>
        <v/>
      </c>
      <c r="AA412" s="1224" t="n"/>
      <c r="AB412" s="1224" t="n"/>
      <c r="AC412" s="1224" t="n"/>
    </row>
    <row r="413">
      <c r="A413" s="800" t="n"/>
      <c r="B413" s="800" t="n"/>
      <c r="C413" s="800" t="n"/>
      <c r="D413" s="800" t="n"/>
      <c r="E413" s="800" t="n"/>
      <c r="F413" s="800" t="n"/>
      <c r="G413" s="800" t="n"/>
      <c r="H413" s="800" t="n"/>
      <c r="I413" s="800" t="n"/>
      <c r="J413" s="800" t="n"/>
      <c r="K413" s="800" t="n"/>
      <c r="L413" s="800" t="n"/>
      <c r="M413" s="800" t="n"/>
      <c r="N413" s="800" t="n"/>
      <c r="O413" s="802" t="n"/>
      <c r="P413" s="796" t="inlineStr">
        <is>
          <t>Итого</t>
        </is>
      </c>
      <c r="Q413" s="793" t="n"/>
      <c r="R413" s="793" t="n"/>
      <c r="S413" s="793" t="n"/>
      <c r="T413" s="793" t="n"/>
      <c r="U413" s="793" t="n"/>
      <c r="V413" s="794" t="n"/>
      <c r="W413" s="37" t="inlineStr">
        <is>
          <t>кг</t>
        </is>
      </c>
      <c r="X413" s="1223">
        <f>IFERROR(SUM(X409:X411),"0")</f>
        <v/>
      </c>
      <c r="Y413" s="1223">
        <f>IFERROR(SUM(Y409:Y411),"0")</f>
        <v/>
      </c>
      <c r="Z413" s="37" t="n"/>
      <c r="AA413" s="1224" t="n"/>
      <c r="AB413" s="1224" t="n"/>
      <c r="AC413" s="1224" t="n"/>
    </row>
    <row r="414" ht="27.75" customHeight="1">
      <c r="A414" s="900" t="inlineStr">
        <is>
          <t>Особый рецепт</t>
        </is>
      </c>
      <c r="B414" s="901" t="n"/>
      <c r="C414" s="901" t="n"/>
      <c r="D414" s="901" t="n"/>
      <c r="E414" s="901" t="n"/>
      <c r="F414" s="901" t="n"/>
      <c r="G414" s="901" t="n"/>
      <c r="H414" s="901" t="n"/>
      <c r="I414" s="901" t="n"/>
      <c r="J414" s="901" t="n"/>
      <c r="K414" s="901" t="n"/>
      <c r="L414" s="901" t="n"/>
      <c r="M414" s="901" t="n"/>
      <c r="N414" s="901" t="n"/>
      <c r="O414" s="901" t="n"/>
      <c r="P414" s="901" t="n"/>
      <c r="Q414" s="901" t="n"/>
      <c r="R414" s="901" t="n"/>
      <c r="S414" s="901" t="n"/>
      <c r="T414" s="901" t="n"/>
      <c r="U414" s="901" t="n"/>
      <c r="V414" s="901" t="n"/>
      <c r="W414" s="901" t="n"/>
      <c r="X414" s="901" t="n"/>
      <c r="Y414" s="901" t="n"/>
      <c r="Z414" s="901" t="n"/>
      <c r="AA414" s="48" t="n"/>
      <c r="AB414" s="48" t="n"/>
      <c r="AC414" s="48" t="n"/>
    </row>
    <row r="415" ht="16.5" customHeight="1">
      <c r="A415" s="807" t="inlineStr">
        <is>
          <t>Особая</t>
        </is>
      </c>
      <c r="B415" s="800" t="n"/>
      <c r="C415" s="800" t="n"/>
      <c r="D415" s="800" t="n"/>
      <c r="E415" s="800" t="n"/>
      <c r="F415" s="800" t="n"/>
      <c r="G415" s="800" t="n"/>
      <c r="H415" s="800" t="n"/>
      <c r="I415" s="800" t="n"/>
      <c r="J415" s="800" t="n"/>
      <c r="K415" s="800" t="n"/>
      <c r="L415" s="800" t="n"/>
      <c r="M415" s="800" t="n"/>
      <c r="N415" s="800" t="n"/>
      <c r="O415" s="800" t="n"/>
      <c r="P415" s="800" t="n"/>
      <c r="Q415" s="800" t="n"/>
      <c r="R415" s="800" t="n"/>
      <c r="S415" s="800" t="n"/>
      <c r="T415" s="800" t="n"/>
      <c r="U415" s="800" t="n"/>
      <c r="V415" s="800" t="n"/>
      <c r="W415" s="800" t="n"/>
      <c r="X415" s="800" t="n"/>
      <c r="Y415" s="800" t="n"/>
      <c r="Z415" s="800" t="n"/>
      <c r="AA415" s="807" t="n"/>
      <c r="AB415" s="807" t="n"/>
      <c r="AC415" s="807" t="n"/>
    </row>
    <row r="416" ht="14.25" customHeight="1">
      <c r="A416" s="799" t="inlineStr">
        <is>
          <t>Вареные колбасы</t>
        </is>
      </c>
      <c r="B416" s="800" t="n"/>
      <c r="C416" s="800" t="n"/>
      <c r="D416" s="800" t="n"/>
      <c r="E416" s="800" t="n"/>
      <c r="F416" s="800" t="n"/>
      <c r="G416" s="800" t="n"/>
      <c r="H416" s="800" t="n"/>
      <c r="I416" s="800" t="n"/>
      <c r="J416" s="800" t="n"/>
      <c r="K416" s="800" t="n"/>
      <c r="L416" s="800" t="n"/>
      <c r="M416" s="800" t="n"/>
      <c r="N416" s="800" t="n"/>
      <c r="O416" s="800" t="n"/>
      <c r="P416" s="800" t="n"/>
      <c r="Q416" s="800" t="n"/>
      <c r="R416" s="800" t="n"/>
      <c r="S416" s="800" t="n"/>
      <c r="T416" s="800" t="n"/>
      <c r="U416" s="800" t="n"/>
      <c r="V416" s="800" t="n"/>
      <c r="W416" s="800" t="n"/>
      <c r="X416" s="800" t="n"/>
      <c r="Y416" s="800" t="n"/>
      <c r="Z416" s="800" t="n"/>
      <c r="AA416" s="799" t="n"/>
      <c r="AB416" s="799" t="n"/>
      <c r="AC416" s="799" t="n"/>
    </row>
    <row r="417" ht="27" customHeight="1">
      <c r="A417" s="54" t="inlineStr">
        <is>
          <t>SU003422</t>
        </is>
      </c>
      <c r="B417" s="54" t="inlineStr">
        <is>
          <t>P004303</t>
        </is>
      </c>
      <c r="C417" s="31" t="n">
        <v>4301011946</v>
      </c>
      <c r="D417" s="782" t="n">
        <v>4680115884847</v>
      </c>
      <c r="E417" s="783" t="n"/>
      <c r="F417" s="1220" t="n">
        <v>2.5</v>
      </c>
      <c r="G417" s="32" t="n">
        <v>6</v>
      </c>
      <c r="H417" s="1220" t="n">
        <v>15</v>
      </c>
      <c r="I417" s="1220" t="n">
        <v>15.48</v>
      </c>
      <c r="J417" s="32" t="n">
        <v>48</v>
      </c>
      <c r="K417" s="32" t="inlineStr">
        <is>
          <t>8</t>
        </is>
      </c>
      <c r="L417" s="32" t="n"/>
      <c r="M417" s="33" t="inlineStr">
        <is>
          <t>ВЗ</t>
        </is>
      </c>
      <c r="N417" s="33" t="n"/>
      <c r="O417" s="32" t="n">
        <v>60</v>
      </c>
      <c r="P417" s="896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/>
      </c>
      <c r="Q417" s="785" t="n"/>
      <c r="R417" s="785" t="n"/>
      <c r="S417" s="785" t="n"/>
      <c r="T417" s="786" t="n"/>
      <c r="U417" s="34" t="n"/>
      <c r="V417" s="34" t="n"/>
      <c r="W417" s="35" t="inlineStr">
        <is>
          <t>кг</t>
        </is>
      </c>
      <c r="X417" s="1221" t="n">
        <v>0</v>
      </c>
      <c r="Y417" s="1222">
        <f>IFERROR(IF(X417="",0,CEILING((X417/$H417),1)*$H417),"")</f>
        <v/>
      </c>
      <c r="Z417" s="36">
        <f>IFERROR(IF(Y417=0,"",ROUNDUP(Y417/H417,0)*0.02039),"")</f>
        <v/>
      </c>
      <c r="AA417" s="56" t="n"/>
      <c r="AB417" s="57" t="n"/>
      <c r="AC417" s="489" t="inlineStr">
        <is>
          <t>ЕАЭС N RU Д-RU.РА02.В.44569/24</t>
        </is>
      </c>
      <c r="AG417" s="64" t="n"/>
      <c r="AJ417" s="68" t="n"/>
      <c r="AK417" s="68" t="n">
        <v>0</v>
      </c>
      <c r="BB417" s="490" t="inlineStr">
        <is>
          <t>КИ</t>
        </is>
      </c>
      <c r="BM417" s="64">
        <f>IFERROR(X417*I417/H417,"0")</f>
        <v/>
      </c>
      <c r="BN417" s="64">
        <f>IFERROR(Y417*I417/H417,"0")</f>
        <v/>
      </c>
      <c r="BO417" s="64">
        <f>IFERROR(1/J417*(X417/H417),"0")</f>
        <v/>
      </c>
      <c r="BP417" s="64">
        <f>IFERROR(1/J417*(Y417/H417),"0")</f>
        <v/>
      </c>
    </row>
    <row r="418" ht="27" customHeight="1">
      <c r="A418" s="54" t="inlineStr">
        <is>
          <t>SU003422</t>
        </is>
      </c>
      <c r="B418" s="54" t="inlineStr">
        <is>
          <t>P004256</t>
        </is>
      </c>
      <c r="C418" s="31" t="n">
        <v>4301011869</v>
      </c>
      <c r="D418" s="782" t="n">
        <v>4680115884847</v>
      </c>
      <c r="E418" s="783" t="n"/>
      <c r="F418" s="1220" t="n">
        <v>2.5</v>
      </c>
      <c r="G418" s="32" t="n">
        <v>6</v>
      </c>
      <c r="H418" s="1220" t="n">
        <v>15</v>
      </c>
      <c r="I418" s="1220" t="n">
        <v>15.48</v>
      </c>
      <c r="J418" s="32" t="n">
        <v>48</v>
      </c>
      <c r="K418" s="32" t="inlineStr">
        <is>
          <t>8</t>
        </is>
      </c>
      <c r="L418" s="32" t="inlineStr">
        <is>
          <t>Палетта, мин. 1</t>
        </is>
      </c>
      <c r="M418" s="33" t="inlineStr">
        <is>
          <t>СК2</t>
        </is>
      </c>
      <c r="N418" s="33" t="n"/>
      <c r="O418" s="32" t="n">
        <v>60</v>
      </c>
      <c r="P418" s="883">
        <f>HYPERLINK("https://abi.ru/products/Охлажденные/Особый рецепт/Особая/Вареные колбасы/P004256/","Вареные колбасы «Молочная» Весовой п/а ТМ «Особый рецепт»")</f>
        <v/>
      </c>
      <c r="Q418" s="785" t="n"/>
      <c r="R418" s="785" t="n"/>
      <c r="S418" s="785" t="n"/>
      <c r="T418" s="786" t="n"/>
      <c r="U418" s="34" t="n"/>
      <c r="V418" s="34" t="n"/>
      <c r="W418" s="35" t="inlineStr">
        <is>
          <t>кг</t>
        </is>
      </c>
      <c r="X418" s="1221" t="n">
        <v>0</v>
      </c>
      <c r="Y418" s="1222">
        <f>IFERROR(IF(X418="",0,CEILING((X418/$H418),1)*$H418),"")</f>
        <v/>
      </c>
      <c r="Z418" s="36">
        <f>IFERROR(IF(Y418=0,"",ROUNDUP(Y418/H418,0)*0.02175),"")</f>
        <v/>
      </c>
      <c r="AA418" s="56" t="n"/>
      <c r="AB418" s="57" t="n"/>
      <c r="AC418" s="491" t="inlineStr">
        <is>
          <t>ЕАЭС N RU Д-RU.РА02.В.61644/24, ЕАЭС N RU Д-RU.РА10.В.04696/24</t>
        </is>
      </c>
      <c r="AG418" s="64" t="n"/>
      <c r="AJ418" s="68" t="inlineStr">
        <is>
          <t>Палетта</t>
        </is>
      </c>
      <c r="AK418" s="68" t="n">
        <v>720</v>
      </c>
      <c r="BB418" s="492" t="inlineStr">
        <is>
          <t>КИ</t>
        </is>
      </c>
      <c r="BM418" s="64">
        <f>IFERROR(X418*I418/H418,"0")</f>
        <v/>
      </c>
      <c r="BN418" s="64">
        <f>IFERROR(Y418*I418/H418,"0")</f>
        <v/>
      </c>
      <c r="BO418" s="64">
        <f>IFERROR(1/J418*(X418/H418),"0")</f>
        <v/>
      </c>
      <c r="BP418" s="64">
        <f>IFERROR(1/J418*(Y418/H418),"0")</f>
        <v/>
      </c>
    </row>
    <row r="419" ht="27" customHeight="1">
      <c r="A419" s="54" t="inlineStr">
        <is>
          <t>SU003423</t>
        </is>
      </c>
      <c r="B419" s="54" t="inlineStr">
        <is>
          <t>P004315</t>
        </is>
      </c>
      <c r="C419" s="31" t="n">
        <v>4301011947</v>
      </c>
      <c r="D419" s="782" t="n">
        <v>4680115884854</v>
      </c>
      <c r="E419" s="783" t="n"/>
      <c r="F419" s="1220" t="n">
        <v>2.5</v>
      </c>
      <c r="G419" s="32" t="n">
        <v>6</v>
      </c>
      <c r="H419" s="1220" t="n">
        <v>15</v>
      </c>
      <c r="I419" s="1220" t="n">
        <v>15.48</v>
      </c>
      <c r="J419" s="32" t="n">
        <v>48</v>
      </c>
      <c r="K419" s="32" t="inlineStr">
        <is>
          <t>8</t>
        </is>
      </c>
      <c r="L419" s="32" t="n"/>
      <c r="M419" s="33" t="inlineStr">
        <is>
          <t>ВЗ</t>
        </is>
      </c>
      <c r="N419" s="33" t="n"/>
      <c r="O419" s="32" t="n">
        <v>60</v>
      </c>
      <c r="P419" s="1071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/>
      </c>
      <c r="Q419" s="785" t="n"/>
      <c r="R419" s="785" t="n"/>
      <c r="S419" s="785" t="n"/>
      <c r="T419" s="786" t="n"/>
      <c r="U419" s="34" t="n"/>
      <c r="V419" s="34" t="n"/>
      <c r="W419" s="35" t="inlineStr">
        <is>
          <t>кг</t>
        </is>
      </c>
      <c r="X419" s="1221" t="n">
        <v>300</v>
      </c>
      <c r="Y419" s="1222">
        <f>IFERROR(IF(X419="",0,CEILING((X419/$H419),1)*$H419),"")</f>
        <v/>
      </c>
      <c r="Z419" s="36">
        <f>IFERROR(IF(Y419=0,"",ROUNDUP(Y419/H419,0)*0.02039),"")</f>
        <v/>
      </c>
      <c r="AA419" s="56" t="n"/>
      <c r="AB419" s="57" t="n"/>
      <c r="AC419" s="493" t="inlineStr">
        <is>
          <t>ЕАЭС N RU Д-RU.РА02.В.44569/24</t>
        </is>
      </c>
      <c r="AG419" s="64" t="n"/>
      <c r="AJ419" s="68" t="n"/>
      <c r="AK419" s="68" t="n">
        <v>0</v>
      </c>
      <c r="BB419" s="494" t="inlineStr">
        <is>
          <t>КИ</t>
        </is>
      </c>
      <c r="BM419" s="64">
        <f>IFERROR(X419*I419/H419,"0")</f>
        <v/>
      </c>
      <c r="BN419" s="64">
        <f>IFERROR(Y419*I419/H419,"0")</f>
        <v/>
      </c>
      <c r="BO419" s="64">
        <f>IFERROR(1/J419*(X419/H419),"0")</f>
        <v/>
      </c>
      <c r="BP419" s="64">
        <f>IFERROR(1/J419*(Y419/H419),"0")</f>
        <v/>
      </c>
    </row>
    <row r="420" ht="27" customHeight="1">
      <c r="A420" s="54" t="inlineStr">
        <is>
          <t>SU003423</t>
        </is>
      </c>
      <c r="B420" s="54" t="inlineStr">
        <is>
          <t>P004257</t>
        </is>
      </c>
      <c r="C420" s="31" t="n">
        <v>4301011870</v>
      </c>
      <c r="D420" s="782" t="n">
        <v>4680115884854</v>
      </c>
      <c r="E420" s="783" t="n"/>
      <c r="F420" s="1220" t="n">
        <v>2.5</v>
      </c>
      <c r="G420" s="32" t="n">
        <v>6</v>
      </c>
      <c r="H420" s="1220" t="n">
        <v>15</v>
      </c>
      <c r="I420" s="1220" t="n">
        <v>15.48</v>
      </c>
      <c r="J420" s="32" t="n">
        <v>48</v>
      </c>
      <c r="K420" s="32" t="inlineStr">
        <is>
          <t>8</t>
        </is>
      </c>
      <c r="L420" s="32" t="inlineStr">
        <is>
          <t>Палетта, мин. 1</t>
        </is>
      </c>
      <c r="M420" s="33" t="inlineStr">
        <is>
          <t>СК2</t>
        </is>
      </c>
      <c r="N420" s="33" t="n"/>
      <c r="O420" s="32" t="n">
        <v>60</v>
      </c>
      <c r="P420" s="863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/>
      </c>
      <c r="Q420" s="785" t="n"/>
      <c r="R420" s="785" t="n"/>
      <c r="S420" s="785" t="n"/>
      <c r="T420" s="786" t="n"/>
      <c r="U420" s="34" t="n"/>
      <c r="V420" s="34" t="n"/>
      <c r="W420" s="35" t="inlineStr">
        <is>
          <t>кг</t>
        </is>
      </c>
      <c r="X420" s="1221" t="n">
        <v>0</v>
      </c>
      <c r="Y420" s="1222">
        <f>IFERROR(IF(X420="",0,CEILING((X420/$H420),1)*$H420),"")</f>
        <v/>
      </c>
      <c r="Z420" s="36">
        <f>IFERROR(IF(Y420=0,"",ROUNDUP(Y420/H420,0)*0.02175),"")</f>
        <v/>
      </c>
      <c r="AA420" s="56" t="n"/>
      <c r="AB420" s="57" t="n"/>
      <c r="AC420" s="495" t="inlineStr">
        <is>
          <t>ЕАЭС N RU Д-RU.РА02.В.61635/24, ЕАЭС N RU Д-RU.РА09.В.95694/24</t>
        </is>
      </c>
      <c r="AG420" s="64" t="n"/>
      <c r="AJ420" s="68" t="inlineStr">
        <is>
          <t>Палетта</t>
        </is>
      </c>
      <c r="AK420" s="68" t="n">
        <v>720</v>
      </c>
      <c r="BB420" s="496" t="inlineStr">
        <is>
          <t>КИ</t>
        </is>
      </c>
      <c r="BM420" s="64">
        <f>IFERROR(X420*I420/H420,"0")</f>
        <v/>
      </c>
      <c r="BN420" s="64">
        <f>IFERROR(Y420*I420/H420,"0")</f>
        <v/>
      </c>
      <c r="BO420" s="64">
        <f>IFERROR(1/J420*(X420/H420),"0")</f>
        <v/>
      </c>
      <c r="BP420" s="64">
        <f>IFERROR(1/J420*(Y420/H420),"0")</f>
        <v/>
      </c>
    </row>
    <row r="421" ht="27" customHeight="1">
      <c r="A421" s="54" t="inlineStr">
        <is>
          <t>SU000251</t>
        </is>
      </c>
      <c r="B421" s="54" t="inlineStr">
        <is>
          <t>P002584</t>
        </is>
      </c>
      <c r="C421" s="31" t="n">
        <v>4301011339</v>
      </c>
      <c r="D421" s="782" t="n">
        <v>4607091383997</v>
      </c>
      <c r="E421" s="783" t="n"/>
      <c r="F421" s="1220" t="n">
        <v>2.5</v>
      </c>
      <c r="G421" s="32" t="n">
        <v>6</v>
      </c>
      <c r="H421" s="1220" t="n">
        <v>15</v>
      </c>
      <c r="I421" s="1220" t="n">
        <v>15.48</v>
      </c>
      <c r="J421" s="32" t="n">
        <v>48</v>
      </c>
      <c r="K421" s="32" t="inlineStr">
        <is>
          <t>8</t>
        </is>
      </c>
      <c r="L421" s="32" t="n"/>
      <c r="M421" s="33" t="inlineStr">
        <is>
          <t>СК2</t>
        </is>
      </c>
      <c r="N421" s="33" t="n"/>
      <c r="O421" s="32" t="n">
        <v>60</v>
      </c>
      <c r="P421" s="862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Q421" s="785" t="n"/>
      <c r="R421" s="785" t="n"/>
      <c r="S421" s="785" t="n"/>
      <c r="T421" s="786" t="n"/>
      <c r="U421" s="34" t="n"/>
      <c r="V421" s="34" t="n"/>
      <c r="W421" s="35" t="inlineStr">
        <is>
          <t>кг</t>
        </is>
      </c>
      <c r="X421" s="1221" t="n">
        <v>0</v>
      </c>
      <c r="Y421" s="1222">
        <f>IFERROR(IF(X421="",0,CEILING((X421/$H421),1)*$H421),"")</f>
        <v/>
      </c>
      <c r="Z421" s="36">
        <f>IFERROR(IF(Y421=0,"",ROUNDUP(Y421/H421,0)*0.02175),"")</f>
        <v/>
      </c>
      <c r="AA421" s="56" t="n"/>
      <c r="AB421" s="57" t="n"/>
      <c r="AC421" s="497" t="inlineStr">
        <is>
          <t>ЕАЭС N RU Д-RU.РА09.В.35957/22, ЕАЭС № RU Д- RU.АБ75.В.00578/19</t>
        </is>
      </c>
      <c r="AG421" s="64" t="n"/>
      <c r="AJ421" s="68" t="n"/>
      <c r="AK421" s="68" t="n">
        <v>0</v>
      </c>
      <c r="BB421" s="498" t="inlineStr">
        <is>
          <t>КИ</t>
        </is>
      </c>
      <c r="BM421" s="64">
        <f>IFERROR(X421*I421/H421,"0")</f>
        <v/>
      </c>
      <c r="BN421" s="64">
        <f>IFERROR(Y421*I421/H421,"0")</f>
        <v/>
      </c>
      <c r="BO421" s="64">
        <f>IFERROR(1/J421*(X421/H421),"0")</f>
        <v/>
      </c>
      <c r="BP421" s="64">
        <f>IFERROR(1/J421*(Y421/H421),"0")</f>
        <v/>
      </c>
    </row>
    <row r="422" ht="27" customHeight="1">
      <c r="A422" s="54" t="inlineStr">
        <is>
          <t>SU003420</t>
        </is>
      </c>
      <c r="B422" s="54" t="inlineStr">
        <is>
          <t>P004293</t>
        </is>
      </c>
      <c r="C422" s="31" t="n">
        <v>4301011943</v>
      </c>
      <c r="D422" s="782" t="n">
        <v>4680115884830</v>
      </c>
      <c r="E422" s="783" t="n"/>
      <c r="F422" s="1220" t="n">
        <v>2.5</v>
      </c>
      <c r="G422" s="32" t="n">
        <v>6</v>
      </c>
      <c r="H422" s="1220" t="n">
        <v>15</v>
      </c>
      <c r="I422" s="1220" t="n">
        <v>15.48</v>
      </c>
      <c r="J422" s="32" t="n">
        <v>48</v>
      </c>
      <c r="K422" s="32" t="inlineStr">
        <is>
          <t>8</t>
        </is>
      </c>
      <c r="L422" s="32" t="n"/>
      <c r="M422" s="33" t="inlineStr">
        <is>
          <t>ВЗ</t>
        </is>
      </c>
      <c r="N422" s="33" t="n"/>
      <c r="O422" s="32" t="n">
        <v>60</v>
      </c>
      <c r="P422" s="1100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/>
      </c>
      <c r="Q422" s="785" t="n"/>
      <c r="R422" s="785" t="n"/>
      <c r="S422" s="785" t="n"/>
      <c r="T422" s="786" t="n"/>
      <c r="U422" s="34" t="n"/>
      <c r="V422" s="34" t="n"/>
      <c r="W422" s="35" t="inlineStr">
        <is>
          <t>кг</t>
        </is>
      </c>
      <c r="X422" s="1221" t="n">
        <v>2500</v>
      </c>
      <c r="Y422" s="1222">
        <f>IFERROR(IF(X422="",0,CEILING((X422/$H422),1)*$H422),"")</f>
        <v/>
      </c>
      <c r="Z422" s="36">
        <f>IFERROR(IF(Y422=0,"",ROUNDUP(Y422/H422,0)*0.02039),"")</f>
        <v/>
      </c>
      <c r="AA422" s="56" t="n"/>
      <c r="AB422" s="57" t="n"/>
      <c r="AC422" s="499" t="inlineStr">
        <is>
          <t>ЕАЭС N RU Д-RU.РА02.В.44569/24</t>
        </is>
      </c>
      <c r="AG422" s="64" t="n"/>
      <c r="AJ422" s="68" t="n"/>
      <c r="AK422" s="68" t="n">
        <v>0</v>
      </c>
      <c r="BB422" s="500" t="inlineStr">
        <is>
          <t>КИ</t>
        </is>
      </c>
      <c r="BM422" s="64">
        <f>IFERROR(X422*I422/H422,"0")</f>
        <v/>
      </c>
      <c r="BN422" s="64">
        <f>IFERROR(Y422*I422/H422,"0")</f>
        <v/>
      </c>
      <c r="BO422" s="64">
        <f>IFERROR(1/J422*(X422/H422),"0")</f>
        <v/>
      </c>
      <c r="BP422" s="64">
        <f>IFERROR(1/J422*(Y422/H422),"0")</f>
        <v/>
      </c>
    </row>
    <row r="423" ht="27" customHeight="1">
      <c r="A423" s="54" t="inlineStr">
        <is>
          <t>SU003420</t>
        </is>
      </c>
      <c r="B423" s="54" t="inlineStr">
        <is>
          <t>P004252</t>
        </is>
      </c>
      <c r="C423" s="31" t="n">
        <v>4301011867</v>
      </c>
      <c r="D423" s="782" t="n">
        <v>4680115884830</v>
      </c>
      <c r="E423" s="783" t="n"/>
      <c r="F423" s="1220" t="n">
        <v>2.5</v>
      </c>
      <c r="G423" s="32" t="n">
        <v>6</v>
      </c>
      <c r="H423" s="1220" t="n">
        <v>15</v>
      </c>
      <c r="I423" s="1220" t="n">
        <v>15.48</v>
      </c>
      <c r="J423" s="32" t="n">
        <v>48</v>
      </c>
      <c r="K423" s="32" t="inlineStr">
        <is>
          <t>8</t>
        </is>
      </c>
      <c r="L423" s="32" t="inlineStr">
        <is>
          <t>Палетта, мин. 1</t>
        </is>
      </c>
      <c r="M423" s="33" t="inlineStr">
        <is>
          <t>СК2</t>
        </is>
      </c>
      <c r="N423" s="33" t="n"/>
      <c r="O423" s="32" t="n">
        <v>60</v>
      </c>
      <c r="P423" s="1205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/>
      </c>
      <c r="Q423" s="785" t="n"/>
      <c r="R423" s="785" t="n"/>
      <c r="S423" s="785" t="n"/>
      <c r="T423" s="786" t="n"/>
      <c r="U423" s="34" t="n"/>
      <c r="V423" s="34" t="n"/>
      <c r="W423" s="35" t="inlineStr">
        <is>
          <t>кг</t>
        </is>
      </c>
      <c r="X423" s="1221" t="n">
        <v>0</v>
      </c>
      <c r="Y423" s="1222">
        <f>IFERROR(IF(X423="",0,CEILING((X423/$H423),1)*$H423),"")</f>
        <v/>
      </c>
      <c r="Z423" s="36">
        <f>IFERROR(IF(Y423=0,"",ROUNDUP(Y423/H423,0)*0.02175),"")</f>
        <v/>
      </c>
      <c r="AA423" s="56" t="n"/>
      <c r="AB423" s="57" t="n"/>
      <c r="AC423" s="501" t="inlineStr">
        <is>
          <t>ЕАЭС N RU Д-RU.РА02.В.61660/24, ЕАЭС N RU Д-RU.РА10.В.85286/23</t>
        </is>
      </c>
      <c r="AG423" s="64" t="n"/>
      <c r="AJ423" s="68" t="inlineStr">
        <is>
          <t>Палетта</t>
        </is>
      </c>
      <c r="AK423" s="68" t="n">
        <v>720</v>
      </c>
      <c r="BB423" s="502" t="inlineStr">
        <is>
          <t>КИ</t>
        </is>
      </c>
      <c r="BM423" s="64">
        <f>IFERROR(X423*I423/H423,"0")</f>
        <v/>
      </c>
      <c r="BN423" s="64">
        <f>IFERROR(Y423*I423/H423,"0")</f>
        <v/>
      </c>
      <c r="BO423" s="64">
        <f>IFERROR(1/J423*(X423/H423),"0")</f>
        <v/>
      </c>
      <c r="BP423" s="64">
        <f>IFERROR(1/J423*(Y423/H423),"0")</f>
        <v/>
      </c>
    </row>
    <row r="424" ht="27" customHeight="1">
      <c r="A424" s="54" t="inlineStr">
        <is>
          <t>SU002787</t>
        </is>
      </c>
      <c r="B424" s="54" t="inlineStr">
        <is>
          <t>P003189</t>
        </is>
      </c>
      <c r="C424" s="31" t="n">
        <v>4301011433</v>
      </c>
      <c r="D424" s="782" t="n">
        <v>4680115882638</v>
      </c>
      <c r="E424" s="783" t="n"/>
      <c r="F424" s="1220" t="n">
        <v>0.4</v>
      </c>
      <c r="G424" s="32" t="n">
        <v>10</v>
      </c>
      <c r="H424" s="1220" t="n">
        <v>4</v>
      </c>
      <c r="I424" s="1220" t="n">
        <v>4.21</v>
      </c>
      <c r="J424" s="32" t="n">
        <v>132</v>
      </c>
      <c r="K424" s="32" t="inlineStr">
        <is>
          <t>12</t>
        </is>
      </c>
      <c r="L424" s="32" t="n"/>
      <c r="M424" s="33" t="inlineStr">
        <is>
          <t>СК1</t>
        </is>
      </c>
      <c r="N424" s="33" t="n"/>
      <c r="O424" s="32" t="n">
        <v>90</v>
      </c>
      <c r="P424" s="1048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/>
      </c>
      <c r="Q424" s="785" t="n"/>
      <c r="R424" s="785" t="n"/>
      <c r="S424" s="785" t="n"/>
      <c r="T424" s="786" t="n"/>
      <c r="U424" s="34" t="n"/>
      <c r="V424" s="34" t="n"/>
      <c r="W424" s="35" t="inlineStr">
        <is>
          <t>кг</t>
        </is>
      </c>
      <c r="X424" s="1221" t="n">
        <v>0</v>
      </c>
      <c r="Y424" s="1222">
        <f>IFERROR(IF(X424="",0,CEILING((X424/$H424),1)*$H424),"")</f>
        <v/>
      </c>
      <c r="Z424" s="36">
        <f>IFERROR(IF(Y424=0,"",ROUNDUP(Y424/H424,0)*0.00902),"")</f>
        <v/>
      </c>
      <c r="AA424" s="56" t="n"/>
      <c r="AB424" s="57" t="n"/>
      <c r="AC424" s="503" t="inlineStr">
        <is>
          <t>ЕАЭС N RU Д-RU.РА05.В.17033/23, ЕАЭС N RU Д-RU.РА05.В.17083/23</t>
        </is>
      </c>
      <c r="AG424" s="64" t="n"/>
      <c r="AJ424" s="68" t="n"/>
      <c r="AK424" s="68" t="n">
        <v>0</v>
      </c>
      <c r="BB424" s="504" t="inlineStr">
        <is>
          <t>КИ</t>
        </is>
      </c>
      <c r="BM424" s="64">
        <f>IFERROR(X424*I424/H424,"0")</f>
        <v/>
      </c>
      <c r="BN424" s="64">
        <f>IFERROR(Y424*I424/H424,"0")</f>
        <v/>
      </c>
      <c r="BO424" s="64">
        <f>IFERROR(1/J424*(X424/H424),"0")</f>
        <v/>
      </c>
      <c r="BP424" s="64">
        <f>IFERROR(1/J424*(Y424/H424),"0")</f>
        <v/>
      </c>
    </row>
    <row r="425" ht="27" customHeight="1">
      <c r="A425" s="54" t="inlineStr">
        <is>
          <t>SU003432</t>
        </is>
      </c>
      <c r="B425" s="54" t="inlineStr">
        <is>
          <t>P004347</t>
        </is>
      </c>
      <c r="C425" s="31" t="n">
        <v>4301011952</v>
      </c>
      <c r="D425" s="782" t="n">
        <v>4680115884922</v>
      </c>
      <c r="E425" s="783" t="n"/>
      <c r="F425" s="1220" t="n">
        <v>0.5</v>
      </c>
      <c r="G425" s="32" t="n">
        <v>10</v>
      </c>
      <c r="H425" s="1220" t="n">
        <v>5</v>
      </c>
      <c r="I425" s="1220" t="n">
        <v>5.21</v>
      </c>
      <c r="J425" s="32" t="n">
        <v>132</v>
      </c>
      <c r="K425" s="32" t="inlineStr">
        <is>
          <t>12</t>
        </is>
      </c>
      <c r="L425" s="32" t="n"/>
      <c r="M425" s="33" t="inlineStr">
        <is>
          <t>СК2</t>
        </is>
      </c>
      <c r="N425" s="33" t="n"/>
      <c r="O425" s="32" t="n">
        <v>60</v>
      </c>
      <c r="P425" s="1033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/>
      </c>
      <c r="Q425" s="785" t="n"/>
      <c r="R425" s="785" t="n"/>
      <c r="S425" s="785" t="n"/>
      <c r="T425" s="786" t="n"/>
      <c r="U425" s="34" t="n"/>
      <c r="V425" s="34" t="n"/>
      <c r="W425" s="35" t="inlineStr">
        <is>
          <t>кг</t>
        </is>
      </c>
      <c r="X425" s="1221" t="n">
        <v>0</v>
      </c>
      <c r="Y425" s="1222">
        <f>IFERROR(IF(X425="",0,CEILING((X425/$H425),1)*$H425),"")</f>
        <v/>
      </c>
      <c r="Z425" s="36">
        <f>IFERROR(IF(Y425=0,"",ROUNDUP(Y425/H425,0)*0.00902),"")</f>
        <v/>
      </c>
      <c r="AA425" s="56" t="n"/>
      <c r="AB425" s="57" t="n"/>
      <c r="AC425" s="505" t="inlineStr">
        <is>
          <t>ЕАЭС N RU Д-RU.РА02.В.61635/24, ЕАЭС N RU Д-RU.РА09.В.95694/24</t>
        </is>
      </c>
      <c r="AG425" s="64" t="n"/>
      <c r="AJ425" s="68" t="n"/>
      <c r="AK425" s="68" t="n">
        <v>0</v>
      </c>
      <c r="BB425" s="506" t="inlineStr">
        <is>
          <t>КИ</t>
        </is>
      </c>
      <c r="BM425" s="64">
        <f>IFERROR(X425*I425/H425,"0")</f>
        <v/>
      </c>
      <c r="BN425" s="64">
        <f>IFERROR(Y425*I425/H425,"0")</f>
        <v/>
      </c>
      <c r="BO425" s="64">
        <f>IFERROR(1/J425*(X425/H425),"0")</f>
        <v/>
      </c>
      <c r="BP425" s="64">
        <f>IFERROR(1/J425*(Y425/H425),"0")</f>
        <v/>
      </c>
    </row>
    <row r="426" ht="27" customHeight="1">
      <c r="A426" s="54" t="inlineStr">
        <is>
          <t>SU003419</t>
        </is>
      </c>
      <c r="B426" s="54" t="inlineStr">
        <is>
          <t>P004251</t>
        </is>
      </c>
      <c r="C426" s="31" t="n">
        <v>4301011866</v>
      </c>
      <c r="D426" s="782" t="n">
        <v>4680115884878</v>
      </c>
      <c r="E426" s="783" t="n"/>
      <c r="F426" s="1220" t="n">
        <v>0.5</v>
      </c>
      <c r="G426" s="32" t="n">
        <v>10</v>
      </c>
      <c r="H426" s="1220" t="n">
        <v>5</v>
      </c>
      <c r="I426" s="1220" t="n">
        <v>5.21</v>
      </c>
      <c r="J426" s="32" t="n">
        <v>132</v>
      </c>
      <c r="K426" s="32" t="inlineStr">
        <is>
          <t>12</t>
        </is>
      </c>
      <c r="L426" s="32" t="n"/>
      <c r="M426" s="33" t="inlineStr">
        <is>
          <t>СК2</t>
        </is>
      </c>
      <c r="N426" s="33" t="n"/>
      <c r="O426" s="32" t="n">
        <v>60</v>
      </c>
      <c r="P426" s="1122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/>
      </c>
      <c r="Q426" s="785" t="n"/>
      <c r="R426" s="785" t="n"/>
      <c r="S426" s="785" t="n"/>
      <c r="T426" s="786" t="n"/>
      <c r="U426" s="34" t="n"/>
      <c r="V426" s="34" t="n"/>
      <c r="W426" s="35" t="inlineStr">
        <is>
          <t>кг</t>
        </is>
      </c>
      <c r="X426" s="1221" t="n">
        <v>0</v>
      </c>
      <c r="Y426" s="1222">
        <f>IFERROR(IF(X426="",0,CEILING((X426/$H426),1)*$H426),"")</f>
        <v/>
      </c>
      <c r="Z426" s="36">
        <f>IFERROR(IF(Y426=0,"",ROUNDUP(Y426/H426,0)*0.00902),"")</f>
        <v/>
      </c>
      <c r="AA426" s="56" t="n"/>
      <c r="AB426" s="57" t="n"/>
      <c r="AC426" s="507" t="inlineStr">
        <is>
          <t>ЕАЭС N RU Д-RU.РА03.В.88061/22</t>
        </is>
      </c>
      <c r="AG426" s="64" t="n"/>
      <c r="AJ426" s="68" t="n"/>
      <c r="AK426" s="68" t="n">
        <v>0</v>
      </c>
      <c r="BB426" s="508" t="inlineStr">
        <is>
          <t>КИ</t>
        </is>
      </c>
      <c r="BM426" s="64">
        <f>IFERROR(X426*I426/H426,"0")</f>
        <v/>
      </c>
      <c r="BN426" s="64">
        <f>IFERROR(Y426*I426/H426,"0")</f>
        <v/>
      </c>
      <c r="BO426" s="64">
        <f>IFERROR(1/J426*(X426/H426),"0")</f>
        <v/>
      </c>
      <c r="BP426" s="64">
        <f>IFERROR(1/J426*(Y426/H426),"0")</f>
        <v/>
      </c>
    </row>
    <row r="427" ht="27" customHeight="1">
      <c r="A427" s="54" t="inlineStr">
        <is>
          <t>SU003421</t>
        </is>
      </c>
      <c r="B427" s="54" t="inlineStr">
        <is>
          <t>P004253</t>
        </is>
      </c>
      <c r="C427" s="31" t="n">
        <v>4301011868</v>
      </c>
      <c r="D427" s="782" t="n">
        <v>4680115884861</v>
      </c>
      <c r="E427" s="783" t="n"/>
      <c r="F427" s="1220" t="n">
        <v>0.5</v>
      </c>
      <c r="G427" s="32" t="n">
        <v>10</v>
      </c>
      <c r="H427" s="1220" t="n">
        <v>5</v>
      </c>
      <c r="I427" s="1220" t="n">
        <v>5.21</v>
      </c>
      <c r="J427" s="32" t="n">
        <v>132</v>
      </c>
      <c r="K427" s="32" t="inlineStr">
        <is>
          <t>12</t>
        </is>
      </c>
      <c r="L427" s="32" t="n"/>
      <c r="M427" s="33" t="inlineStr">
        <is>
          <t>СК2</t>
        </is>
      </c>
      <c r="N427" s="33" t="n"/>
      <c r="O427" s="32" t="n">
        <v>60</v>
      </c>
      <c r="P427" s="1059">
        <f>HYPERLINK("https://abi.ru/products/Охлажденные/Особый рецепт/Особая/Вареные колбасы/P004253/","Вареные колбасы «Филейная» ф/в 0,5 п/а ТМ «Особый рецепт»")</f>
        <v/>
      </c>
      <c r="Q427" s="785" t="n"/>
      <c r="R427" s="785" t="n"/>
      <c r="S427" s="785" t="n"/>
      <c r="T427" s="786" t="n"/>
      <c r="U427" s="34" t="n"/>
      <c r="V427" s="34" t="n"/>
      <c r="W427" s="35" t="inlineStr">
        <is>
          <t>кг</t>
        </is>
      </c>
      <c r="X427" s="1221" t="n">
        <v>0</v>
      </c>
      <c r="Y427" s="1222">
        <f>IFERROR(IF(X427="",0,CEILING((X427/$H427),1)*$H427),"")</f>
        <v/>
      </c>
      <c r="Z427" s="36">
        <f>IFERROR(IF(Y427=0,"",ROUNDUP(Y427/H427,0)*0.00902),"")</f>
        <v/>
      </c>
      <c r="AA427" s="56" t="n"/>
      <c r="AB427" s="57" t="n"/>
      <c r="AC427" s="509" t="inlineStr">
        <is>
          <t>ЕАЭС N RU Д-RU.РА02.В.61660/24, ЕАЭС N RU Д-RU.РА10.В.85286/23</t>
        </is>
      </c>
      <c r="AG427" s="64" t="n"/>
      <c r="AJ427" s="68" t="n"/>
      <c r="AK427" s="68" t="n">
        <v>0</v>
      </c>
      <c r="BB427" s="510" t="inlineStr">
        <is>
          <t>КИ</t>
        </is>
      </c>
      <c r="BM427" s="64">
        <f>IFERROR(X427*I427/H427,"0")</f>
        <v/>
      </c>
      <c r="BN427" s="64">
        <f>IFERROR(Y427*I427/H427,"0")</f>
        <v/>
      </c>
      <c r="BO427" s="64">
        <f>IFERROR(1/J427*(X427/H427),"0")</f>
        <v/>
      </c>
      <c r="BP427" s="64">
        <f>IFERROR(1/J427*(Y427/H427),"0")</f>
        <v/>
      </c>
    </row>
    <row r="428">
      <c r="A428" s="801" t="n"/>
      <c r="B428" s="800" t="n"/>
      <c r="C428" s="800" t="n"/>
      <c r="D428" s="800" t="n"/>
      <c r="E428" s="800" t="n"/>
      <c r="F428" s="800" t="n"/>
      <c r="G428" s="800" t="n"/>
      <c r="H428" s="800" t="n"/>
      <c r="I428" s="800" t="n"/>
      <c r="J428" s="800" t="n"/>
      <c r="K428" s="800" t="n"/>
      <c r="L428" s="800" t="n"/>
      <c r="M428" s="800" t="n"/>
      <c r="N428" s="800" t="n"/>
      <c r="O428" s="802" t="n"/>
      <c r="P428" s="796" t="inlineStr">
        <is>
          <t>Итого</t>
        </is>
      </c>
      <c r="Q428" s="793" t="n"/>
      <c r="R428" s="793" t="n"/>
      <c r="S428" s="793" t="n"/>
      <c r="T428" s="793" t="n"/>
      <c r="U428" s="793" t="n"/>
      <c r="V428" s="794" t="n"/>
      <c r="W428" s="37" t="inlineStr">
        <is>
          <t>кор</t>
        </is>
      </c>
      <c r="X428" s="1223">
        <f>IFERROR(X417/H417,"0")+IFERROR(X418/H418,"0")+IFERROR(X419/H419,"0")+IFERROR(X420/H420,"0")+IFERROR(X421/H421,"0")+IFERROR(X422/H422,"0")+IFERROR(X423/H423,"0")+IFERROR(X424/H424,"0")+IFERROR(X425/H425,"0")+IFERROR(X426/H426,"0")+IFERROR(X427/H427,"0")</f>
        <v/>
      </c>
      <c r="Y428" s="1223">
        <f>IFERROR(Y417/H417,"0")+IFERROR(Y418/H418,"0")+IFERROR(Y419/H419,"0")+IFERROR(Y420/H420,"0")+IFERROR(Y421/H421,"0")+IFERROR(Y422/H422,"0")+IFERROR(Y423/H423,"0")+IFERROR(Y424/H424,"0")+IFERROR(Y425/H425,"0")+IFERROR(Y426/H426,"0")+IFERROR(Y427/H427,"0")</f>
        <v/>
      </c>
      <c r="Z428" s="1223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</f>
        <v/>
      </c>
      <c r="AA428" s="1224" t="n"/>
      <c r="AB428" s="1224" t="n"/>
      <c r="AC428" s="1224" t="n"/>
    </row>
    <row r="429">
      <c r="A429" s="800" t="n"/>
      <c r="B429" s="800" t="n"/>
      <c r="C429" s="800" t="n"/>
      <c r="D429" s="800" t="n"/>
      <c r="E429" s="800" t="n"/>
      <c r="F429" s="800" t="n"/>
      <c r="G429" s="800" t="n"/>
      <c r="H429" s="800" t="n"/>
      <c r="I429" s="800" t="n"/>
      <c r="J429" s="800" t="n"/>
      <c r="K429" s="800" t="n"/>
      <c r="L429" s="800" t="n"/>
      <c r="M429" s="800" t="n"/>
      <c r="N429" s="800" t="n"/>
      <c r="O429" s="802" t="n"/>
      <c r="P429" s="796" t="inlineStr">
        <is>
          <t>Итого</t>
        </is>
      </c>
      <c r="Q429" s="793" t="n"/>
      <c r="R429" s="793" t="n"/>
      <c r="S429" s="793" t="n"/>
      <c r="T429" s="793" t="n"/>
      <c r="U429" s="793" t="n"/>
      <c r="V429" s="794" t="n"/>
      <c r="W429" s="37" t="inlineStr">
        <is>
          <t>кг</t>
        </is>
      </c>
      <c r="X429" s="1223">
        <f>IFERROR(SUM(X417:X427),"0")</f>
        <v/>
      </c>
      <c r="Y429" s="1223">
        <f>IFERROR(SUM(Y417:Y427),"0")</f>
        <v/>
      </c>
      <c r="Z429" s="37" t="n"/>
      <c r="AA429" s="1224" t="n"/>
      <c r="AB429" s="1224" t="n"/>
      <c r="AC429" s="1224" t="n"/>
    </row>
    <row r="430" ht="14.25" customHeight="1">
      <c r="A430" s="799" t="inlineStr">
        <is>
          <t>Ветчины</t>
        </is>
      </c>
      <c r="B430" s="800" t="n"/>
      <c r="C430" s="800" t="n"/>
      <c r="D430" s="800" t="n"/>
      <c r="E430" s="800" t="n"/>
      <c r="F430" s="800" t="n"/>
      <c r="G430" s="800" t="n"/>
      <c r="H430" s="800" t="n"/>
      <c r="I430" s="800" t="n"/>
      <c r="J430" s="800" t="n"/>
      <c r="K430" s="800" t="n"/>
      <c r="L430" s="800" t="n"/>
      <c r="M430" s="800" t="n"/>
      <c r="N430" s="800" t="n"/>
      <c r="O430" s="800" t="n"/>
      <c r="P430" s="800" t="n"/>
      <c r="Q430" s="800" t="n"/>
      <c r="R430" s="800" t="n"/>
      <c r="S430" s="800" t="n"/>
      <c r="T430" s="800" t="n"/>
      <c r="U430" s="800" t="n"/>
      <c r="V430" s="800" t="n"/>
      <c r="W430" s="800" t="n"/>
      <c r="X430" s="800" t="n"/>
      <c r="Y430" s="800" t="n"/>
      <c r="Z430" s="800" t="n"/>
      <c r="AA430" s="799" t="n"/>
      <c r="AB430" s="799" t="n"/>
      <c r="AC430" s="799" t="n"/>
    </row>
    <row r="431" ht="27" customHeight="1">
      <c r="A431" s="54" t="inlineStr">
        <is>
          <t>SU000126</t>
        </is>
      </c>
      <c r="B431" s="54" t="inlineStr">
        <is>
          <t>P002555</t>
        </is>
      </c>
      <c r="C431" s="31" t="n">
        <v>4301020178</v>
      </c>
      <c r="D431" s="782" t="n">
        <v>4607091383980</v>
      </c>
      <c r="E431" s="783" t="n"/>
      <c r="F431" s="1220" t="n">
        <v>2.5</v>
      </c>
      <c r="G431" s="32" t="n">
        <v>6</v>
      </c>
      <c r="H431" s="1220" t="n">
        <v>15</v>
      </c>
      <c r="I431" s="1220" t="n">
        <v>15.48</v>
      </c>
      <c r="J431" s="32" t="n">
        <v>48</v>
      </c>
      <c r="K431" s="32" t="inlineStr">
        <is>
          <t>8</t>
        </is>
      </c>
      <c r="L431" s="32" t="inlineStr">
        <is>
          <t>Палетта, мин. 1</t>
        </is>
      </c>
      <c r="M431" s="33" t="inlineStr">
        <is>
          <t>СК1</t>
        </is>
      </c>
      <c r="N431" s="33" t="n"/>
      <c r="O431" s="32" t="n">
        <v>50</v>
      </c>
      <c r="P431" s="1081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Q431" s="785" t="n"/>
      <c r="R431" s="785" t="n"/>
      <c r="S431" s="785" t="n"/>
      <c r="T431" s="786" t="n"/>
      <c r="U431" s="34" t="n"/>
      <c r="V431" s="34" t="n"/>
      <c r="W431" s="35" t="inlineStr">
        <is>
          <t>кг</t>
        </is>
      </c>
      <c r="X431" s="1221" t="n">
        <v>720</v>
      </c>
      <c r="Y431" s="1222">
        <f>IFERROR(IF(X431="",0,CEILING((X431/$H431),1)*$H431),"")</f>
        <v/>
      </c>
      <c r="Z431" s="36">
        <f>IFERROR(IF(Y431=0,"",ROUNDUP(Y431/H431,0)*0.02175),"")</f>
        <v/>
      </c>
      <c r="AA431" s="56" t="n"/>
      <c r="AB431" s="57" t="n"/>
      <c r="AC431" s="511" t="inlineStr">
        <is>
          <t>ЕАЭС № RU Д- RU.АБ75.В.01032/20</t>
        </is>
      </c>
      <c r="AG431" s="64" t="n"/>
      <c r="AJ431" s="68" t="inlineStr">
        <is>
          <t>Палетта</t>
        </is>
      </c>
      <c r="AK431" s="68" t="n">
        <v>720</v>
      </c>
      <c r="BB431" s="512" t="inlineStr">
        <is>
          <t>КИ</t>
        </is>
      </c>
      <c r="BM431" s="64">
        <f>IFERROR(X431*I431/H431,"0")</f>
        <v/>
      </c>
      <c r="BN431" s="64">
        <f>IFERROR(Y431*I431/H431,"0")</f>
        <v/>
      </c>
      <c r="BO431" s="64">
        <f>IFERROR(1/J431*(X431/H431),"0")</f>
        <v/>
      </c>
      <c r="BP431" s="64">
        <f>IFERROR(1/J431*(Y431/H431),"0")</f>
        <v/>
      </c>
    </row>
    <row r="432" ht="27" customHeight="1">
      <c r="A432" s="54" t="inlineStr">
        <is>
          <t>SU002027</t>
        </is>
      </c>
      <c r="B432" s="54" t="inlineStr">
        <is>
          <t>P002556</t>
        </is>
      </c>
      <c r="C432" s="31" t="n">
        <v>4301020179</v>
      </c>
      <c r="D432" s="782" t="n">
        <v>4607091384178</v>
      </c>
      <c r="E432" s="783" t="n"/>
      <c r="F432" s="1220" t="n">
        <v>0.4</v>
      </c>
      <c r="G432" s="32" t="n">
        <v>10</v>
      </c>
      <c r="H432" s="1220" t="n">
        <v>4</v>
      </c>
      <c r="I432" s="1220" t="n">
        <v>4.21</v>
      </c>
      <c r="J432" s="32" t="n">
        <v>132</v>
      </c>
      <c r="K432" s="32" t="inlineStr">
        <is>
          <t>12</t>
        </is>
      </c>
      <c r="L432" s="32" t="n"/>
      <c r="M432" s="33" t="inlineStr">
        <is>
          <t>СК1</t>
        </is>
      </c>
      <c r="N432" s="33" t="n"/>
      <c r="O432" s="32" t="n">
        <v>50</v>
      </c>
      <c r="P432" s="1197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Q432" s="785" t="n"/>
      <c r="R432" s="785" t="n"/>
      <c r="S432" s="785" t="n"/>
      <c r="T432" s="786" t="n"/>
      <c r="U432" s="34" t="n"/>
      <c r="V432" s="34" t="n"/>
      <c r="W432" s="35" t="inlineStr">
        <is>
          <t>кг</t>
        </is>
      </c>
      <c r="X432" s="1221" t="n">
        <v>0</v>
      </c>
      <c r="Y432" s="1222">
        <f>IFERROR(IF(X432="",0,CEILING((X432/$H432),1)*$H432),"")</f>
        <v/>
      </c>
      <c r="Z432" s="36">
        <f>IFERROR(IF(Y432=0,"",ROUNDUP(Y432/H432,0)*0.00902),"")</f>
        <v/>
      </c>
      <c r="AA432" s="56" t="n"/>
      <c r="AB432" s="57" t="n"/>
      <c r="AC432" s="513" t="inlineStr">
        <is>
          <t>ЕАЭС № RU Д- RU.АБ75.В.01032/20</t>
        </is>
      </c>
      <c r="AG432" s="64" t="n"/>
      <c r="AJ432" s="68" t="n"/>
      <c r="AK432" s="68" t="n">
        <v>0</v>
      </c>
      <c r="BB432" s="514" t="inlineStr">
        <is>
          <t>КИ</t>
        </is>
      </c>
      <c r="BM432" s="64">
        <f>IFERROR(X432*I432/H432,"0")</f>
        <v/>
      </c>
      <c r="BN432" s="64">
        <f>IFERROR(Y432*I432/H432,"0")</f>
        <v/>
      </c>
      <c r="BO432" s="64">
        <f>IFERROR(1/J432*(X432/H432),"0")</f>
        <v/>
      </c>
      <c r="BP432" s="64">
        <f>IFERROR(1/J432*(Y432/H432),"0")</f>
        <v/>
      </c>
    </row>
    <row r="433">
      <c r="A433" s="801" t="n"/>
      <c r="B433" s="800" t="n"/>
      <c r="C433" s="800" t="n"/>
      <c r="D433" s="800" t="n"/>
      <c r="E433" s="800" t="n"/>
      <c r="F433" s="800" t="n"/>
      <c r="G433" s="800" t="n"/>
      <c r="H433" s="800" t="n"/>
      <c r="I433" s="800" t="n"/>
      <c r="J433" s="800" t="n"/>
      <c r="K433" s="800" t="n"/>
      <c r="L433" s="800" t="n"/>
      <c r="M433" s="800" t="n"/>
      <c r="N433" s="800" t="n"/>
      <c r="O433" s="802" t="n"/>
      <c r="P433" s="796" t="inlineStr">
        <is>
          <t>Итого</t>
        </is>
      </c>
      <c r="Q433" s="793" t="n"/>
      <c r="R433" s="793" t="n"/>
      <c r="S433" s="793" t="n"/>
      <c r="T433" s="793" t="n"/>
      <c r="U433" s="793" t="n"/>
      <c r="V433" s="794" t="n"/>
      <c r="W433" s="37" t="inlineStr">
        <is>
          <t>кор</t>
        </is>
      </c>
      <c r="X433" s="1223">
        <f>IFERROR(X431/H431,"0")+IFERROR(X432/H432,"0")</f>
        <v/>
      </c>
      <c r="Y433" s="1223">
        <f>IFERROR(Y431/H431,"0")+IFERROR(Y432/H432,"0")</f>
        <v/>
      </c>
      <c r="Z433" s="1223">
        <f>IFERROR(IF(Z431="",0,Z431),"0")+IFERROR(IF(Z432="",0,Z432),"0")</f>
        <v/>
      </c>
      <c r="AA433" s="1224" t="n"/>
      <c r="AB433" s="1224" t="n"/>
      <c r="AC433" s="1224" t="n"/>
    </row>
    <row r="434">
      <c r="A434" s="800" t="n"/>
      <c r="B434" s="800" t="n"/>
      <c r="C434" s="800" t="n"/>
      <c r="D434" s="800" t="n"/>
      <c r="E434" s="800" t="n"/>
      <c r="F434" s="800" t="n"/>
      <c r="G434" s="800" t="n"/>
      <c r="H434" s="800" t="n"/>
      <c r="I434" s="800" t="n"/>
      <c r="J434" s="800" t="n"/>
      <c r="K434" s="800" t="n"/>
      <c r="L434" s="800" t="n"/>
      <c r="M434" s="800" t="n"/>
      <c r="N434" s="800" t="n"/>
      <c r="O434" s="802" t="n"/>
      <c r="P434" s="796" t="inlineStr">
        <is>
          <t>Итого</t>
        </is>
      </c>
      <c r="Q434" s="793" t="n"/>
      <c r="R434" s="793" t="n"/>
      <c r="S434" s="793" t="n"/>
      <c r="T434" s="793" t="n"/>
      <c r="U434" s="793" t="n"/>
      <c r="V434" s="794" t="n"/>
      <c r="W434" s="37" t="inlineStr">
        <is>
          <t>кг</t>
        </is>
      </c>
      <c r="X434" s="1223">
        <f>IFERROR(SUM(X431:X432),"0")</f>
        <v/>
      </c>
      <c r="Y434" s="1223">
        <f>IFERROR(SUM(Y431:Y432),"0")</f>
        <v/>
      </c>
      <c r="Z434" s="37" t="n"/>
      <c r="AA434" s="1224" t="n"/>
      <c r="AB434" s="1224" t="n"/>
      <c r="AC434" s="1224" t="n"/>
    </row>
    <row r="435" ht="14.25" customHeight="1">
      <c r="A435" s="799" t="inlineStr">
        <is>
          <t>Сосиски</t>
        </is>
      </c>
      <c r="B435" s="800" t="n"/>
      <c r="C435" s="800" t="n"/>
      <c r="D435" s="800" t="n"/>
      <c r="E435" s="800" t="n"/>
      <c r="F435" s="800" t="n"/>
      <c r="G435" s="800" t="n"/>
      <c r="H435" s="800" t="n"/>
      <c r="I435" s="800" t="n"/>
      <c r="J435" s="800" t="n"/>
      <c r="K435" s="800" t="n"/>
      <c r="L435" s="800" t="n"/>
      <c r="M435" s="800" t="n"/>
      <c r="N435" s="800" t="n"/>
      <c r="O435" s="800" t="n"/>
      <c r="P435" s="800" t="n"/>
      <c r="Q435" s="800" t="n"/>
      <c r="R435" s="800" t="n"/>
      <c r="S435" s="800" t="n"/>
      <c r="T435" s="800" t="n"/>
      <c r="U435" s="800" t="n"/>
      <c r="V435" s="800" t="n"/>
      <c r="W435" s="800" t="n"/>
      <c r="X435" s="800" t="n"/>
      <c r="Y435" s="800" t="n"/>
      <c r="Z435" s="800" t="n"/>
      <c r="AA435" s="799" t="n"/>
      <c r="AB435" s="799" t="n"/>
      <c r="AC435" s="799" t="n"/>
    </row>
    <row r="436" ht="27" customHeight="1">
      <c r="A436" s="54" t="inlineStr">
        <is>
          <t>SU003161</t>
        </is>
      </c>
      <c r="B436" s="54" t="inlineStr">
        <is>
          <t>P004847</t>
        </is>
      </c>
      <c r="C436" s="31" t="n">
        <v>4301051903</v>
      </c>
      <c r="D436" s="782" t="n">
        <v>4607091383928</v>
      </c>
      <c r="E436" s="783" t="n"/>
      <c r="F436" s="1220" t="n">
        <v>1.5</v>
      </c>
      <c r="G436" s="32" t="n">
        <v>6</v>
      </c>
      <c r="H436" s="1220" t="n">
        <v>9</v>
      </c>
      <c r="I436" s="1220" t="n">
        <v>9.57</v>
      </c>
      <c r="J436" s="32" t="n">
        <v>56</v>
      </c>
      <c r="K436" s="32" t="inlineStr">
        <is>
          <t>8</t>
        </is>
      </c>
      <c r="L436" s="32" t="n"/>
      <c r="M436" s="33" t="inlineStr">
        <is>
          <t>СК3</t>
        </is>
      </c>
      <c r="N436" s="33" t="n"/>
      <c r="O436" s="32" t="n">
        <v>40</v>
      </c>
      <c r="P436" s="851" t="inlineStr">
        <is>
          <t>Сосиски «Датские» Весовой п/а ТМ «Особый рецепт»</t>
        </is>
      </c>
      <c r="Q436" s="785" t="n"/>
      <c r="R436" s="785" t="n"/>
      <c r="S436" s="785" t="n"/>
      <c r="T436" s="786" t="n"/>
      <c r="U436" s="34" t="n"/>
      <c r="V436" s="34" t="n"/>
      <c r="W436" s="35" t="inlineStr">
        <is>
          <t>кг</t>
        </is>
      </c>
      <c r="X436" s="1221" t="n">
        <v>0</v>
      </c>
      <c r="Y436" s="1222">
        <f>IFERROR(IF(X436="",0,CEILING((X436/$H436),1)*$H436),"")</f>
        <v/>
      </c>
      <c r="Z436" s="36">
        <f>IFERROR(IF(Y436=0,"",ROUNDUP(Y436/H436,0)*0.02175),"")</f>
        <v/>
      </c>
      <c r="AA436" s="56" t="n"/>
      <c r="AB436" s="57" t="n"/>
      <c r="AC436" s="515" t="inlineStr">
        <is>
          <t>ЕАЭС N RU Д-RU.РА01.В.87343/24, ЕАЭС N RU Д-RU.РА01.В.87437/24</t>
        </is>
      </c>
      <c r="AG436" s="64" t="n"/>
      <c r="AJ436" s="68" t="n"/>
      <c r="AK436" s="68" t="n">
        <v>0</v>
      </c>
      <c r="BB436" s="516" t="inlineStr">
        <is>
          <t>КИ</t>
        </is>
      </c>
      <c r="BM436" s="64">
        <f>IFERROR(X436*I436/H436,"0")</f>
        <v/>
      </c>
      <c r="BN436" s="64">
        <f>IFERROR(Y436*I436/H436,"0")</f>
        <v/>
      </c>
      <c r="BO436" s="64">
        <f>IFERROR(1/J436*(X436/H436),"0")</f>
        <v/>
      </c>
      <c r="BP436" s="64">
        <f>IFERROR(1/J436*(Y436/H436),"0")</f>
        <v/>
      </c>
    </row>
    <row r="437" ht="27" customHeight="1">
      <c r="A437" s="54" t="inlineStr">
        <is>
          <t>SU000246</t>
        </is>
      </c>
      <c r="B437" s="54" t="inlineStr">
        <is>
          <t>P004843</t>
        </is>
      </c>
      <c r="C437" s="31" t="n">
        <v>4301051897</v>
      </c>
      <c r="D437" s="782" t="n">
        <v>4607091384260</v>
      </c>
      <c r="E437" s="783" t="n"/>
      <c r="F437" s="1220" t="n">
        <v>1.5</v>
      </c>
      <c r="G437" s="32" t="n">
        <v>6</v>
      </c>
      <c r="H437" s="1220" t="n">
        <v>9</v>
      </c>
      <c r="I437" s="1220" t="n">
        <v>9.564</v>
      </c>
      <c r="J437" s="32" t="n">
        <v>56</v>
      </c>
      <c r="K437" s="32" t="inlineStr">
        <is>
          <t>8</t>
        </is>
      </c>
      <c r="L437" s="32" t="n"/>
      <c r="M437" s="33" t="inlineStr">
        <is>
          <t>СК3</t>
        </is>
      </c>
      <c r="N437" s="33" t="n"/>
      <c r="O437" s="32" t="n">
        <v>40</v>
      </c>
      <c r="P437" s="1210" t="inlineStr">
        <is>
          <t>Сосиски «Молочные оригинальные» Весовой п/а ТМ «Особый рецепт»</t>
        </is>
      </c>
      <c r="Q437" s="785" t="n"/>
      <c r="R437" s="785" t="n"/>
      <c r="S437" s="785" t="n"/>
      <c r="T437" s="786" t="n"/>
      <c r="U437" s="34" t="n"/>
      <c r="V437" s="34" t="n"/>
      <c r="W437" s="35" t="inlineStr">
        <is>
          <t>кг</t>
        </is>
      </c>
      <c r="X437" s="1221" t="n">
        <v>0</v>
      </c>
      <c r="Y437" s="1222">
        <f>IFERROR(IF(X437="",0,CEILING((X437/$H437),1)*$H437),"")</f>
        <v/>
      </c>
      <c r="Z437" s="36">
        <f>IFERROR(IF(Y437=0,"",ROUNDUP(Y437/H437,0)*0.02175),"")</f>
        <v/>
      </c>
      <c r="AA437" s="56" t="n"/>
      <c r="AB437" s="57" t="n"/>
      <c r="AC437" s="517" t="inlineStr">
        <is>
          <t>ЕАЭС N RU Д-RU.РА03.В.23071/24, ЕАЭС N RU Д-RU.РА03.В.25758/24</t>
        </is>
      </c>
      <c r="AG437" s="64" t="n"/>
      <c r="AJ437" s="68" t="n"/>
      <c r="AK437" s="68" t="n">
        <v>0</v>
      </c>
      <c r="BB437" s="518" t="inlineStr">
        <is>
          <t>КИ</t>
        </is>
      </c>
      <c r="BM437" s="64">
        <f>IFERROR(X437*I437/H437,"0")</f>
        <v/>
      </c>
      <c r="BN437" s="64">
        <f>IFERROR(Y437*I437/H437,"0")</f>
        <v/>
      </c>
      <c r="BO437" s="64">
        <f>IFERROR(1/J437*(X437/H437),"0")</f>
        <v/>
      </c>
      <c r="BP437" s="64">
        <f>IFERROR(1/J437*(Y437/H437),"0")</f>
        <v/>
      </c>
    </row>
    <row r="438">
      <c r="A438" s="801" t="n"/>
      <c r="B438" s="800" t="n"/>
      <c r="C438" s="800" t="n"/>
      <c r="D438" s="800" t="n"/>
      <c r="E438" s="800" t="n"/>
      <c r="F438" s="800" t="n"/>
      <c r="G438" s="800" t="n"/>
      <c r="H438" s="800" t="n"/>
      <c r="I438" s="800" t="n"/>
      <c r="J438" s="800" t="n"/>
      <c r="K438" s="800" t="n"/>
      <c r="L438" s="800" t="n"/>
      <c r="M438" s="800" t="n"/>
      <c r="N438" s="800" t="n"/>
      <c r="O438" s="802" t="n"/>
      <c r="P438" s="796" t="inlineStr">
        <is>
          <t>Итого</t>
        </is>
      </c>
      <c r="Q438" s="793" t="n"/>
      <c r="R438" s="793" t="n"/>
      <c r="S438" s="793" t="n"/>
      <c r="T438" s="793" t="n"/>
      <c r="U438" s="793" t="n"/>
      <c r="V438" s="794" t="n"/>
      <c r="W438" s="37" t="inlineStr">
        <is>
          <t>кор</t>
        </is>
      </c>
      <c r="X438" s="1223">
        <f>IFERROR(X436/H436,"0")+IFERROR(X437/H437,"0")</f>
        <v/>
      </c>
      <c r="Y438" s="1223">
        <f>IFERROR(Y436/H436,"0")+IFERROR(Y437/H437,"0")</f>
        <v/>
      </c>
      <c r="Z438" s="1223">
        <f>IFERROR(IF(Z436="",0,Z436),"0")+IFERROR(IF(Z437="",0,Z437),"0")</f>
        <v/>
      </c>
      <c r="AA438" s="1224" t="n"/>
      <c r="AB438" s="1224" t="n"/>
      <c r="AC438" s="1224" t="n"/>
    </row>
    <row r="439">
      <c r="A439" s="800" t="n"/>
      <c r="B439" s="800" t="n"/>
      <c r="C439" s="800" t="n"/>
      <c r="D439" s="800" t="n"/>
      <c r="E439" s="800" t="n"/>
      <c r="F439" s="800" t="n"/>
      <c r="G439" s="800" t="n"/>
      <c r="H439" s="800" t="n"/>
      <c r="I439" s="800" t="n"/>
      <c r="J439" s="800" t="n"/>
      <c r="K439" s="800" t="n"/>
      <c r="L439" s="800" t="n"/>
      <c r="M439" s="800" t="n"/>
      <c r="N439" s="800" t="n"/>
      <c r="O439" s="802" t="n"/>
      <c r="P439" s="796" t="inlineStr">
        <is>
          <t>Итого</t>
        </is>
      </c>
      <c r="Q439" s="793" t="n"/>
      <c r="R439" s="793" t="n"/>
      <c r="S439" s="793" t="n"/>
      <c r="T439" s="793" t="n"/>
      <c r="U439" s="793" t="n"/>
      <c r="V439" s="794" t="n"/>
      <c r="W439" s="37" t="inlineStr">
        <is>
          <t>кг</t>
        </is>
      </c>
      <c r="X439" s="1223">
        <f>IFERROR(SUM(X436:X437),"0")</f>
        <v/>
      </c>
      <c r="Y439" s="1223">
        <f>IFERROR(SUM(Y436:Y437),"0")</f>
        <v/>
      </c>
      <c r="Z439" s="37" t="n"/>
      <c r="AA439" s="1224" t="n"/>
      <c r="AB439" s="1224" t="n"/>
      <c r="AC439" s="1224" t="n"/>
    </row>
    <row r="440" ht="14.25" customHeight="1">
      <c r="A440" s="799" t="inlineStr">
        <is>
          <t>Сардельки</t>
        </is>
      </c>
      <c r="B440" s="800" t="n"/>
      <c r="C440" s="800" t="n"/>
      <c r="D440" s="800" t="n"/>
      <c r="E440" s="800" t="n"/>
      <c r="F440" s="800" t="n"/>
      <c r="G440" s="800" t="n"/>
      <c r="H440" s="800" t="n"/>
      <c r="I440" s="800" t="n"/>
      <c r="J440" s="800" t="n"/>
      <c r="K440" s="800" t="n"/>
      <c r="L440" s="800" t="n"/>
      <c r="M440" s="800" t="n"/>
      <c r="N440" s="800" t="n"/>
      <c r="O440" s="800" t="n"/>
      <c r="P440" s="800" t="n"/>
      <c r="Q440" s="800" t="n"/>
      <c r="R440" s="800" t="n"/>
      <c r="S440" s="800" t="n"/>
      <c r="T440" s="800" t="n"/>
      <c r="U440" s="800" t="n"/>
      <c r="V440" s="800" t="n"/>
      <c r="W440" s="800" t="n"/>
      <c r="X440" s="800" t="n"/>
      <c r="Y440" s="800" t="n"/>
      <c r="Z440" s="800" t="n"/>
      <c r="AA440" s="799" t="n"/>
      <c r="AB440" s="799" t="n"/>
      <c r="AC440" s="799" t="n"/>
    </row>
    <row r="441" ht="27" customHeight="1">
      <c r="A441" s="54" t="inlineStr">
        <is>
          <t>SU002287</t>
        </is>
      </c>
      <c r="B441" s="54" t="inlineStr">
        <is>
          <t>P004845</t>
        </is>
      </c>
      <c r="C441" s="31" t="n">
        <v>4301060439</v>
      </c>
      <c r="D441" s="782" t="n">
        <v>4607091384673</v>
      </c>
      <c r="E441" s="783" t="n"/>
      <c r="F441" s="1220" t="n">
        <v>1.5</v>
      </c>
      <c r="G441" s="32" t="n">
        <v>6</v>
      </c>
      <c r="H441" s="1220" t="n">
        <v>9</v>
      </c>
      <c r="I441" s="1220" t="n">
        <v>9.564</v>
      </c>
      <c r="J441" s="32" t="n">
        <v>56</v>
      </c>
      <c r="K441" s="32" t="inlineStr">
        <is>
          <t>8</t>
        </is>
      </c>
      <c r="L441" s="32" t="n"/>
      <c r="M441" s="33" t="inlineStr">
        <is>
          <t>СК3</t>
        </is>
      </c>
      <c r="N441" s="33" t="n"/>
      <c r="O441" s="32" t="n">
        <v>30</v>
      </c>
      <c r="P441" s="1000" t="inlineStr">
        <is>
          <t>Сардельки «Сочные» Весовой п/а ТМ «Особый рецепт»</t>
        </is>
      </c>
      <c r="Q441" s="785" t="n"/>
      <c r="R441" s="785" t="n"/>
      <c r="S441" s="785" t="n"/>
      <c r="T441" s="786" t="n"/>
      <c r="U441" s="34" t="n"/>
      <c r="V441" s="34" t="n"/>
      <c r="W441" s="35" t="inlineStr">
        <is>
          <t>кг</t>
        </is>
      </c>
      <c r="X441" s="1221" t="n">
        <v>0</v>
      </c>
      <c r="Y441" s="1222">
        <f>IFERROR(IF(X441="",0,CEILING((X441/$H441),1)*$H441),"")</f>
        <v/>
      </c>
      <c r="Z441" s="36">
        <f>IFERROR(IF(Y441=0,"",ROUNDUP(Y441/H441,0)*0.02175),"")</f>
        <v/>
      </c>
      <c r="AA441" s="56" t="n"/>
      <c r="AB441" s="57" t="n"/>
      <c r="AC441" s="519" t="inlineStr">
        <is>
          <t>ЕАЭС N RU Д-RU.РА01.В.87692/24, ЕАЭС N RU Д-RU.РА01.В.87698/24</t>
        </is>
      </c>
      <c r="AG441" s="64" t="n"/>
      <c r="AJ441" s="68" t="n"/>
      <c r="AK441" s="68" t="n">
        <v>0</v>
      </c>
      <c r="BB441" s="520" t="inlineStr">
        <is>
          <t>КИ</t>
        </is>
      </c>
      <c r="BM441" s="64">
        <f>IFERROR(X441*I441/H441,"0")</f>
        <v/>
      </c>
      <c r="BN441" s="64">
        <f>IFERROR(Y441*I441/H441,"0")</f>
        <v/>
      </c>
      <c r="BO441" s="64">
        <f>IFERROR(1/J441*(X441/H441),"0")</f>
        <v/>
      </c>
      <c r="BP441" s="64">
        <f>IFERROR(1/J441*(Y441/H441),"0")</f>
        <v/>
      </c>
    </row>
    <row r="442">
      <c r="A442" s="801" t="n"/>
      <c r="B442" s="800" t="n"/>
      <c r="C442" s="800" t="n"/>
      <c r="D442" s="800" t="n"/>
      <c r="E442" s="800" t="n"/>
      <c r="F442" s="800" t="n"/>
      <c r="G442" s="800" t="n"/>
      <c r="H442" s="800" t="n"/>
      <c r="I442" s="800" t="n"/>
      <c r="J442" s="800" t="n"/>
      <c r="K442" s="800" t="n"/>
      <c r="L442" s="800" t="n"/>
      <c r="M442" s="800" t="n"/>
      <c r="N442" s="800" t="n"/>
      <c r="O442" s="802" t="n"/>
      <c r="P442" s="796" t="inlineStr">
        <is>
          <t>Итого</t>
        </is>
      </c>
      <c r="Q442" s="793" t="n"/>
      <c r="R442" s="793" t="n"/>
      <c r="S442" s="793" t="n"/>
      <c r="T442" s="793" t="n"/>
      <c r="U442" s="793" t="n"/>
      <c r="V442" s="794" t="n"/>
      <c r="W442" s="37" t="inlineStr">
        <is>
          <t>кор</t>
        </is>
      </c>
      <c r="X442" s="1223">
        <f>IFERROR(X441/H441,"0")</f>
        <v/>
      </c>
      <c r="Y442" s="1223">
        <f>IFERROR(Y441/H441,"0")</f>
        <v/>
      </c>
      <c r="Z442" s="1223">
        <f>IFERROR(IF(Z441="",0,Z441),"0")</f>
        <v/>
      </c>
      <c r="AA442" s="1224" t="n"/>
      <c r="AB442" s="1224" t="n"/>
      <c r="AC442" s="1224" t="n"/>
    </row>
    <row r="443">
      <c r="A443" s="800" t="n"/>
      <c r="B443" s="800" t="n"/>
      <c r="C443" s="800" t="n"/>
      <c r="D443" s="800" t="n"/>
      <c r="E443" s="800" t="n"/>
      <c r="F443" s="800" t="n"/>
      <c r="G443" s="800" t="n"/>
      <c r="H443" s="800" t="n"/>
      <c r="I443" s="800" t="n"/>
      <c r="J443" s="800" t="n"/>
      <c r="K443" s="800" t="n"/>
      <c r="L443" s="800" t="n"/>
      <c r="M443" s="800" t="n"/>
      <c r="N443" s="800" t="n"/>
      <c r="O443" s="802" t="n"/>
      <c r="P443" s="796" t="inlineStr">
        <is>
          <t>Итого</t>
        </is>
      </c>
      <c r="Q443" s="793" t="n"/>
      <c r="R443" s="793" t="n"/>
      <c r="S443" s="793" t="n"/>
      <c r="T443" s="793" t="n"/>
      <c r="U443" s="793" t="n"/>
      <c r="V443" s="794" t="n"/>
      <c r="W443" s="37" t="inlineStr">
        <is>
          <t>кг</t>
        </is>
      </c>
      <c r="X443" s="1223">
        <f>IFERROR(SUM(X441:X441),"0")</f>
        <v/>
      </c>
      <c r="Y443" s="1223">
        <f>IFERROR(SUM(Y441:Y441),"0")</f>
        <v/>
      </c>
      <c r="Z443" s="37" t="n"/>
      <c r="AA443" s="1224" t="n"/>
      <c r="AB443" s="1224" t="n"/>
      <c r="AC443" s="1224" t="n"/>
    </row>
    <row r="444" ht="16.5" customHeight="1">
      <c r="A444" s="807" t="inlineStr">
        <is>
          <t>Особая Без свинины</t>
        </is>
      </c>
      <c r="B444" s="800" t="n"/>
      <c r="C444" s="800" t="n"/>
      <c r="D444" s="800" t="n"/>
      <c r="E444" s="800" t="n"/>
      <c r="F444" s="800" t="n"/>
      <c r="G444" s="800" t="n"/>
      <c r="H444" s="800" t="n"/>
      <c r="I444" s="800" t="n"/>
      <c r="J444" s="800" t="n"/>
      <c r="K444" s="800" t="n"/>
      <c r="L444" s="800" t="n"/>
      <c r="M444" s="800" t="n"/>
      <c r="N444" s="800" t="n"/>
      <c r="O444" s="800" t="n"/>
      <c r="P444" s="800" t="n"/>
      <c r="Q444" s="800" t="n"/>
      <c r="R444" s="800" t="n"/>
      <c r="S444" s="800" t="n"/>
      <c r="T444" s="800" t="n"/>
      <c r="U444" s="800" t="n"/>
      <c r="V444" s="800" t="n"/>
      <c r="W444" s="800" t="n"/>
      <c r="X444" s="800" t="n"/>
      <c r="Y444" s="800" t="n"/>
      <c r="Z444" s="800" t="n"/>
      <c r="AA444" s="807" t="n"/>
      <c r="AB444" s="807" t="n"/>
      <c r="AC444" s="807" t="n"/>
    </row>
    <row r="445" ht="14.25" customHeight="1">
      <c r="A445" s="799" t="inlineStr">
        <is>
          <t>Вареные колбасы</t>
        </is>
      </c>
      <c r="B445" s="800" t="n"/>
      <c r="C445" s="800" t="n"/>
      <c r="D445" s="800" t="n"/>
      <c r="E445" s="800" t="n"/>
      <c r="F445" s="800" t="n"/>
      <c r="G445" s="800" t="n"/>
      <c r="H445" s="800" t="n"/>
      <c r="I445" s="800" t="n"/>
      <c r="J445" s="800" t="n"/>
      <c r="K445" s="800" t="n"/>
      <c r="L445" s="800" t="n"/>
      <c r="M445" s="800" t="n"/>
      <c r="N445" s="800" t="n"/>
      <c r="O445" s="800" t="n"/>
      <c r="P445" s="800" t="n"/>
      <c r="Q445" s="800" t="n"/>
      <c r="R445" s="800" t="n"/>
      <c r="S445" s="800" t="n"/>
      <c r="T445" s="800" t="n"/>
      <c r="U445" s="800" t="n"/>
      <c r="V445" s="800" t="n"/>
      <c r="W445" s="800" t="n"/>
      <c r="X445" s="800" t="n"/>
      <c r="Y445" s="800" t="n"/>
      <c r="Z445" s="800" t="n"/>
      <c r="AA445" s="799" t="n"/>
      <c r="AB445" s="799" t="n"/>
      <c r="AC445" s="799" t="n"/>
    </row>
    <row r="446" ht="27" customHeight="1">
      <c r="A446" s="54" t="inlineStr">
        <is>
          <t>SU002899</t>
        </is>
      </c>
      <c r="B446" s="54" t="inlineStr">
        <is>
          <t>P003323</t>
        </is>
      </c>
      <c r="C446" s="31" t="n">
        <v>4301011483</v>
      </c>
      <c r="D446" s="782" t="n">
        <v>4680115881907</v>
      </c>
      <c r="E446" s="783" t="n"/>
      <c r="F446" s="1220" t="n">
        <v>1.8</v>
      </c>
      <c r="G446" s="32" t="n">
        <v>6</v>
      </c>
      <c r="H446" s="1220" t="n">
        <v>10.8</v>
      </c>
      <c r="I446" s="1220" t="n">
        <v>11.28</v>
      </c>
      <c r="J446" s="32" t="n">
        <v>56</v>
      </c>
      <c r="K446" s="32" t="inlineStr">
        <is>
          <t>8</t>
        </is>
      </c>
      <c r="L446" s="32" t="n"/>
      <c r="M446" s="33" t="inlineStr">
        <is>
          <t>СК2</t>
        </is>
      </c>
      <c r="N446" s="33" t="n"/>
      <c r="O446" s="32" t="n">
        <v>60</v>
      </c>
      <c r="P446" s="1010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Q446" s="785" t="n"/>
      <c r="R446" s="785" t="n"/>
      <c r="S446" s="785" t="n"/>
      <c r="T446" s="786" t="n"/>
      <c r="U446" s="34" t="n"/>
      <c r="V446" s="34" t="n"/>
      <c r="W446" s="35" t="inlineStr">
        <is>
          <t>кг</t>
        </is>
      </c>
      <c r="X446" s="1221" t="n">
        <v>0</v>
      </c>
      <c r="Y446" s="1222">
        <f>IFERROR(IF(X446="",0,CEILING((X446/$H446),1)*$H446),"")</f>
        <v/>
      </c>
      <c r="Z446" s="36">
        <f>IFERROR(IF(Y446=0,"",ROUNDUP(Y446/H446,0)*0.02175),"")</f>
        <v/>
      </c>
      <c r="AA446" s="56" t="n"/>
      <c r="AB446" s="57" t="n"/>
      <c r="AC446" s="521" t="inlineStr">
        <is>
          <t>ЕАЭС N RU Д-RU.РА03.В.86680/22</t>
        </is>
      </c>
      <c r="AG446" s="64" t="n"/>
      <c r="AJ446" s="68" t="n"/>
      <c r="AK446" s="68" t="n">
        <v>0</v>
      </c>
      <c r="BB446" s="522" t="inlineStr">
        <is>
          <t>КИ</t>
        </is>
      </c>
      <c r="BM446" s="64">
        <f>IFERROR(X446*I446/H446,"0")</f>
        <v/>
      </c>
      <c r="BN446" s="64">
        <f>IFERROR(Y446*I446/H446,"0")</f>
        <v/>
      </c>
      <c r="BO446" s="64">
        <f>IFERROR(1/J446*(X446/H446),"0")</f>
        <v/>
      </c>
      <c r="BP446" s="64">
        <f>IFERROR(1/J446*(Y446/H446),"0")</f>
        <v/>
      </c>
    </row>
    <row r="447" ht="27" customHeight="1">
      <c r="A447" s="54" t="inlineStr">
        <is>
          <t>SU002899</t>
        </is>
      </c>
      <c r="B447" s="54" t="inlineStr">
        <is>
          <t>P004261</t>
        </is>
      </c>
      <c r="C447" s="31" t="n">
        <v>4301011873</v>
      </c>
      <c r="D447" s="782" t="n">
        <v>4680115881907</v>
      </c>
      <c r="E447" s="783" t="n"/>
      <c r="F447" s="1220" t="n">
        <v>1.8</v>
      </c>
      <c r="G447" s="32" t="n">
        <v>6</v>
      </c>
      <c r="H447" s="1220" t="n">
        <v>10.8</v>
      </c>
      <c r="I447" s="1220" t="n">
        <v>11.28</v>
      </c>
      <c r="J447" s="32" t="n">
        <v>56</v>
      </c>
      <c r="K447" s="32" t="inlineStr">
        <is>
          <t>8</t>
        </is>
      </c>
      <c r="L447" s="32" t="n"/>
      <c r="M447" s="33" t="inlineStr">
        <is>
          <t>СК2</t>
        </is>
      </c>
      <c r="N447" s="33" t="n"/>
      <c r="O447" s="32" t="n">
        <v>60</v>
      </c>
      <c r="P447" s="822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/>
      </c>
      <c r="Q447" s="785" t="n"/>
      <c r="R447" s="785" t="n"/>
      <c r="S447" s="785" t="n"/>
      <c r="T447" s="786" t="n"/>
      <c r="U447" s="34" t="n"/>
      <c r="V447" s="34" t="n"/>
      <c r="W447" s="35" t="inlineStr">
        <is>
          <t>кг</t>
        </is>
      </c>
      <c r="X447" s="1221" t="n">
        <v>0</v>
      </c>
      <c r="Y447" s="1222">
        <f>IFERROR(IF(X447="",0,CEILING((X447/$H447),1)*$H447),"")</f>
        <v/>
      </c>
      <c r="Z447" s="36">
        <f>IFERROR(IF(Y447=0,"",ROUNDUP(Y447/H447,0)*0.02175),"")</f>
        <v/>
      </c>
      <c r="AA447" s="56" t="n"/>
      <c r="AB447" s="57" t="n"/>
      <c r="AC447" s="523" t="inlineStr">
        <is>
          <t>ЕАЭС N RU Д-RU.РА01.В.47907/24, ЕАЭС N RU Д-RU.РА10.В.10927/24</t>
        </is>
      </c>
      <c r="AG447" s="64" t="n"/>
      <c r="AJ447" s="68" t="n"/>
      <c r="AK447" s="68" t="n">
        <v>0</v>
      </c>
      <c r="BB447" s="524" t="inlineStr">
        <is>
          <t>КИ</t>
        </is>
      </c>
      <c r="BM447" s="64">
        <f>IFERROR(X447*I447/H447,"0")</f>
        <v/>
      </c>
      <c r="BN447" s="64">
        <f>IFERROR(Y447*I447/H447,"0")</f>
        <v/>
      </c>
      <c r="BO447" s="64">
        <f>IFERROR(1/J447*(X447/H447),"0")</f>
        <v/>
      </c>
      <c r="BP447" s="64">
        <f>IFERROR(1/J447*(Y447/H447),"0")</f>
        <v/>
      </c>
    </row>
    <row r="448" ht="27" customHeight="1">
      <c r="A448" s="54" t="inlineStr">
        <is>
          <t>SU003226</t>
        </is>
      </c>
      <c r="B448" s="54" t="inlineStr">
        <is>
          <t>P003844</t>
        </is>
      </c>
      <c r="C448" s="31" t="n">
        <v>4301011655</v>
      </c>
      <c r="D448" s="782" t="n">
        <v>4680115883925</v>
      </c>
      <c r="E448" s="783" t="n"/>
      <c r="F448" s="1220" t="n">
        <v>2.5</v>
      </c>
      <c r="G448" s="32" t="n">
        <v>6</v>
      </c>
      <c r="H448" s="1220" t="n">
        <v>15</v>
      </c>
      <c r="I448" s="1220" t="n">
        <v>15.48</v>
      </c>
      <c r="J448" s="32" t="n">
        <v>48</v>
      </c>
      <c r="K448" s="32" t="inlineStr">
        <is>
          <t>8</t>
        </is>
      </c>
      <c r="L448" s="32" t="n"/>
      <c r="M448" s="33" t="inlineStr">
        <is>
          <t>СК2</t>
        </is>
      </c>
      <c r="N448" s="33" t="n"/>
      <c r="O448" s="32" t="n">
        <v>60</v>
      </c>
      <c r="P448" s="1018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/>
      </c>
      <c r="Q448" s="785" t="n"/>
      <c r="R448" s="785" t="n"/>
      <c r="S448" s="785" t="n"/>
      <c r="T448" s="786" t="n"/>
      <c r="U448" s="34" t="n"/>
      <c r="V448" s="34" t="n"/>
      <c r="W448" s="35" t="inlineStr">
        <is>
          <t>кг</t>
        </is>
      </c>
      <c r="X448" s="1221" t="n">
        <v>0</v>
      </c>
      <c r="Y448" s="1222">
        <f>IFERROR(IF(X448="",0,CEILING((X448/$H448),1)*$H448),"")</f>
        <v/>
      </c>
      <c r="Z448" s="36">
        <f>IFERROR(IF(Y448=0,"",ROUNDUP(Y448/H448,0)*0.02175),"")</f>
        <v/>
      </c>
      <c r="AA448" s="56" t="n"/>
      <c r="AB448" s="57" t="n"/>
      <c r="AC448" s="525" t="inlineStr">
        <is>
          <t>ЕАЭС N RU Д-RU.РА03.В.86680/22</t>
        </is>
      </c>
      <c r="AG448" s="64" t="n"/>
      <c r="AJ448" s="68" t="n"/>
      <c r="AK448" s="68" t="n">
        <v>0</v>
      </c>
      <c r="BB448" s="526" t="inlineStr">
        <is>
          <t>КИ</t>
        </is>
      </c>
      <c r="BM448" s="64">
        <f>IFERROR(X448*I448/H448,"0")</f>
        <v/>
      </c>
      <c r="BN448" s="64">
        <f>IFERROR(Y448*I448/H448,"0")</f>
        <v/>
      </c>
      <c r="BO448" s="64">
        <f>IFERROR(1/J448*(X448/H448),"0")</f>
        <v/>
      </c>
      <c r="BP448" s="64">
        <f>IFERROR(1/J448*(Y448/H448),"0")</f>
        <v/>
      </c>
    </row>
    <row r="449" ht="27" customHeight="1">
      <c r="A449" s="54" t="inlineStr">
        <is>
          <t>SU003226</t>
        </is>
      </c>
      <c r="B449" s="54" t="inlineStr">
        <is>
          <t>P004260</t>
        </is>
      </c>
      <c r="C449" s="31" t="n">
        <v>4301011872</v>
      </c>
      <c r="D449" s="782" t="n">
        <v>4680115883925</v>
      </c>
      <c r="E449" s="783" t="n"/>
      <c r="F449" s="1220" t="n">
        <v>2.5</v>
      </c>
      <c r="G449" s="32" t="n">
        <v>6</v>
      </c>
      <c r="H449" s="1220" t="n">
        <v>15</v>
      </c>
      <c r="I449" s="1220" t="n">
        <v>15.48</v>
      </c>
      <c r="J449" s="32" t="n">
        <v>48</v>
      </c>
      <c r="K449" s="32" t="inlineStr">
        <is>
          <t>8</t>
        </is>
      </c>
      <c r="L449" s="32" t="n"/>
      <c r="M449" s="33" t="inlineStr">
        <is>
          <t>СК2</t>
        </is>
      </c>
      <c r="N449" s="33" t="n"/>
      <c r="O449" s="32" t="n">
        <v>60</v>
      </c>
      <c r="P449" s="803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/>
      </c>
      <c r="Q449" s="785" t="n"/>
      <c r="R449" s="785" t="n"/>
      <c r="S449" s="785" t="n"/>
      <c r="T449" s="786" t="n"/>
      <c r="U449" s="34" t="n"/>
      <c r="V449" s="34" t="n"/>
      <c r="W449" s="35" t="inlineStr">
        <is>
          <t>кг</t>
        </is>
      </c>
      <c r="X449" s="1221" t="n">
        <v>0</v>
      </c>
      <c r="Y449" s="1222">
        <f>IFERROR(IF(X449="",0,CEILING((X449/$H449),1)*$H449),"")</f>
        <v/>
      </c>
      <c r="Z449" s="36">
        <f>IFERROR(IF(Y449=0,"",ROUNDUP(Y449/H449,0)*0.02175),"")</f>
        <v/>
      </c>
      <c r="AA449" s="56" t="n"/>
      <c r="AB449" s="57" t="n"/>
      <c r="AC449" s="527" t="inlineStr">
        <is>
          <t>ЕАЭС N RU Д-RU.РА01.В.47907/24, ЕАЭС N RU Д-RU.РА10.В.10927/24</t>
        </is>
      </c>
      <c r="AG449" s="64" t="n"/>
      <c r="AJ449" s="68" t="n"/>
      <c r="AK449" s="68" t="n">
        <v>0</v>
      </c>
      <c r="BB449" s="528" t="inlineStr">
        <is>
          <t>КИ</t>
        </is>
      </c>
      <c r="BM449" s="64">
        <f>IFERROR(X449*I449/H449,"0")</f>
        <v/>
      </c>
      <c r="BN449" s="64">
        <f>IFERROR(Y449*I449/H449,"0")</f>
        <v/>
      </c>
      <c r="BO449" s="64">
        <f>IFERROR(1/J449*(X449/H449),"0")</f>
        <v/>
      </c>
      <c r="BP449" s="64">
        <f>IFERROR(1/J449*(Y449/H449),"0")</f>
        <v/>
      </c>
    </row>
    <row r="450" ht="37.5" customHeight="1">
      <c r="A450" s="54" t="inlineStr">
        <is>
          <t>SU002187</t>
        </is>
      </c>
      <c r="B450" s="54" t="inlineStr">
        <is>
          <t>P002559</t>
        </is>
      </c>
      <c r="C450" s="31" t="n">
        <v>4301011312</v>
      </c>
      <c r="D450" s="782" t="n">
        <v>4607091384192</v>
      </c>
      <c r="E450" s="783" t="n"/>
      <c r="F450" s="1220" t="n">
        <v>1.8</v>
      </c>
      <c r="G450" s="32" t="n">
        <v>6</v>
      </c>
      <c r="H450" s="1220" t="n">
        <v>10.8</v>
      </c>
      <c r="I450" s="1220" t="n">
        <v>11.28</v>
      </c>
      <c r="J450" s="32" t="n">
        <v>56</v>
      </c>
      <c r="K450" s="32" t="inlineStr">
        <is>
          <t>8</t>
        </is>
      </c>
      <c r="L450" s="32" t="n"/>
      <c r="M450" s="33" t="inlineStr">
        <is>
          <t>СК1</t>
        </is>
      </c>
      <c r="N450" s="33" t="n"/>
      <c r="O450" s="32" t="n">
        <v>60</v>
      </c>
      <c r="P450" s="1070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Q450" s="785" t="n"/>
      <c r="R450" s="785" t="n"/>
      <c r="S450" s="785" t="n"/>
      <c r="T450" s="786" t="n"/>
      <c r="U450" s="34" t="n"/>
      <c r="V450" s="34" t="n"/>
      <c r="W450" s="35" t="inlineStr">
        <is>
          <t>кг</t>
        </is>
      </c>
      <c r="X450" s="1221" t="n">
        <v>0</v>
      </c>
      <c r="Y450" s="1222">
        <f>IFERROR(IF(X450="",0,CEILING((X450/$H450),1)*$H450),"")</f>
        <v/>
      </c>
      <c r="Z450" s="36">
        <f>IFERROR(IF(Y450=0,"",ROUNDUP(Y450/H450,0)*0.02175),"")</f>
        <v/>
      </c>
      <c r="AA450" s="56" t="n"/>
      <c r="AB450" s="57" t="n"/>
      <c r="AC450" s="529" t="inlineStr">
        <is>
          <t>ЕАЭС N RU Д-RU.РА01.В.58959/20, ЕАЭС N RU Д-RU.РА01.В.58970/20, ЕАЭС N RU Д-RU.РА09.В.43414/22</t>
        </is>
      </c>
      <c r="AG450" s="64" t="n"/>
      <c r="AJ450" s="68" t="n"/>
      <c r="AK450" s="68" t="n">
        <v>0</v>
      </c>
      <c r="BB450" s="530" t="inlineStr">
        <is>
          <t>КИ</t>
        </is>
      </c>
      <c r="BM450" s="64">
        <f>IFERROR(X450*I450/H450,"0")</f>
        <v/>
      </c>
      <c r="BN450" s="64">
        <f>IFERROR(Y450*I450/H450,"0")</f>
        <v/>
      </c>
      <c r="BO450" s="64">
        <f>IFERROR(1/J450*(X450/H450),"0")</f>
        <v/>
      </c>
      <c r="BP450" s="64">
        <f>IFERROR(1/J450*(Y450/H450),"0")</f>
        <v/>
      </c>
    </row>
    <row r="451" ht="37.5" customHeight="1">
      <c r="A451" s="54" t="inlineStr">
        <is>
          <t>SU003424</t>
        </is>
      </c>
      <c r="B451" s="54" t="inlineStr">
        <is>
          <t>P004259</t>
        </is>
      </c>
      <c r="C451" s="31" t="n">
        <v>4301011874</v>
      </c>
      <c r="D451" s="782" t="n">
        <v>4680115884892</v>
      </c>
      <c r="E451" s="783" t="n"/>
      <c r="F451" s="1220" t="n">
        <v>1.8</v>
      </c>
      <c r="G451" s="32" t="n">
        <v>6</v>
      </c>
      <c r="H451" s="1220" t="n">
        <v>10.8</v>
      </c>
      <c r="I451" s="1220" t="n">
        <v>11.28</v>
      </c>
      <c r="J451" s="32" t="n">
        <v>56</v>
      </c>
      <c r="K451" s="32" t="inlineStr">
        <is>
          <t>8</t>
        </is>
      </c>
      <c r="L451" s="32" t="n"/>
      <c r="M451" s="33" t="inlineStr">
        <is>
          <t>СК2</t>
        </is>
      </c>
      <c r="N451" s="33" t="n"/>
      <c r="O451" s="32" t="n">
        <v>60</v>
      </c>
      <c r="P451" s="1044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/>
      </c>
      <c r="Q451" s="785" t="n"/>
      <c r="R451" s="785" t="n"/>
      <c r="S451" s="785" t="n"/>
      <c r="T451" s="786" t="n"/>
      <c r="U451" s="34" t="n"/>
      <c r="V451" s="34" t="n"/>
      <c r="W451" s="35" t="inlineStr">
        <is>
          <t>кг</t>
        </is>
      </c>
      <c r="X451" s="1221" t="n">
        <v>0</v>
      </c>
      <c r="Y451" s="1222">
        <f>IFERROR(IF(X451="",0,CEILING((X451/$H451),1)*$H451),"")</f>
        <v/>
      </c>
      <c r="Z451" s="36">
        <f>IFERROR(IF(Y451=0,"",ROUNDUP(Y451/H451,0)*0.02175),"")</f>
        <v/>
      </c>
      <c r="AA451" s="56" t="n"/>
      <c r="AB451" s="57" t="n"/>
      <c r="AC451" s="531" t="inlineStr">
        <is>
          <t>ЕАЭС N RU Д-RU.РА03.В.31251/24, ЕАЭС N RU Д-RU.РА10.В.04488/24</t>
        </is>
      </c>
      <c r="AG451" s="64" t="n"/>
      <c r="AJ451" s="68" t="n"/>
      <c r="AK451" s="68" t="n">
        <v>0</v>
      </c>
      <c r="BB451" s="532" t="inlineStr">
        <is>
          <t>КИ</t>
        </is>
      </c>
      <c r="BM451" s="64">
        <f>IFERROR(X451*I451/H451,"0")</f>
        <v/>
      </c>
      <c r="BN451" s="64">
        <f>IFERROR(Y451*I451/H451,"0")</f>
        <v/>
      </c>
      <c r="BO451" s="64">
        <f>IFERROR(1/J451*(X451/H451),"0")</f>
        <v/>
      </c>
      <c r="BP451" s="64">
        <f>IFERROR(1/J451*(Y451/H451),"0")</f>
        <v/>
      </c>
    </row>
    <row r="452" ht="27" customHeight="1">
      <c r="A452" s="54" t="inlineStr">
        <is>
          <t>SU003425</t>
        </is>
      </c>
      <c r="B452" s="54" t="inlineStr">
        <is>
          <t>P004273</t>
        </is>
      </c>
      <c r="C452" s="31" t="n">
        <v>4301011875</v>
      </c>
      <c r="D452" s="782" t="n">
        <v>4680115884885</v>
      </c>
      <c r="E452" s="783" t="n"/>
      <c r="F452" s="1220" t="n">
        <v>0.8</v>
      </c>
      <c r="G452" s="32" t="n">
        <v>15</v>
      </c>
      <c r="H452" s="1220" t="n">
        <v>12</v>
      </c>
      <c r="I452" s="1220" t="n">
        <v>12.48</v>
      </c>
      <c r="J452" s="32" t="n">
        <v>56</v>
      </c>
      <c r="K452" s="32" t="inlineStr">
        <is>
          <t>8</t>
        </is>
      </c>
      <c r="L452" s="32" t="n"/>
      <c r="M452" s="33" t="inlineStr">
        <is>
          <t>СК2</t>
        </is>
      </c>
      <c r="N452" s="33" t="n"/>
      <c r="O452" s="32" t="n">
        <v>60</v>
      </c>
      <c r="P452" s="1181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/>
      </c>
      <c r="Q452" s="785" t="n"/>
      <c r="R452" s="785" t="n"/>
      <c r="S452" s="785" t="n"/>
      <c r="T452" s="786" t="n"/>
      <c r="U452" s="34" t="n"/>
      <c r="V452" s="34" t="n"/>
      <c r="W452" s="35" t="inlineStr">
        <is>
          <t>кг</t>
        </is>
      </c>
      <c r="X452" s="1221" t="n">
        <v>0</v>
      </c>
      <c r="Y452" s="1222">
        <f>IFERROR(IF(X452="",0,CEILING((X452/$H452),1)*$H452),"")</f>
        <v/>
      </c>
      <c r="Z452" s="36">
        <f>IFERROR(IF(Y452=0,"",ROUNDUP(Y452/H452,0)*0.02175),"")</f>
        <v/>
      </c>
      <c r="AA452" s="56" t="n"/>
      <c r="AB452" s="57" t="n"/>
      <c r="AC452" s="533" t="inlineStr">
        <is>
          <t>ЕАЭС N RU Д-RU.РА03.В.31251/24, ЕАЭС N RU Д-RU.РА10.В.04488/24</t>
        </is>
      </c>
      <c r="AG452" s="64" t="n"/>
      <c r="AJ452" s="68" t="n"/>
      <c r="AK452" s="68" t="n">
        <v>0</v>
      </c>
      <c r="BB452" s="534" t="inlineStr">
        <is>
          <t>КИ</t>
        </is>
      </c>
      <c r="BM452" s="64">
        <f>IFERROR(X452*I452/H452,"0")</f>
        <v/>
      </c>
      <c r="BN452" s="64">
        <f>IFERROR(Y452*I452/H452,"0")</f>
        <v/>
      </c>
      <c r="BO452" s="64">
        <f>IFERROR(1/J452*(X452/H452),"0")</f>
        <v/>
      </c>
      <c r="BP452" s="64">
        <f>IFERROR(1/J452*(Y452/H452),"0")</f>
        <v/>
      </c>
    </row>
    <row r="453" ht="37.5" customHeight="1">
      <c r="A453" s="54" t="inlineStr">
        <is>
          <t>SU003426</t>
        </is>
      </c>
      <c r="B453" s="54" t="inlineStr">
        <is>
          <t>P004258</t>
        </is>
      </c>
      <c r="C453" s="31" t="n">
        <v>4301011871</v>
      </c>
      <c r="D453" s="782" t="n">
        <v>4680115884908</v>
      </c>
      <c r="E453" s="783" t="n"/>
      <c r="F453" s="1220" t="n">
        <v>0.4</v>
      </c>
      <c r="G453" s="32" t="n">
        <v>10</v>
      </c>
      <c r="H453" s="1220" t="n">
        <v>4</v>
      </c>
      <c r="I453" s="1220" t="n">
        <v>4.21</v>
      </c>
      <c r="J453" s="32" t="n">
        <v>132</v>
      </c>
      <c r="K453" s="32" t="inlineStr">
        <is>
          <t>12</t>
        </is>
      </c>
      <c r="L453" s="32" t="n"/>
      <c r="M453" s="33" t="inlineStr">
        <is>
          <t>СК2</t>
        </is>
      </c>
      <c r="N453" s="33" t="n"/>
      <c r="O453" s="32" t="n">
        <v>60</v>
      </c>
      <c r="P453" s="1134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/>
      </c>
      <c r="Q453" s="785" t="n"/>
      <c r="R453" s="785" t="n"/>
      <c r="S453" s="785" t="n"/>
      <c r="T453" s="786" t="n"/>
      <c r="U453" s="34" t="n"/>
      <c r="V453" s="34" t="n"/>
      <c r="W453" s="35" t="inlineStr">
        <is>
          <t>кг</t>
        </is>
      </c>
      <c r="X453" s="1221" t="n">
        <v>0</v>
      </c>
      <c r="Y453" s="1222">
        <f>IFERROR(IF(X453="",0,CEILING((X453/$H453),1)*$H453),"")</f>
        <v/>
      </c>
      <c r="Z453" s="36">
        <f>IFERROR(IF(Y453=0,"",ROUNDUP(Y453/H453,0)*0.00902),"")</f>
        <v/>
      </c>
      <c r="AA453" s="56" t="n"/>
      <c r="AB453" s="57" t="n"/>
      <c r="AC453" s="535" t="inlineStr">
        <is>
          <t>ЕАЭС N RU Д-RU.РА03.В.31251/24, ЕАЭС N RU Д-RU.РА10.В.04488/24</t>
        </is>
      </c>
      <c r="AG453" s="64" t="n"/>
      <c r="AJ453" s="68" t="n"/>
      <c r="AK453" s="68" t="n">
        <v>0</v>
      </c>
      <c r="BB453" s="536" t="inlineStr">
        <is>
          <t>КИ</t>
        </is>
      </c>
      <c r="BM453" s="64">
        <f>IFERROR(X453*I453/H453,"0")</f>
        <v/>
      </c>
      <c r="BN453" s="64">
        <f>IFERROR(Y453*I453/H453,"0")</f>
        <v/>
      </c>
      <c r="BO453" s="64">
        <f>IFERROR(1/J453*(X453/H453),"0")</f>
        <v/>
      </c>
      <c r="BP453" s="64">
        <f>IFERROR(1/J453*(Y453/H453),"0")</f>
        <v/>
      </c>
    </row>
    <row r="454">
      <c r="A454" s="801" t="n"/>
      <c r="B454" s="800" t="n"/>
      <c r="C454" s="800" t="n"/>
      <c r="D454" s="800" t="n"/>
      <c r="E454" s="800" t="n"/>
      <c r="F454" s="800" t="n"/>
      <c r="G454" s="800" t="n"/>
      <c r="H454" s="800" t="n"/>
      <c r="I454" s="800" t="n"/>
      <c r="J454" s="800" t="n"/>
      <c r="K454" s="800" t="n"/>
      <c r="L454" s="800" t="n"/>
      <c r="M454" s="800" t="n"/>
      <c r="N454" s="800" t="n"/>
      <c r="O454" s="802" t="n"/>
      <c r="P454" s="796" t="inlineStr">
        <is>
          <t>Итого</t>
        </is>
      </c>
      <c r="Q454" s="793" t="n"/>
      <c r="R454" s="793" t="n"/>
      <c r="S454" s="793" t="n"/>
      <c r="T454" s="793" t="n"/>
      <c r="U454" s="793" t="n"/>
      <c r="V454" s="794" t="n"/>
      <c r="W454" s="37" t="inlineStr">
        <is>
          <t>кор</t>
        </is>
      </c>
      <c r="X454" s="1223">
        <f>IFERROR(X446/H446,"0")+IFERROR(X447/H447,"0")+IFERROR(X448/H448,"0")+IFERROR(X449/H449,"0")+IFERROR(X450/H450,"0")+IFERROR(X451/H451,"0")+IFERROR(X452/H452,"0")+IFERROR(X453/H453,"0")</f>
        <v/>
      </c>
      <c r="Y454" s="1223">
        <f>IFERROR(Y446/H446,"0")+IFERROR(Y447/H447,"0")+IFERROR(Y448/H448,"0")+IFERROR(Y449/H449,"0")+IFERROR(Y450/H450,"0")+IFERROR(Y451/H451,"0")+IFERROR(Y452/H452,"0")+IFERROR(Y453/H453,"0")</f>
        <v/>
      </c>
      <c r="Z454" s="1223">
        <f>IFERROR(IF(Z446="",0,Z446),"0")+IFERROR(IF(Z447="",0,Z447),"0")+IFERROR(IF(Z448="",0,Z448),"0")+IFERROR(IF(Z449="",0,Z449),"0")+IFERROR(IF(Z450="",0,Z450),"0")+IFERROR(IF(Z451="",0,Z451),"0")+IFERROR(IF(Z452="",0,Z452),"0")+IFERROR(IF(Z453="",0,Z453),"0")</f>
        <v/>
      </c>
      <c r="AA454" s="1224" t="n"/>
      <c r="AB454" s="1224" t="n"/>
      <c r="AC454" s="1224" t="n"/>
    </row>
    <row r="455">
      <c r="A455" s="800" t="n"/>
      <c r="B455" s="800" t="n"/>
      <c r="C455" s="800" t="n"/>
      <c r="D455" s="800" t="n"/>
      <c r="E455" s="800" t="n"/>
      <c r="F455" s="800" t="n"/>
      <c r="G455" s="800" t="n"/>
      <c r="H455" s="800" t="n"/>
      <c r="I455" s="800" t="n"/>
      <c r="J455" s="800" t="n"/>
      <c r="K455" s="800" t="n"/>
      <c r="L455" s="800" t="n"/>
      <c r="M455" s="800" t="n"/>
      <c r="N455" s="800" t="n"/>
      <c r="O455" s="802" t="n"/>
      <c r="P455" s="796" t="inlineStr">
        <is>
          <t>Итого</t>
        </is>
      </c>
      <c r="Q455" s="793" t="n"/>
      <c r="R455" s="793" t="n"/>
      <c r="S455" s="793" t="n"/>
      <c r="T455" s="793" t="n"/>
      <c r="U455" s="793" t="n"/>
      <c r="V455" s="794" t="n"/>
      <c r="W455" s="37" t="inlineStr">
        <is>
          <t>кг</t>
        </is>
      </c>
      <c r="X455" s="1223">
        <f>IFERROR(SUM(X446:X453),"0")</f>
        <v/>
      </c>
      <c r="Y455" s="1223">
        <f>IFERROR(SUM(Y446:Y453),"0")</f>
        <v/>
      </c>
      <c r="Z455" s="37" t="n"/>
      <c r="AA455" s="1224" t="n"/>
      <c r="AB455" s="1224" t="n"/>
      <c r="AC455" s="1224" t="n"/>
    </row>
    <row r="456" ht="14.25" customHeight="1">
      <c r="A456" s="799" t="inlineStr">
        <is>
          <t>Копченые колбасы</t>
        </is>
      </c>
      <c r="B456" s="800" t="n"/>
      <c r="C456" s="800" t="n"/>
      <c r="D456" s="800" t="n"/>
      <c r="E456" s="800" t="n"/>
      <c r="F456" s="800" t="n"/>
      <c r="G456" s="800" t="n"/>
      <c r="H456" s="800" t="n"/>
      <c r="I456" s="800" t="n"/>
      <c r="J456" s="800" t="n"/>
      <c r="K456" s="800" t="n"/>
      <c r="L456" s="800" t="n"/>
      <c r="M456" s="800" t="n"/>
      <c r="N456" s="800" t="n"/>
      <c r="O456" s="800" t="n"/>
      <c r="P456" s="800" t="n"/>
      <c r="Q456" s="800" t="n"/>
      <c r="R456" s="800" t="n"/>
      <c r="S456" s="800" t="n"/>
      <c r="T456" s="800" t="n"/>
      <c r="U456" s="800" t="n"/>
      <c r="V456" s="800" t="n"/>
      <c r="W456" s="800" t="n"/>
      <c r="X456" s="800" t="n"/>
      <c r="Y456" s="800" t="n"/>
      <c r="Z456" s="800" t="n"/>
      <c r="AA456" s="799" t="n"/>
      <c r="AB456" s="799" t="n"/>
      <c r="AC456" s="799" t="n"/>
    </row>
    <row r="457" ht="27" customHeight="1">
      <c r="A457" s="54" t="inlineStr">
        <is>
          <t>SU002360</t>
        </is>
      </c>
      <c r="B457" s="54" t="inlineStr">
        <is>
          <t>P004227</t>
        </is>
      </c>
      <c r="C457" s="31" t="n">
        <v>4301031303</v>
      </c>
      <c r="D457" s="782" t="n">
        <v>4607091384802</v>
      </c>
      <c r="E457" s="783" t="n"/>
      <c r="F457" s="1220" t="n">
        <v>0.73</v>
      </c>
      <c r="G457" s="32" t="n">
        <v>6</v>
      </c>
      <c r="H457" s="1220" t="n">
        <v>4.38</v>
      </c>
      <c r="I457" s="1220" t="n">
        <v>4.65</v>
      </c>
      <c r="J457" s="32" t="n">
        <v>132</v>
      </c>
      <c r="K457" s="32" t="inlineStr">
        <is>
          <t>12</t>
        </is>
      </c>
      <c r="L457" s="32" t="n"/>
      <c r="M457" s="33" t="inlineStr">
        <is>
          <t>СК2</t>
        </is>
      </c>
      <c r="N457" s="33" t="n"/>
      <c r="O457" s="32" t="n">
        <v>35</v>
      </c>
      <c r="P457" s="1194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/>
      </c>
      <c r="Q457" s="785" t="n"/>
      <c r="R457" s="785" t="n"/>
      <c r="S457" s="785" t="n"/>
      <c r="T457" s="786" t="n"/>
      <c r="U457" s="34" t="n"/>
      <c r="V457" s="34" t="n"/>
      <c r="W457" s="35" t="inlineStr">
        <is>
          <t>кг</t>
        </is>
      </c>
      <c r="X457" s="1221" t="n">
        <v>0</v>
      </c>
      <c r="Y457" s="1222">
        <f>IFERROR(IF(X457="",0,CEILING((X457/$H457),1)*$H457),"")</f>
        <v/>
      </c>
      <c r="Z457" s="36">
        <f>IFERROR(IF(Y457=0,"",ROUNDUP(Y457/H457,0)*0.00902),"")</f>
        <v/>
      </c>
      <c r="AA457" s="56" t="n"/>
      <c r="AB457" s="57" t="n"/>
      <c r="AC457" s="537" t="inlineStr">
        <is>
          <t>ЕАЭС N RU Д-RU.РА02.В.61652/24</t>
        </is>
      </c>
      <c r="AG457" s="64" t="n"/>
      <c r="AJ457" s="68" t="n"/>
      <c r="AK457" s="68" t="n">
        <v>0</v>
      </c>
      <c r="BB457" s="538" t="inlineStr">
        <is>
          <t>КИ</t>
        </is>
      </c>
      <c r="BM457" s="64">
        <f>IFERROR(X457*I457/H457,"0")</f>
        <v/>
      </c>
      <c r="BN457" s="64">
        <f>IFERROR(Y457*I457/H457,"0")</f>
        <v/>
      </c>
      <c r="BO457" s="64">
        <f>IFERROR(1/J457*(X457/H457),"0")</f>
        <v/>
      </c>
      <c r="BP457" s="64">
        <f>IFERROR(1/J457*(Y457/H457),"0")</f>
        <v/>
      </c>
    </row>
    <row r="458" ht="27" customHeight="1">
      <c r="A458" s="54" t="inlineStr">
        <is>
          <t>SU002361</t>
        </is>
      </c>
      <c r="B458" s="54" t="inlineStr">
        <is>
          <t>P004228</t>
        </is>
      </c>
      <c r="C458" s="31" t="n">
        <v>4301031304</v>
      </c>
      <c r="D458" s="782" t="n">
        <v>4607091384826</v>
      </c>
      <c r="E458" s="783" t="n"/>
      <c r="F458" s="1220" t="n">
        <v>0.35</v>
      </c>
      <c r="G458" s="32" t="n">
        <v>8</v>
      </c>
      <c r="H458" s="1220" t="n">
        <v>2.8</v>
      </c>
      <c r="I458" s="1220" t="n">
        <v>2.98</v>
      </c>
      <c r="J458" s="32" t="n">
        <v>234</v>
      </c>
      <c r="K458" s="32" t="inlineStr">
        <is>
          <t>18</t>
        </is>
      </c>
      <c r="L458" s="32" t="n"/>
      <c r="M458" s="33" t="inlineStr">
        <is>
          <t>СК2</t>
        </is>
      </c>
      <c r="N458" s="33" t="n"/>
      <c r="O458" s="32" t="n">
        <v>35</v>
      </c>
      <c r="P458" s="1148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/>
      </c>
      <c r="Q458" s="785" t="n"/>
      <c r="R458" s="785" t="n"/>
      <c r="S458" s="785" t="n"/>
      <c r="T458" s="786" t="n"/>
      <c r="U458" s="34" t="n"/>
      <c r="V458" s="34" t="n"/>
      <c r="W458" s="35" t="inlineStr">
        <is>
          <t>кг</t>
        </is>
      </c>
      <c r="X458" s="1221" t="n">
        <v>0</v>
      </c>
      <c r="Y458" s="1222">
        <f>IFERROR(IF(X458="",0,CEILING((X458/$H458),1)*$H458),"")</f>
        <v/>
      </c>
      <c r="Z458" s="36">
        <f>IFERROR(IF(Y458=0,"",ROUNDUP(Y458/H458,0)*0.00502),"")</f>
        <v/>
      </c>
      <c r="AA458" s="56" t="n"/>
      <c r="AB458" s="57" t="n"/>
      <c r="AC458" s="539" t="inlineStr">
        <is>
          <t>ЕАЭС N RU Д-RU.РА02.В.61652/24</t>
        </is>
      </c>
      <c r="AG458" s="64" t="n"/>
      <c r="AJ458" s="68" t="n"/>
      <c r="AK458" s="68" t="n">
        <v>0</v>
      </c>
      <c r="BB458" s="540" t="inlineStr">
        <is>
          <t>КИ</t>
        </is>
      </c>
      <c r="BM458" s="64">
        <f>IFERROR(X458*I458/H458,"0")</f>
        <v/>
      </c>
      <c r="BN458" s="64">
        <f>IFERROR(Y458*I458/H458,"0")</f>
        <v/>
      </c>
      <c r="BO458" s="64">
        <f>IFERROR(1/J458*(X458/H458),"0")</f>
        <v/>
      </c>
      <c r="BP458" s="64">
        <f>IFERROR(1/J458*(Y458/H458),"0")</f>
        <v/>
      </c>
    </row>
    <row r="459">
      <c r="A459" s="801" t="n"/>
      <c r="B459" s="800" t="n"/>
      <c r="C459" s="800" t="n"/>
      <c r="D459" s="800" t="n"/>
      <c r="E459" s="800" t="n"/>
      <c r="F459" s="800" t="n"/>
      <c r="G459" s="800" t="n"/>
      <c r="H459" s="800" t="n"/>
      <c r="I459" s="800" t="n"/>
      <c r="J459" s="800" t="n"/>
      <c r="K459" s="800" t="n"/>
      <c r="L459" s="800" t="n"/>
      <c r="M459" s="800" t="n"/>
      <c r="N459" s="800" t="n"/>
      <c r="O459" s="802" t="n"/>
      <c r="P459" s="796" t="inlineStr">
        <is>
          <t>Итого</t>
        </is>
      </c>
      <c r="Q459" s="793" t="n"/>
      <c r="R459" s="793" t="n"/>
      <c r="S459" s="793" t="n"/>
      <c r="T459" s="793" t="n"/>
      <c r="U459" s="793" t="n"/>
      <c r="V459" s="794" t="n"/>
      <c r="W459" s="37" t="inlineStr">
        <is>
          <t>кор</t>
        </is>
      </c>
      <c r="X459" s="1223">
        <f>IFERROR(X457/H457,"0")+IFERROR(X458/H458,"0")</f>
        <v/>
      </c>
      <c r="Y459" s="1223">
        <f>IFERROR(Y457/H457,"0")+IFERROR(Y458/H458,"0")</f>
        <v/>
      </c>
      <c r="Z459" s="1223">
        <f>IFERROR(IF(Z457="",0,Z457),"0")+IFERROR(IF(Z458="",0,Z458),"0")</f>
        <v/>
      </c>
      <c r="AA459" s="1224" t="n"/>
      <c r="AB459" s="1224" t="n"/>
      <c r="AC459" s="1224" t="n"/>
    </row>
    <row r="460">
      <c r="A460" s="800" t="n"/>
      <c r="B460" s="800" t="n"/>
      <c r="C460" s="800" t="n"/>
      <c r="D460" s="800" t="n"/>
      <c r="E460" s="800" t="n"/>
      <c r="F460" s="800" t="n"/>
      <c r="G460" s="800" t="n"/>
      <c r="H460" s="800" t="n"/>
      <c r="I460" s="800" t="n"/>
      <c r="J460" s="800" t="n"/>
      <c r="K460" s="800" t="n"/>
      <c r="L460" s="800" t="n"/>
      <c r="M460" s="800" t="n"/>
      <c r="N460" s="800" t="n"/>
      <c r="O460" s="802" t="n"/>
      <c r="P460" s="796" t="inlineStr">
        <is>
          <t>Итого</t>
        </is>
      </c>
      <c r="Q460" s="793" t="n"/>
      <c r="R460" s="793" t="n"/>
      <c r="S460" s="793" t="n"/>
      <c r="T460" s="793" t="n"/>
      <c r="U460" s="793" t="n"/>
      <c r="V460" s="794" t="n"/>
      <c r="W460" s="37" t="inlineStr">
        <is>
          <t>кг</t>
        </is>
      </c>
      <c r="X460" s="1223">
        <f>IFERROR(SUM(X457:X458),"0")</f>
        <v/>
      </c>
      <c r="Y460" s="1223">
        <f>IFERROR(SUM(Y457:Y458),"0")</f>
        <v/>
      </c>
      <c r="Z460" s="37" t="n"/>
      <c r="AA460" s="1224" t="n"/>
      <c r="AB460" s="1224" t="n"/>
      <c r="AC460" s="1224" t="n"/>
    </row>
    <row r="461" ht="14.25" customHeight="1">
      <c r="A461" s="799" t="inlineStr">
        <is>
          <t>Сосиски</t>
        </is>
      </c>
      <c r="B461" s="800" t="n"/>
      <c r="C461" s="800" t="n"/>
      <c r="D461" s="800" t="n"/>
      <c r="E461" s="800" t="n"/>
      <c r="F461" s="800" t="n"/>
      <c r="G461" s="800" t="n"/>
      <c r="H461" s="800" t="n"/>
      <c r="I461" s="800" t="n"/>
      <c r="J461" s="800" t="n"/>
      <c r="K461" s="800" t="n"/>
      <c r="L461" s="800" t="n"/>
      <c r="M461" s="800" t="n"/>
      <c r="N461" s="800" t="n"/>
      <c r="O461" s="800" t="n"/>
      <c r="P461" s="800" t="n"/>
      <c r="Q461" s="800" t="n"/>
      <c r="R461" s="800" t="n"/>
      <c r="S461" s="800" t="n"/>
      <c r="T461" s="800" t="n"/>
      <c r="U461" s="800" t="n"/>
      <c r="V461" s="800" t="n"/>
      <c r="W461" s="800" t="n"/>
      <c r="X461" s="800" t="n"/>
      <c r="Y461" s="800" t="n"/>
      <c r="Z461" s="800" t="n"/>
      <c r="AA461" s="799" t="n"/>
      <c r="AB461" s="799" t="n"/>
      <c r="AC461" s="799" t="n"/>
    </row>
    <row r="462" ht="27" customHeight="1">
      <c r="A462" s="54" t="inlineStr">
        <is>
          <t>SU002074</t>
        </is>
      </c>
      <c r="B462" s="54" t="inlineStr">
        <is>
          <t>P004844</t>
        </is>
      </c>
      <c r="C462" s="31" t="n">
        <v>4301051899</v>
      </c>
      <c r="D462" s="782" t="n">
        <v>4607091384246</v>
      </c>
      <c r="E462" s="783" t="n"/>
      <c r="F462" s="1220" t="n">
        <v>1.5</v>
      </c>
      <c r="G462" s="32" t="n">
        <v>6</v>
      </c>
      <c r="H462" s="1220" t="n">
        <v>9</v>
      </c>
      <c r="I462" s="1220" t="n">
        <v>9.564</v>
      </c>
      <c r="J462" s="32" t="n">
        <v>56</v>
      </c>
      <c r="K462" s="32" t="inlineStr">
        <is>
          <t>8</t>
        </is>
      </c>
      <c r="L462" s="32" t="n"/>
      <c r="M462" s="33" t="inlineStr">
        <is>
          <t>СК3</t>
        </is>
      </c>
      <c r="N462" s="33" t="n"/>
      <c r="O462" s="32" t="n">
        <v>40</v>
      </c>
      <c r="P462" s="930" t="inlineStr">
        <is>
          <t>Сосиски «Молочные для завтрака» Весовой п/а ТМ «Особый рецепт»</t>
        </is>
      </c>
      <c r="Q462" s="785" t="n"/>
      <c r="R462" s="785" t="n"/>
      <c r="S462" s="785" t="n"/>
      <c r="T462" s="786" t="n"/>
      <c r="U462" s="34" t="n"/>
      <c r="V462" s="34" t="n"/>
      <c r="W462" s="35" t="inlineStr">
        <is>
          <t>кг</t>
        </is>
      </c>
      <c r="X462" s="1221" t="n">
        <v>0</v>
      </c>
      <c r="Y462" s="1222">
        <f>IFERROR(IF(X462="",0,CEILING((X462/$H462),1)*$H462),"")</f>
        <v/>
      </c>
      <c r="Z462" s="36">
        <f>IFERROR(IF(Y462=0,"",ROUNDUP(Y462/H462,0)*0.02175),"")</f>
        <v/>
      </c>
      <c r="AA462" s="56" t="n"/>
      <c r="AB462" s="57" t="n"/>
      <c r="AC462" s="541" t="inlineStr">
        <is>
          <t>ЕАЭС N RU Д-RU.РА03.В.21982/24, ЕАЭС N RU Д-RU.РА03.В.22955/24</t>
        </is>
      </c>
      <c r="AG462" s="64" t="n"/>
      <c r="AJ462" s="68" t="n"/>
      <c r="AK462" s="68" t="n">
        <v>0</v>
      </c>
      <c r="BB462" s="542" t="inlineStr">
        <is>
          <t>КИ</t>
        </is>
      </c>
      <c r="BM462" s="64">
        <f>IFERROR(X462*I462/H462,"0")</f>
        <v/>
      </c>
      <c r="BN462" s="64">
        <f>IFERROR(Y462*I462/H462,"0")</f>
        <v/>
      </c>
      <c r="BO462" s="64">
        <f>IFERROR(1/J462*(X462/H462),"0")</f>
        <v/>
      </c>
      <c r="BP462" s="64">
        <f>IFERROR(1/J462*(Y462/H462),"0")</f>
        <v/>
      </c>
    </row>
    <row r="463" ht="37.5" customHeight="1">
      <c r="A463" s="54" t="inlineStr">
        <is>
          <t>SU002896</t>
        </is>
      </c>
      <c r="B463" s="54" t="inlineStr">
        <is>
          <t>P004848</t>
        </is>
      </c>
      <c r="C463" s="31" t="n">
        <v>4301051901</v>
      </c>
      <c r="D463" s="782" t="n">
        <v>4680115881976</v>
      </c>
      <c r="E463" s="783" t="n"/>
      <c r="F463" s="1220" t="n">
        <v>1.5</v>
      </c>
      <c r="G463" s="32" t="n">
        <v>6</v>
      </c>
      <c r="H463" s="1220" t="n">
        <v>9</v>
      </c>
      <c r="I463" s="1220" t="n">
        <v>9.48</v>
      </c>
      <c r="J463" s="32" t="n">
        <v>56</v>
      </c>
      <c r="K463" s="32" t="inlineStr">
        <is>
          <t>8</t>
        </is>
      </c>
      <c r="L463" s="32" t="n"/>
      <c r="M463" s="33" t="inlineStr">
        <is>
          <t>СК3</t>
        </is>
      </c>
      <c r="N463" s="33" t="n"/>
      <c r="O463" s="32" t="n">
        <v>40</v>
      </c>
      <c r="P463" s="982" t="inlineStr">
        <is>
          <t>Сосиски «Сочные без свинины» Весовой п/а ТМ «Особый рецепт»</t>
        </is>
      </c>
      <c r="Q463" s="785" t="n"/>
      <c r="R463" s="785" t="n"/>
      <c r="S463" s="785" t="n"/>
      <c r="T463" s="786" t="n"/>
      <c r="U463" s="34" t="n"/>
      <c r="V463" s="34" t="n"/>
      <c r="W463" s="35" t="inlineStr">
        <is>
          <t>кг</t>
        </is>
      </c>
      <c r="X463" s="1221" t="n">
        <v>0</v>
      </c>
      <c r="Y463" s="1222">
        <f>IFERROR(IF(X463="",0,CEILING((X463/$H463),1)*$H463),"")</f>
        <v/>
      </c>
      <c r="Z463" s="36">
        <f>IFERROR(IF(Y463=0,"",ROUNDUP(Y463/H463,0)*0.02175),"")</f>
        <v/>
      </c>
      <c r="AA463" s="56" t="n"/>
      <c r="AB463" s="57" t="n"/>
      <c r="AC463" s="543" t="inlineStr">
        <is>
          <t>ЕАЭС N RU Д-RU.РА03.В.99662/23, ЕАЭС N RU Д-RU.РА03.В.99705/23, ЕАЭС N RU Д-RU.РА10.В.84789/23</t>
        </is>
      </c>
      <c r="AG463" s="64" t="n"/>
      <c r="AJ463" s="68" t="n"/>
      <c r="AK463" s="68" t="n">
        <v>0</v>
      </c>
      <c r="BB463" s="544" t="inlineStr">
        <is>
          <t>КИ</t>
        </is>
      </c>
      <c r="BM463" s="64">
        <f>IFERROR(X463*I463/H463,"0")</f>
        <v/>
      </c>
      <c r="BN463" s="64">
        <f>IFERROR(Y463*I463/H463,"0")</f>
        <v/>
      </c>
      <c r="BO463" s="64">
        <f>IFERROR(1/J463*(X463/H463),"0")</f>
        <v/>
      </c>
      <c r="BP463" s="64">
        <f>IFERROR(1/J463*(Y463/H463),"0")</f>
        <v/>
      </c>
    </row>
    <row r="464" ht="37.5" customHeight="1">
      <c r="A464" s="54" t="inlineStr">
        <is>
          <t>SU002205</t>
        </is>
      </c>
      <c r="B464" s="54" t="inlineStr">
        <is>
          <t>P003969</t>
        </is>
      </c>
      <c r="C464" s="31" t="n">
        <v>4301051634</v>
      </c>
      <c r="D464" s="782" t="n">
        <v>4607091384253</v>
      </c>
      <c r="E464" s="783" t="n"/>
      <c r="F464" s="1220" t="n">
        <v>0.4</v>
      </c>
      <c r="G464" s="32" t="n">
        <v>6</v>
      </c>
      <c r="H464" s="1220" t="n">
        <v>2.4</v>
      </c>
      <c r="I464" s="1220" t="n">
        <v>2.664</v>
      </c>
      <c r="J464" s="32" t="n">
        <v>182</v>
      </c>
      <c r="K464" s="32" t="inlineStr">
        <is>
          <t>14</t>
        </is>
      </c>
      <c r="L464" s="32" t="n"/>
      <c r="M464" s="33" t="inlineStr">
        <is>
          <t>СК2</t>
        </is>
      </c>
      <c r="N464" s="33" t="n"/>
      <c r="O464" s="32" t="n">
        <v>40</v>
      </c>
      <c r="P464" s="1171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/>
      </c>
      <c r="Q464" s="785" t="n"/>
      <c r="R464" s="785" t="n"/>
      <c r="S464" s="785" t="n"/>
      <c r="T464" s="786" t="n"/>
      <c r="U464" s="34" t="n"/>
      <c r="V464" s="34" t="n"/>
      <c r="W464" s="35" t="inlineStr">
        <is>
          <t>кг</t>
        </is>
      </c>
      <c r="X464" s="1221" t="n">
        <v>0</v>
      </c>
      <c r="Y464" s="1222">
        <f>IFERROR(IF(X464="",0,CEILING((X464/$H464),1)*$H464),"")</f>
        <v/>
      </c>
      <c r="Z464" s="36">
        <f>IFERROR(IF(Y464=0,"",ROUNDUP(Y464/H464,0)*0.00651),"")</f>
        <v/>
      </c>
      <c r="AA464" s="56" t="n"/>
      <c r="AB464" s="57" t="n"/>
      <c r="AC464" s="545" t="inlineStr">
        <is>
          <t>ЕАЭС N RU Д-RU.РА03.В.21982/24, ЕАЭС N RU Д-RU.РА03.В.22876/24, ЕАЭС N RU Д-RU.РА03.В.22955/24</t>
        </is>
      </c>
      <c r="AG464" s="64" t="n"/>
      <c r="AJ464" s="68" t="n"/>
      <c r="AK464" s="68" t="n">
        <v>0</v>
      </c>
      <c r="BB464" s="546" t="inlineStr">
        <is>
          <t>КИ</t>
        </is>
      </c>
      <c r="BM464" s="64">
        <f>IFERROR(X464*I464/H464,"0")</f>
        <v/>
      </c>
      <c r="BN464" s="64">
        <f>IFERROR(Y464*I464/H464,"0")</f>
        <v/>
      </c>
      <c r="BO464" s="64">
        <f>IFERROR(1/J464*(X464/H464),"0")</f>
        <v/>
      </c>
      <c r="BP464" s="64">
        <f>IFERROR(1/J464*(Y464/H464),"0")</f>
        <v/>
      </c>
    </row>
    <row r="465" ht="27" customHeight="1">
      <c r="A465" s="54" t="inlineStr">
        <is>
          <t>SU002205</t>
        </is>
      </c>
      <c r="B465" s="54" t="inlineStr">
        <is>
          <t>P002694</t>
        </is>
      </c>
      <c r="C465" s="31" t="n">
        <v>4301051297</v>
      </c>
      <c r="D465" s="782" t="n">
        <v>4607091384253</v>
      </c>
      <c r="E465" s="783" t="n"/>
      <c r="F465" s="1220" t="n">
        <v>0.4</v>
      </c>
      <c r="G465" s="32" t="n">
        <v>6</v>
      </c>
      <c r="H465" s="1220" t="n">
        <v>2.4</v>
      </c>
      <c r="I465" s="1220" t="n">
        <v>2.664</v>
      </c>
      <c r="J465" s="32" t="n">
        <v>182</v>
      </c>
      <c r="K465" s="32" t="inlineStr">
        <is>
          <t>14</t>
        </is>
      </c>
      <c r="L465" s="32" t="n"/>
      <c r="M465" s="33" t="inlineStr">
        <is>
          <t>СК2</t>
        </is>
      </c>
      <c r="N465" s="33" t="n"/>
      <c r="O465" s="32" t="n">
        <v>40</v>
      </c>
      <c r="P465" s="121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Q465" s="785" t="n"/>
      <c r="R465" s="785" t="n"/>
      <c r="S465" s="785" t="n"/>
      <c r="T465" s="786" t="n"/>
      <c r="U465" s="34" t="n"/>
      <c r="V465" s="34" t="n"/>
      <c r="W465" s="35" t="inlineStr">
        <is>
          <t>кг</t>
        </is>
      </c>
      <c r="X465" s="1221" t="n">
        <v>0</v>
      </c>
      <c r="Y465" s="1222">
        <f>IFERROR(IF(X465="",0,CEILING((X465/$H465),1)*$H465),"")</f>
        <v/>
      </c>
      <c r="Z465" s="36">
        <f>IFERROR(IF(Y465=0,"",ROUNDUP(Y465/H465,0)*0.00651),"")</f>
        <v/>
      </c>
      <c r="AA465" s="56" t="n"/>
      <c r="AB465" s="57" t="n"/>
      <c r="AC465" s="547" t="inlineStr">
        <is>
          <t>ЕАЭС N RU Д-RU.РА01.В.58934/20</t>
        </is>
      </c>
      <c r="AG465" s="64" t="n"/>
      <c r="AJ465" s="68" t="n"/>
      <c r="AK465" s="68" t="n">
        <v>0</v>
      </c>
      <c r="BB465" s="548" t="inlineStr">
        <is>
          <t>КИ</t>
        </is>
      </c>
      <c r="BM465" s="64">
        <f>IFERROR(X465*I465/H465,"0")</f>
        <v/>
      </c>
      <c r="BN465" s="64">
        <f>IFERROR(Y465*I465/H465,"0")</f>
        <v/>
      </c>
      <c r="BO465" s="64">
        <f>IFERROR(1/J465*(X465/H465),"0")</f>
        <v/>
      </c>
      <c r="BP465" s="64">
        <f>IFERROR(1/J465*(Y465/H465),"0")</f>
        <v/>
      </c>
    </row>
    <row r="466" ht="27" customHeight="1">
      <c r="A466" s="54" t="inlineStr">
        <is>
          <t>SU002895</t>
        </is>
      </c>
      <c r="B466" s="54" t="inlineStr">
        <is>
          <t>P003329</t>
        </is>
      </c>
      <c r="C466" s="31" t="n">
        <v>4301051444</v>
      </c>
      <c r="D466" s="782" t="n">
        <v>4680115881969</v>
      </c>
      <c r="E466" s="783" t="n"/>
      <c r="F466" s="1220" t="n">
        <v>0.4</v>
      </c>
      <c r="G466" s="32" t="n">
        <v>6</v>
      </c>
      <c r="H466" s="1220" t="n">
        <v>2.4</v>
      </c>
      <c r="I466" s="1220" t="n">
        <v>2.58</v>
      </c>
      <c r="J466" s="32" t="n">
        <v>182</v>
      </c>
      <c r="K466" s="32" t="inlineStr">
        <is>
          <t>14</t>
        </is>
      </c>
      <c r="L466" s="32" t="n"/>
      <c r="M466" s="33" t="inlineStr">
        <is>
          <t>СК2</t>
        </is>
      </c>
      <c r="N466" s="33" t="n"/>
      <c r="O466" s="32" t="n">
        <v>40</v>
      </c>
      <c r="P466" s="1178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Q466" s="785" t="n"/>
      <c r="R466" s="785" t="n"/>
      <c r="S466" s="785" t="n"/>
      <c r="T466" s="786" t="n"/>
      <c r="U466" s="34" t="n"/>
      <c r="V466" s="34" t="n"/>
      <c r="W466" s="35" t="inlineStr">
        <is>
          <t>кг</t>
        </is>
      </c>
      <c r="X466" s="1221" t="n">
        <v>0</v>
      </c>
      <c r="Y466" s="1222">
        <f>IFERROR(IF(X466="",0,CEILING((X466/$H466),1)*$H466),"")</f>
        <v/>
      </c>
      <c r="Z466" s="36">
        <f>IFERROR(IF(Y466=0,"",ROUNDUP(Y466/H466,0)*0.00651),"")</f>
        <v/>
      </c>
      <c r="AA466" s="56" t="n"/>
      <c r="AB466" s="57" t="n"/>
      <c r="AC466" s="549" t="inlineStr">
        <is>
          <t>ЕАЭС N RU Д-RU.РА03.В.99662/23, ЕАЭС N RU Д-RU.РА03.В.99695/23</t>
        </is>
      </c>
      <c r="AG466" s="64" t="n"/>
      <c r="AJ466" s="68" t="n"/>
      <c r="AK466" s="68" t="n">
        <v>0</v>
      </c>
      <c r="BB466" s="550" t="inlineStr">
        <is>
          <t>КИ</t>
        </is>
      </c>
      <c r="BM466" s="64">
        <f>IFERROR(X466*I466/H466,"0")</f>
        <v/>
      </c>
      <c r="BN466" s="64">
        <f>IFERROR(Y466*I466/H466,"0")</f>
        <v/>
      </c>
      <c r="BO466" s="64">
        <f>IFERROR(1/J466*(X466/H466),"0")</f>
        <v/>
      </c>
      <c r="BP466" s="64">
        <f>IFERROR(1/J466*(Y466/H466),"0")</f>
        <v/>
      </c>
    </row>
    <row r="467">
      <c r="A467" s="801" t="n"/>
      <c r="B467" s="800" t="n"/>
      <c r="C467" s="800" t="n"/>
      <c r="D467" s="800" t="n"/>
      <c r="E467" s="800" t="n"/>
      <c r="F467" s="800" t="n"/>
      <c r="G467" s="800" t="n"/>
      <c r="H467" s="800" t="n"/>
      <c r="I467" s="800" t="n"/>
      <c r="J467" s="800" t="n"/>
      <c r="K467" s="800" t="n"/>
      <c r="L467" s="800" t="n"/>
      <c r="M467" s="800" t="n"/>
      <c r="N467" s="800" t="n"/>
      <c r="O467" s="802" t="n"/>
      <c r="P467" s="796" t="inlineStr">
        <is>
          <t>Итого</t>
        </is>
      </c>
      <c r="Q467" s="793" t="n"/>
      <c r="R467" s="793" t="n"/>
      <c r="S467" s="793" t="n"/>
      <c r="T467" s="793" t="n"/>
      <c r="U467" s="793" t="n"/>
      <c r="V467" s="794" t="n"/>
      <c r="W467" s="37" t="inlineStr">
        <is>
          <t>кор</t>
        </is>
      </c>
      <c r="X467" s="1223">
        <f>IFERROR(X462/H462,"0")+IFERROR(X463/H463,"0")+IFERROR(X464/H464,"0")+IFERROR(X465/H465,"0")+IFERROR(X466/H466,"0")</f>
        <v/>
      </c>
      <c r="Y467" s="1223">
        <f>IFERROR(Y462/H462,"0")+IFERROR(Y463/H463,"0")+IFERROR(Y464/H464,"0")+IFERROR(Y465/H465,"0")+IFERROR(Y466/H466,"0")</f>
        <v/>
      </c>
      <c r="Z467" s="1223">
        <f>IFERROR(IF(Z462="",0,Z462),"0")+IFERROR(IF(Z463="",0,Z463),"0")+IFERROR(IF(Z464="",0,Z464),"0")+IFERROR(IF(Z465="",0,Z465),"0")+IFERROR(IF(Z466="",0,Z466),"0")</f>
        <v/>
      </c>
      <c r="AA467" s="1224" t="n"/>
      <c r="AB467" s="1224" t="n"/>
      <c r="AC467" s="1224" t="n"/>
    </row>
    <row r="468">
      <c r="A468" s="800" t="n"/>
      <c r="B468" s="800" t="n"/>
      <c r="C468" s="800" t="n"/>
      <c r="D468" s="800" t="n"/>
      <c r="E468" s="800" t="n"/>
      <c r="F468" s="800" t="n"/>
      <c r="G468" s="800" t="n"/>
      <c r="H468" s="800" t="n"/>
      <c r="I468" s="800" t="n"/>
      <c r="J468" s="800" t="n"/>
      <c r="K468" s="800" t="n"/>
      <c r="L468" s="800" t="n"/>
      <c r="M468" s="800" t="n"/>
      <c r="N468" s="800" t="n"/>
      <c r="O468" s="802" t="n"/>
      <c r="P468" s="796" t="inlineStr">
        <is>
          <t>Итого</t>
        </is>
      </c>
      <c r="Q468" s="793" t="n"/>
      <c r="R468" s="793" t="n"/>
      <c r="S468" s="793" t="n"/>
      <c r="T468" s="793" t="n"/>
      <c r="U468" s="793" t="n"/>
      <c r="V468" s="794" t="n"/>
      <c r="W468" s="37" t="inlineStr">
        <is>
          <t>кг</t>
        </is>
      </c>
      <c r="X468" s="1223">
        <f>IFERROR(SUM(X462:X466),"0")</f>
        <v/>
      </c>
      <c r="Y468" s="1223">
        <f>IFERROR(SUM(Y462:Y466),"0")</f>
        <v/>
      </c>
      <c r="Z468" s="37" t="n"/>
      <c r="AA468" s="1224" t="n"/>
      <c r="AB468" s="1224" t="n"/>
      <c r="AC468" s="1224" t="n"/>
    </row>
    <row r="469" ht="14.25" customHeight="1">
      <c r="A469" s="799" t="inlineStr">
        <is>
          <t>Сардельки</t>
        </is>
      </c>
      <c r="B469" s="800" t="n"/>
      <c r="C469" s="800" t="n"/>
      <c r="D469" s="800" t="n"/>
      <c r="E469" s="800" t="n"/>
      <c r="F469" s="800" t="n"/>
      <c r="G469" s="800" t="n"/>
      <c r="H469" s="800" t="n"/>
      <c r="I469" s="800" t="n"/>
      <c r="J469" s="800" t="n"/>
      <c r="K469" s="800" t="n"/>
      <c r="L469" s="800" t="n"/>
      <c r="M469" s="800" t="n"/>
      <c r="N469" s="800" t="n"/>
      <c r="O469" s="800" t="n"/>
      <c r="P469" s="800" t="n"/>
      <c r="Q469" s="800" t="n"/>
      <c r="R469" s="800" t="n"/>
      <c r="S469" s="800" t="n"/>
      <c r="T469" s="800" t="n"/>
      <c r="U469" s="800" t="n"/>
      <c r="V469" s="800" t="n"/>
      <c r="W469" s="800" t="n"/>
      <c r="X469" s="800" t="n"/>
      <c r="Y469" s="800" t="n"/>
      <c r="Z469" s="800" t="n"/>
      <c r="AA469" s="799" t="n"/>
      <c r="AB469" s="799" t="n"/>
      <c r="AC469" s="799" t="n"/>
    </row>
    <row r="470" ht="27" customHeight="1">
      <c r="A470" s="54" t="inlineStr">
        <is>
          <t>SU002472</t>
        </is>
      </c>
      <c r="B470" s="54" t="inlineStr">
        <is>
          <t>P004846</t>
        </is>
      </c>
      <c r="C470" s="31" t="n">
        <v>4301060441</v>
      </c>
      <c r="D470" s="782" t="n">
        <v>4607091389357</v>
      </c>
      <c r="E470" s="783" t="n"/>
      <c r="F470" s="1220" t="n">
        <v>1.5</v>
      </c>
      <c r="G470" s="32" t="n">
        <v>6</v>
      </c>
      <c r="H470" s="1220" t="n">
        <v>9</v>
      </c>
      <c r="I470" s="1220" t="n">
        <v>9.48</v>
      </c>
      <c r="J470" s="32" t="n">
        <v>56</v>
      </c>
      <c r="K470" s="32" t="inlineStr">
        <is>
          <t>8</t>
        </is>
      </c>
      <c r="L470" s="32" t="n"/>
      <c r="M470" s="33" t="inlineStr">
        <is>
          <t>СК3</t>
        </is>
      </c>
      <c r="N470" s="33" t="n"/>
      <c r="O470" s="32" t="n">
        <v>40</v>
      </c>
      <c r="P470" s="922" t="inlineStr">
        <is>
          <t>Сардельки «Левантские» Весовой п/а ТМ «Особый рецепт»</t>
        </is>
      </c>
      <c r="Q470" s="785" t="n"/>
      <c r="R470" s="785" t="n"/>
      <c r="S470" s="785" t="n"/>
      <c r="T470" s="786" t="n"/>
      <c r="U470" s="34" t="n"/>
      <c r="V470" s="34" t="n"/>
      <c r="W470" s="35" t="inlineStr">
        <is>
          <t>кг</t>
        </is>
      </c>
      <c r="X470" s="1221" t="n">
        <v>0</v>
      </c>
      <c r="Y470" s="1222">
        <f>IFERROR(IF(X470="",0,CEILING((X470/$H470),1)*$H470),"")</f>
        <v/>
      </c>
      <c r="Z470" s="36">
        <f>IFERROR(IF(Y470=0,"",ROUNDUP(Y470/H470,0)*0.02175),"")</f>
        <v/>
      </c>
      <c r="AA470" s="56" t="n"/>
      <c r="AB470" s="57" t="n"/>
      <c r="AC470" s="551" t="inlineStr">
        <is>
          <t>ЕАЭС N RU Д-RU.РА01.В.99587/24, ЕАЭС N RU Д-RU.РА01.В.99708/24</t>
        </is>
      </c>
      <c r="AG470" s="64" t="n"/>
      <c r="AJ470" s="68" t="n"/>
      <c r="AK470" s="68" t="n">
        <v>0</v>
      </c>
      <c r="BB470" s="552" t="inlineStr">
        <is>
          <t>КИ</t>
        </is>
      </c>
      <c r="BM470" s="64">
        <f>IFERROR(X470*I470/H470,"0")</f>
        <v/>
      </c>
      <c r="BN470" s="64">
        <f>IFERROR(Y470*I470/H470,"0")</f>
        <v/>
      </c>
      <c r="BO470" s="64">
        <f>IFERROR(1/J470*(X470/H470),"0")</f>
        <v/>
      </c>
      <c r="BP470" s="64">
        <f>IFERROR(1/J470*(Y470/H470),"0")</f>
        <v/>
      </c>
    </row>
    <row r="471">
      <c r="A471" s="801" t="n"/>
      <c r="B471" s="800" t="n"/>
      <c r="C471" s="800" t="n"/>
      <c r="D471" s="800" t="n"/>
      <c r="E471" s="800" t="n"/>
      <c r="F471" s="800" t="n"/>
      <c r="G471" s="800" t="n"/>
      <c r="H471" s="800" t="n"/>
      <c r="I471" s="800" t="n"/>
      <c r="J471" s="800" t="n"/>
      <c r="K471" s="800" t="n"/>
      <c r="L471" s="800" t="n"/>
      <c r="M471" s="800" t="n"/>
      <c r="N471" s="800" t="n"/>
      <c r="O471" s="802" t="n"/>
      <c r="P471" s="796" t="inlineStr">
        <is>
          <t>Итого</t>
        </is>
      </c>
      <c r="Q471" s="793" t="n"/>
      <c r="R471" s="793" t="n"/>
      <c r="S471" s="793" t="n"/>
      <c r="T471" s="793" t="n"/>
      <c r="U471" s="793" t="n"/>
      <c r="V471" s="794" t="n"/>
      <c r="W471" s="37" t="inlineStr">
        <is>
          <t>кор</t>
        </is>
      </c>
      <c r="X471" s="1223">
        <f>IFERROR(X470/H470,"0")</f>
        <v/>
      </c>
      <c r="Y471" s="1223">
        <f>IFERROR(Y470/H470,"0")</f>
        <v/>
      </c>
      <c r="Z471" s="1223">
        <f>IFERROR(IF(Z470="",0,Z470),"0")</f>
        <v/>
      </c>
      <c r="AA471" s="1224" t="n"/>
      <c r="AB471" s="1224" t="n"/>
      <c r="AC471" s="1224" t="n"/>
    </row>
    <row r="472">
      <c r="A472" s="800" t="n"/>
      <c r="B472" s="800" t="n"/>
      <c r="C472" s="800" t="n"/>
      <c r="D472" s="800" t="n"/>
      <c r="E472" s="800" t="n"/>
      <c r="F472" s="800" t="n"/>
      <c r="G472" s="800" t="n"/>
      <c r="H472" s="800" t="n"/>
      <c r="I472" s="800" t="n"/>
      <c r="J472" s="800" t="n"/>
      <c r="K472" s="800" t="n"/>
      <c r="L472" s="800" t="n"/>
      <c r="M472" s="800" t="n"/>
      <c r="N472" s="800" t="n"/>
      <c r="O472" s="802" t="n"/>
      <c r="P472" s="796" t="inlineStr">
        <is>
          <t>Итого</t>
        </is>
      </c>
      <c r="Q472" s="793" t="n"/>
      <c r="R472" s="793" t="n"/>
      <c r="S472" s="793" t="n"/>
      <c r="T472" s="793" t="n"/>
      <c r="U472" s="793" t="n"/>
      <c r="V472" s="794" t="n"/>
      <c r="W472" s="37" t="inlineStr">
        <is>
          <t>кг</t>
        </is>
      </c>
      <c r="X472" s="1223">
        <f>IFERROR(SUM(X470:X470),"0")</f>
        <v/>
      </c>
      <c r="Y472" s="1223">
        <f>IFERROR(SUM(Y470:Y470),"0")</f>
        <v/>
      </c>
      <c r="Z472" s="37" t="n"/>
      <c r="AA472" s="1224" t="n"/>
      <c r="AB472" s="1224" t="n"/>
      <c r="AC472" s="1224" t="n"/>
    </row>
    <row r="473" ht="27.75" customHeight="1">
      <c r="A473" s="900" t="inlineStr">
        <is>
          <t>Баварушка</t>
        </is>
      </c>
      <c r="B473" s="901" t="n"/>
      <c r="C473" s="901" t="n"/>
      <c r="D473" s="901" t="n"/>
      <c r="E473" s="901" t="n"/>
      <c r="F473" s="901" t="n"/>
      <c r="G473" s="901" t="n"/>
      <c r="H473" s="901" t="n"/>
      <c r="I473" s="901" t="n"/>
      <c r="J473" s="901" t="n"/>
      <c r="K473" s="901" t="n"/>
      <c r="L473" s="901" t="n"/>
      <c r="M473" s="901" t="n"/>
      <c r="N473" s="901" t="n"/>
      <c r="O473" s="901" t="n"/>
      <c r="P473" s="901" t="n"/>
      <c r="Q473" s="901" t="n"/>
      <c r="R473" s="901" t="n"/>
      <c r="S473" s="901" t="n"/>
      <c r="T473" s="901" t="n"/>
      <c r="U473" s="901" t="n"/>
      <c r="V473" s="901" t="n"/>
      <c r="W473" s="901" t="n"/>
      <c r="X473" s="901" t="n"/>
      <c r="Y473" s="901" t="n"/>
      <c r="Z473" s="901" t="n"/>
      <c r="AA473" s="48" t="n"/>
      <c r="AB473" s="48" t="n"/>
      <c r="AC473" s="48" t="n"/>
    </row>
    <row r="474" ht="16.5" customHeight="1">
      <c r="A474" s="807" t="inlineStr">
        <is>
          <t>Филейбургская</t>
        </is>
      </c>
      <c r="B474" s="800" t="n"/>
      <c r="C474" s="800" t="n"/>
      <c r="D474" s="800" t="n"/>
      <c r="E474" s="800" t="n"/>
      <c r="F474" s="800" t="n"/>
      <c r="G474" s="800" t="n"/>
      <c r="H474" s="800" t="n"/>
      <c r="I474" s="800" t="n"/>
      <c r="J474" s="800" t="n"/>
      <c r="K474" s="800" t="n"/>
      <c r="L474" s="800" t="n"/>
      <c r="M474" s="800" t="n"/>
      <c r="N474" s="800" t="n"/>
      <c r="O474" s="800" t="n"/>
      <c r="P474" s="800" t="n"/>
      <c r="Q474" s="800" t="n"/>
      <c r="R474" s="800" t="n"/>
      <c r="S474" s="800" t="n"/>
      <c r="T474" s="800" t="n"/>
      <c r="U474" s="800" t="n"/>
      <c r="V474" s="800" t="n"/>
      <c r="W474" s="800" t="n"/>
      <c r="X474" s="800" t="n"/>
      <c r="Y474" s="800" t="n"/>
      <c r="Z474" s="800" t="n"/>
      <c r="AA474" s="807" t="n"/>
      <c r="AB474" s="807" t="n"/>
      <c r="AC474" s="807" t="n"/>
    </row>
    <row r="475" ht="14.25" customHeight="1">
      <c r="A475" s="799" t="inlineStr">
        <is>
          <t>Вареные колбасы</t>
        </is>
      </c>
      <c r="B475" s="800" t="n"/>
      <c r="C475" s="800" t="n"/>
      <c r="D475" s="800" t="n"/>
      <c r="E475" s="800" t="n"/>
      <c r="F475" s="800" t="n"/>
      <c r="G475" s="800" t="n"/>
      <c r="H475" s="800" t="n"/>
      <c r="I475" s="800" t="n"/>
      <c r="J475" s="800" t="n"/>
      <c r="K475" s="800" t="n"/>
      <c r="L475" s="800" t="n"/>
      <c r="M475" s="800" t="n"/>
      <c r="N475" s="800" t="n"/>
      <c r="O475" s="800" t="n"/>
      <c r="P475" s="800" t="n"/>
      <c r="Q475" s="800" t="n"/>
      <c r="R475" s="800" t="n"/>
      <c r="S475" s="800" t="n"/>
      <c r="T475" s="800" t="n"/>
      <c r="U475" s="800" t="n"/>
      <c r="V475" s="800" t="n"/>
      <c r="W475" s="800" t="n"/>
      <c r="X475" s="800" t="n"/>
      <c r="Y475" s="800" t="n"/>
      <c r="Z475" s="800" t="n"/>
      <c r="AA475" s="799" t="n"/>
      <c r="AB475" s="799" t="n"/>
      <c r="AC475" s="799" t="n"/>
    </row>
    <row r="476" ht="27" customHeight="1">
      <c r="A476" s="54" t="inlineStr">
        <is>
          <t>SU002477</t>
        </is>
      </c>
      <c r="B476" s="54" t="inlineStr">
        <is>
          <t>P003148</t>
        </is>
      </c>
      <c r="C476" s="31" t="n">
        <v>4301011428</v>
      </c>
      <c r="D476" s="782" t="n">
        <v>4607091389708</v>
      </c>
      <c r="E476" s="783" t="n"/>
      <c r="F476" s="1220" t="n">
        <v>0.45</v>
      </c>
      <c r="G476" s="32" t="n">
        <v>6</v>
      </c>
      <c r="H476" s="1220" t="n">
        <v>2.7</v>
      </c>
      <c r="I476" s="1220" t="n">
        <v>2.88</v>
      </c>
      <c r="J476" s="32" t="n">
        <v>182</v>
      </c>
      <c r="K476" s="32" t="inlineStr">
        <is>
          <t>14</t>
        </is>
      </c>
      <c r="L476" s="32" t="n"/>
      <c r="M476" s="33" t="inlineStr">
        <is>
          <t>СК1</t>
        </is>
      </c>
      <c r="N476" s="33" t="n"/>
      <c r="O476" s="32" t="n">
        <v>50</v>
      </c>
      <c r="P476" s="1144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Q476" s="785" t="n"/>
      <c r="R476" s="785" t="n"/>
      <c r="S476" s="785" t="n"/>
      <c r="T476" s="786" t="n"/>
      <c r="U476" s="34" t="n"/>
      <c r="V476" s="34" t="n"/>
      <c r="W476" s="35" t="inlineStr">
        <is>
          <t>кг</t>
        </is>
      </c>
      <c r="X476" s="1221" t="n">
        <v>0</v>
      </c>
      <c r="Y476" s="1222">
        <f>IFERROR(IF(X476="",0,CEILING((X476/$H476),1)*$H476),"")</f>
        <v/>
      </c>
      <c r="Z476" s="36">
        <f>IFERROR(IF(Y476=0,"",ROUNDUP(Y476/H476,0)*0.00651),"")</f>
        <v/>
      </c>
      <c r="AA476" s="56" t="n"/>
      <c r="AB476" s="57" t="n"/>
      <c r="AC476" s="553" t="inlineStr">
        <is>
          <t>ЕАЭС N RU Д-RU.РА03.В.53986/21</t>
        </is>
      </c>
      <c r="AG476" s="64" t="n"/>
      <c r="AJ476" s="68" t="n"/>
      <c r="AK476" s="68" t="n">
        <v>0</v>
      </c>
      <c r="BB476" s="554" t="inlineStr">
        <is>
          <t>КИ</t>
        </is>
      </c>
      <c r="BM476" s="64">
        <f>IFERROR(X476*I476/H476,"0")</f>
        <v/>
      </c>
      <c r="BN476" s="64">
        <f>IFERROR(Y476*I476/H476,"0")</f>
        <v/>
      </c>
      <c r="BO476" s="64">
        <f>IFERROR(1/J476*(X476/H476),"0")</f>
        <v/>
      </c>
      <c r="BP476" s="64">
        <f>IFERROR(1/J476*(Y476/H476),"0")</f>
        <v/>
      </c>
    </row>
    <row r="477">
      <c r="A477" s="801" t="n"/>
      <c r="B477" s="800" t="n"/>
      <c r="C477" s="800" t="n"/>
      <c r="D477" s="800" t="n"/>
      <c r="E477" s="800" t="n"/>
      <c r="F477" s="800" t="n"/>
      <c r="G477" s="800" t="n"/>
      <c r="H477" s="800" t="n"/>
      <c r="I477" s="800" t="n"/>
      <c r="J477" s="800" t="n"/>
      <c r="K477" s="800" t="n"/>
      <c r="L477" s="800" t="n"/>
      <c r="M477" s="800" t="n"/>
      <c r="N477" s="800" t="n"/>
      <c r="O477" s="802" t="n"/>
      <c r="P477" s="796" t="inlineStr">
        <is>
          <t>Итого</t>
        </is>
      </c>
      <c r="Q477" s="793" t="n"/>
      <c r="R477" s="793" t="n"/>
      <c r="S477" s="793" t="n"/>
      <c r="T477" s="793" t="n"/>
      <c r="U477" s="793" t="n"/>
      <c r="V477" s="794" t="n"/>
      <c r="W477" s="37" t="inlineStr">
        <is>
          <t>кор</t>
        </is>
      </c>
      <c r="X477" s="1223">
        <f>IFERROR(X476/H476,"0")</f>
        <v/>
      </c>
      <c r="Y477" s="1223">
        <f>IFERROR(Y476/H476,"0")</f>
        <v/>
      </c>
      <c r="Z477" s="1223">
        <f>IFERROR(IF(Z476="",0,Z476),"0")</f>
        <v/>
      </c>
      <c r="AA477" s="1224" t="n"/>
      <c r="AB477" s="1224" t="n"/>
      <c r="AC477" s="1224" t="n"/>
    </row>
    <row r="478">
      <c r="A478" s="800" t="n"/>
      <c r="B478" s="800" t="n"/>
      <c r="C478" s="800" t="n"/>
      <c r="D478" s="800" t="n"/>
      <c r="E478" s="800" t="n"/>
      <c r="F478" s="800" t="n"/>
      <c r="G478" s="800" t="n"/>
      <c r="H478" s="800" t="n"/>
      <c r="I478" s="800" t="n"/>
      <c r="J478" s="800" t="n"/>
      <c r="K478" s="800" t="n"/>
      <c r="L478" s="800" t="n"/>
      <c r="M478" s="800" t="n"/>
      <c r="N478" s="800" t="n"/>
      <c r="O478" s="802" t="n"/>
      <c r="P478" s="796" t="inlineStr">
        <is>
          <t>Итого</t>
        </is>
      </c>
      <c r="Q478" s="793" t="n"/>
      <c r="R478" s="793" t="n"/>
      <c r="S478" s="793" t="n"/>
      <c r="T478" s="793" t="n"/>
      <c r="U478" s="793" t="n"/>
      <c r="V478" s="794" t="n"/>
      <c r="W478" s="37" t="inlineStr">
        <is>
          <t>кг</t>
        </is>
      </c>
      <c r="X478" s="1223">
        <f>IFERROR(SUM(X476:X476),"0")</f>
        <v/>
      </c>
      <c r="Y478" s="1223">
        <f>IFERROR(SUM(Y476:Y476),"0")</f>
        <v/>
      </c>
      <c r="Z478" s="37" t="n"/>
      <c r="AA478" s="1224" t="n"/>
      <c r="AB478" s="1224" t="n"/>
      <c r="AC478" s="1224" t="n"/>
    </row>
    <row r="479" ht="14.25" customHeight="1">
      <c r="A479" s="799" t="inlineStr">
        <is>
          <t>Копченые колбасы</t>
        </is>
      </c>
      <c r="B479" s="800" t="n"/>
      <c r="C479" s="800" t="n"/>
      <c r="D479" s="800" t="n"/>
      <c r="E479" s="800" t="n"/>
      <c r="F479" s="800" t="n"/>
      <c r="G479" s="800" t="n"/>
      <c r="H479" s="800" t="n"/>
      <c r="I479" s="800" t="n"/>
      <c r="J479" s="800" t="n"/>
      <c r="K479" s="800" t="n"/>
      <c r="L479" s="800" t="n"/>
      <c r="M479" s="800" t="n"/>
      <c r="N479" s="800" t="n"/>
      <c r="O479" s="800" t="n"/>
      <c r="P479" s="800" t="n"/>
      <c r="Q479" s="800" t="n"/>
      <c r="R479" s="800" t="n"/>
      <c r="S479" s="800" t="n"/>
      <c r="T479" s="800" t="n"/>
      <c r="U479" s="800" t="n"/>
      <c r="V479" s="800" t="n"/>
      <c r="W479" s="800" t="n"/>
      <c r="X479" s="800" t="n"/>
      <c r="Y479" s="800" t="n"/>
      <c r="Z479" s="800" t="n"/>
      <c r="AA479" s="799" t="n"/>
      <c r="AB479" s="799" t="n"/>
      <c r="AC479" s="799" t="n"/>
    </row>
    <row r="480" ht="27" customHeight="1">
      <c r="A480" s="54" t="inlineStr">
        <is>
          <t>SU002614</t>
        </is>
      </c>
      <c r="B480" s="54" t="inlineStr">
        <is>
          <t>P004898</t>
        </is>
      </c>
      <c r="C480" s="31" t="n">
        <v>4301031405</v>
      </c>
      <c r="D480" s="782" t="n">
        <v>4680115886100</v>
      </c>
      <c r="E480" s="783" t="n"/>
      <c r="F480" s="1220" t="n">
        <v>0.9</v>
      </c>
      <c r="G480" s="32" t="n">
        <v>6</v>
      </c>
      <c r="H480" s="1220" t="n">
        <v>5.4</v>
      </c>
      <c r="I480" s="1220" t="n">
        <v>5.61</v>
      </c>
      <c r="J480" s="32" t="n">
        <v>132</v>
      </c>
      <c r="K480" s="32" t="inlineStr">
        <is>
          <t>12</t>
        </is>
      </c>
      <c r="L480" s="32" t="n"/>
      <c r="M480" s="33" t="inlineStr">
        <is>
          <t>СК2</t>
        </is>
      </c>
      <c r="N480" s="33" t="n"/>
      <c r="O480" s="32" t="n">
        <v>50</v>
      </c>
      <c r="P480" s="1091" t="inlineStr">
        <is>
          <t>Копченые колбасы «Салями Филейбургская зернистая» Весовой фиброуз ТМ «Баварушка»</t>
        </is>
      </c>
      <c r="Q480" s="785" t="n"/>
      <c r="R480" s="785" t="n"/>
      <c r="S480" s="785" t="n"/>
      <c r="T480" s="786" t="n"/>
      <c r="U480" s="34" t="n"/>
      <c r="V480" s="34" t="n"/>
      <c r="W480" s="35" t="inlineStr">
        <is>
          <t>кг</t>
        </is>
      </c>
      <c r="X480" s="1221" t="n">
        <v>0</v>
      </c>
      <c r="Y480" s="1222">
        <f>IFERROR(IF(X480="",0,CEILING((X480/$H480),1)*$H480),"")</f>
        <v/>
      </c>
      <c r="Z480" s="36">
        <f>IFERROR(IF(Y480=0,"",ROUNDUP(Y480/H480,0)*0.00902),"")</f>
        <v/>
      </c>
      <c r="AA480" s="56" t="n"/>
      <c r="AB480" s="57" t="n"/>
      <c r="AC480" s="555" t="inlineStr">
        <is>
          <t>ЕАЭС N RU Д-RU.РА02.В.65596/23</t>
        </is>
      </c>
      <c r="AG480" s="64" t="n"/>
      <c r="AJ480" s="68" t="n"/>
      <c r="AK480" s="68" t="n">
        <v>0</v>
      </c>
      <c r="BB480" s="556" t="inlineStr">
        <is>
          <t>КИ</t>
        </is>
      </c>
      <c r="BM480" s="64">
        <f>IFERROR(X480*I480/H480,"0")</f>
        <v/>
      </c>
      <c r="BN480" s="64">
        <f>IFERROR(Y480*I480/H480,"0")</f>
        <v/>
      </c>
      <c r="BO480" s="64">
        <f>IFERROR(1/J480*(X480/H480),"0")</f>
        <v/>
      </c>
      <c r="BP480" s="64">
        <f>IFERROR(1/J480*(Y480/H480),"0")</f>
        <v/>
      </c>
    </row>
    <row r="481" ht="27" customHeight="1">
      <c r="A481" s="54" t="inlineStr">
        <is>
          <t>SU002614</t>
        </is>
      </c>
      <c r="B481" s="54" t="inlineStr">
        <is>
          <t>P004329</t>
        </is>
      </c>
      <c r="C481" s="31" t="n">
        <v>4301031322</v>
      </c>
      <c r="D481" s="782" t="n">
        <v>4607091389753</v>
      </c>
      <c r="E481" s="783" t="n"/>
      <c r="F481" s="1220" t="n">
        <v>0.7</v>
      </c>
      <c r="G481" s="32" t="n">
        <v>6</v>
      </c>
      <c r="H481" s="1220" t="n">
        <v>4.2</v>
      </c>
      <c r="I481" s="1220" t="n">
        <v>4.44</v>
      </c>
      <c r="J481" s="32" t="n">
        <v>132</v>
      </c>
      <c r="K481" s="32" t="inlineStr">
        <is>
          <t>12</t>
        </is>
      </c>
      <c r="L481" s="32" t="n"/>
      <c r="M481" s="33" t="inlineStr">
        <is>
          <t>СК2</t>
        </is>
      </c>
      <c r="N481" s="33" t="n"/>
      <c r="O481" s="32" t="n">
        <v>50</v>
      </c>
      <c r="P481" s="1216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/>
      </c>
      <c r="Q481" s="785" t="n"/>
      <c r="R481" s="785" t="n"/>
      <c r="S481" s="785" t="n"/>
      <c r="T481" s="786" t="n"/>
      <c r="U481" s="34" t="n"/>
      <c r="V481" s="34" t="n"/>
      <c r="W481" s="35" t="inlineStr">
        <is>
          <t>кг</t>
        </is>
      </c>
      <c r="X481" s="1221" t="n">
        <v>0</v>
      </c>
      <c r="Y481" s="1222">
        <f>IFERROR(IF(X481="",0,CEILING((X481/$H481),1)*$H481),"")</f>
        <v/>
      </c>
      <c r="Z481" s="36">
        <f>IFERROR(IF(Y481=0,"",ROUNDUP(Y481/H481,0)*0.00902),"")</f>
        <v/>
      </c>
      <c r="AA481" s="56" t="n"/>
      <c r="AB481" s="57" t="n"/>
      <c r="AC481" s="557" t="inlineStr">
        <is>
          <t>ЕАЭС N RU Д-RU.РА02.В.65596/23</t>
        </is>
      </c>
      <c r="AG481" s="64" t="n"/>
      <c r="AJ481" s="68" t="n"/>
      <c r="AK481" s="68" t="n">
        <v>0</v>
      </c>
      <c r="BB481" s="558" t="inlineStr">
        <is>
          <t>КИ</t>
        </is>
      </c>
      <c r="BM481" s="64">
        <f>IFERROR(X481*I481/H481,"0")</f>
        <v/>
      </c>
      <c r="BN481" s="64">
        <f>IFERROR(Y481*I481/H481,"0")</f>
        <v/>
      </c>
      <c r="BO481" s="64">
        <f>IFERROR(1/J481*(X481/H481),"0")</f>
        <v/>
      </c>
      <c r="BP481" s="64">
        <f>IFERROR(1/J481*(Y481/H481),"0")</f>
        <v/>
      </c>
    </row>
    <row r="482" ht="27" customHeight="1">
      <c r="A482" s="54" t="inlineStr">
        <is>
          <t>SU002614</t>
        </is>
      </c>
      <c r="B482" s="54" t="inlineStr">
        <is>
          <t>P004515</t>
        </is>
      </c>
      <c r="C482" s="31" t="n">
        <v>4301031355</v>
      </c>
      <c r="D482" s="782" t="n">
        <v>4607091389753</v>
      </c>
      <c r="E482" s="783" t="n"/>
      <c r="F482" s="1220" t="n">
        <v>0.7</v>
      </c>
      <c r="G482" s="32" t="n">
        <v>6</v>
      </c>
      <c r="H482" s="1220" t="n">
        <v>4.2</v>
      </c>
      <c r="I482" s="1220" t="n">
        <v>4.44</v>
      </c>
      <c r="J482" s="32" t="n">
        <v>132</v>
      </c>
      <c r="K482" s="32" t="inlineStr">
        <is>
          <t>12</t>
        </is>
      </c>
      <c r="L482" s="32" t="n"/>
      <c r="M482" s="33" t="inlineStr">
        <is>
          <t>СК2</t>
        </is>
      </c>
      <c r="N482" s="33" t="n"/>
      <c r="O482" s="32" t="n">
        <v>50</v>
      </c>
      <c r="P482" s="1137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/>
      </c>
      <c r="Q482" s="785" t="n"/>
      <c r="R482" s="785" t="n"/>
      <c r="S482" s="785" t="n"/>
      <c r="T482" s="786" t="n"/>
      <c r="U482" s="34" t="n"/>
      <c r="V482" s="34" t="n"/>
      <c r="W482" s="35" t="inlineStr">
        <is>
          <t>кг</t>
        </is>
      </c>
      <c r="X482" s="1221" t="n">
        <v>0</v>
      </c>
      <c r="Y482" s="1222">
        <f>IFERROR(IF(X482="",0,CEILING((X482/$H482),1)*$H482),"")</f>
        <v/>
      </c>
      <c r="Z482" s="36">
        <f>IFERROR(IF(Y482=0,"",ROUNDUP(Y482/H482,0)*0.00902),"")</f>
        <v/>
      </c>
      <c r="AA482" s="56" t="n"/>
      <c r="AB482" s="57" t="n"/>
      <c r="AC482" s="559" t="inlineStr">
        <is>
          <t>ЕАЭС N RU Д-RU.РА02.В.65596/23</t>
        </is>
      </c>
      <c r="AG482" s="64" t="n"/>
      <c r="AJ482" s="68" t="n"/>
      <c r="AK482" s="68" t="n">
        <v>0</v>
      </c>
      <c r="BB482" s="560" t="inlineStr">
        <is>
          <t>КИ</t>
        </is>
      </c>
      <c r="BM482" s="64">
        <f>IFERROR(X482*I482/H482,"0")</f>
        <v/>
      </c>
      <c r="BN482" s="64">
        <f>IFERROR(Y482*I482/H482,"0")</f>
        <v/>
      </c>
      <c r="BO482" s="64">
        <f>IFERROR(1/J482*(X482/H482),"0")</f>
        <v/>
      </c>
      <c r="BP482" s="64">
        <f>IFERROR(1/J482*(Y482/H482),"0")</f>
        <v/>
      </c>
    </row>
    <row r="483" ht="27" customHeight="1">
      <c r="A483" s="54" t="inlineStr">
        <is>
          <t>SU002615</t>
        </is>
      </c>
      <c r="B483" s="54" t="inlineStr">
        <is>
          <t>P004687</t>
        </is>
      </c>
      <c r="C483" s="31" t="n">
        <v>4301031382</v>
      </c>
      <c r="D483" s="782" t="n">
        <v>4680115886117</v>
      </c>
      <c r="E483" s="783" t="n"/>
      <c r="F483" s="1220" t="n">
        <v>0.9</v>
      </c>
      <c r="G483" s="32" t="n">
        <v>6</v>
      </c>
      <c r="H483" s="1220" t="n">
        <v>5.4</v>
      </c>
      <c r="I483" s="1220" t="n">
        <v>5.61</v>
      </c>
      <c r="J483" s="32" t="n">
        <v>120</v>
      </c>
      <c r="K483" s="32" t="inlineStr">
        <is>
          <t>12</t>
        </is>
      </c>
      <c r="L483" s="32" t="n"/>
      <c r="M483" s="33" t="inlineStr">
        <is>
          <t>СК2</t>
        </is>
      </c>
      <c r="N483" s="33" t="n"/>
      <c r="O483" s="32" t="n">
        <v>50</v>
      </c>
      <c r="P483" s="911" t="inlineStr">
        <is>
          <t>Копченые колбасы «Филейбургская с душистым чесноком» Весовой фиброуз ТМ «Баварушка»</t>
        </is>
      </c>
      <c r="Q483" s="785" t="n"/>
      <c r="R483" s="785" t="n"/>
      <c r="S483" s="785" t="n"/>
      <c r="T483" s="786" t="n"/>
      <c r="U483" s="34" t="n"/>
      <c r="V483" s="34" t="n"/>
      <c r="W483" s="35" t="inlineStr">
        <is>
          <t>кг</t>
        </is>
      </c>
      <c r="X483" s="1221" t="n">
        <v>0</v>
      </c>
      <c r="Y483" s="1222">
        <f>IFERROR(IF(X483="",0,CEILING((X483/$H483),1)*$H483),"")</f>
        <v/>
      </c>
      <c r="Z483" s="36">
        <f>IFERROR(IF(Y483=0,"",ROUNDUP(Y483/H483,0)*0.00937),"")</f>
        <v/>
      </c>
      <c r="AA483" s="56" t="n"/>
      <c r="AB483" s="57" t="n"/>
      <c r="AC483" s="561" t="inlineStr">
        <is>
          <t>ЕАЭС N RU Д-RU.РА02.В.66942/23</t>
        </is>
      </c>
      <c r="AG483" s="64" t="n"/>
      <c r="AJ483" s="68" t="n"/>
      <c r="AK483" s="68" t="n">
        <v>0</v>
      </c>
      <c r="BB483" s="562" t="inlineStr">
        <is>
          <t>КИ</t>
        </is>
      </c>
      <c r="BM483" s="64">
        <f>IFERROR(X483*I483/H483,"0")</f>
        <v/>
      </c>
      <c r="BN483" s="64">
        <f>IFERROR(Y483*I483/H483,"0")</f>
        <v/>
      </c>
      <c r="BO483" s="64">
        <f>IFERROR(1/J483*(X483/H483),"0")</f>
        <v/>
      </c>
      <c r="BP483" s="64">
        <f>IFERROR(1/J483*(Y483/H483),"0")</f>
        <v/>
      </c>
    </row>
    <row r="484" ht="27" customHeight="1">
      <c r="A484" s="54" t="inlineStr">
        <is>
          <t>SU002615</t>
        </is>
      </c>
      <c r="B484" s="54" t="inlineStr">
        <is>
          <t>P004899</t>
        </is>
      </c>
      <c r="C484" s="31" t="n">
        <v>4301031406</v>
      </c>
      <c r="D484" s="782" t="n">
        <v>4680115886117</v>
      </c>
      <c r="E484" s="783" t="n"/>
      <c r="F484" s="1220" t="n">
        <v>0.9</v>
      </c>
      <c r="G484" s="32" t="n">
        <v>6</v>
      </c>
      <c r="H484" s="1220" t="n">
        <v>5.4</v>
      </c>
      <c r="I484" s="1220" t="n">
        <v>5.61</v>
      </c>
      <c r="J484" s="32" t="n">
        <v>132</v>
      </c>
      <c r="K484" s="32" t="inlineStr">
        <is>
          <t>12</t>
        </is>
      </c>
      <c r="L484" s="32" t="n"/>
      <c r="M484" s="33" t="inlineStr">
        <is>
          <t>СК2</t>
        </is>
      </c>
      <c r="N484" s="33" t="n"/>
      <c r="O484" s="32" t="n">
        <v>50</v>
      </c>
      <c r="P484" s="836" t="inlineStr">
        <is>
          <t>Копченые колбасы «Филейбургская с душистым чесноком» Весовой фиброуз ТМ «Баварушка»</t>
        </is>
      </c>
      <c r="Q484" s="785" t="n"/>
      <c r="R484" s="785" t="n"/>
      <c r="S484" s="785" t="n"/>
      <c r="T484" s="786" t="n"/>
      <c r="U484" s="34" t="n"/>
      <c r="V484" s="34" t="n"/>
      <c r="W484" s="35" t="inlineStr">
        <is>
          <t>кг</t>
        </is>
      </c>
      <c r="X484" s="1221" t="n">
        <v>0</v>
      </c>
      <c r="Y484" s="1222">
        <f>IFERROR(IF(X484="",0,CEILING((X484/$H484),1)*$H484),"")</f>
        <v/>
      </c>
      <c r="Z484" s="36">
        <f>IFERROR(IF(Y484=0,"",ROUNDUP(Y484/H484,0)*0.00902),"")</f>
        <v/>
      </c>
      <c r="AA484" s="56" t="n"/>
      <c r="AB484" s="57" t="n"/>
      <c r="AC484" s="563" t="inlineStr">
        <is>
          <t>ЕАЭС N RU Д-RU.РА02.В.66942/23</t>
        </is>
      </c>
      <c r="AG484" s="64" t="n"/>
      <c r="AJ484" s="68" t="n"/>
      <c r="AK484" s="68" t="n">
        <v>0</v>
      </c>
      <c r="BB484" s="564" t="inlineStr">
        <is>
          <t>КИ</t>
        </is>
      </c>
      <c r="BM484" s="64">
        <f>IFERROR(X484*I484/H484,"0")</f>
        <v/>
      </c>
      <c r="BN484" s="64">
        <f>IFERROR(Y484*I484/H484,"0")</f>
        <v/>
      </c>
      <c r="BO484" s="64">
        <f>IFERROR(1/J484*(X484/H484),"0")</f>
        <v/>
      </c>
      <c r="BP484" s="64">
        <f>IFERROR(1/J484*(Y484/H484),"0")</f>
        <v/>
      </c>
    </row>
    <row r="485" ht="27" customHeight="1">
      <c r="A485" s="54" t="inlineStr">
        <is>
          <t>SU002615</t>
        </is>
      </c>
      <c r="B485" s="54" t="inlineStr">
        <is>
          <t>P004332</t>
        </is>
      </c>
      <c r="C485" s="31" t="n">
        <v>4301031323</v>
      </c>
      <c r="D485" s="782" t="n">
        <v>4607091389760</v>
      </c>
      <c r="E485" s="783" t="n"/>
      <c r="F485" s="1220" t="n">
        <v>0.7</v>
      </c>
      <c r="G485" s="32" t="n">
        <v>6</v>
      </c>
      <c r="H485" s="1220" t="n">
        <v>4.2</v>
      </c>
      <c r="I485" s="1220" t="n">
        <v>4.44</v>
      </c>
      <c r="J485" s="32" t="n">
        <v>132</v>
      </c>
      <c r="K485" s="32" t="inlineStr">
        <is>
          <t>12</t>
        </is>
      </c>
      <c r="L485" s="32" t="n"/>
      <c r="M485" s="33" t="inlineStr">
        <is>
          <t>СК2</t>
        </is>
      </c>
      <c r="N485" s="33" t="n"/>
      <c r="O485" s="32" t="n">
        <v>50</v>
      </c>
      <c r="P485" s="966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/>
      </c>
      <c r="Q485" s="785" t="n"/>
      <c r="R485" s="785" t="n"/>
      <c r="S485" s="785" t="n"/>
      <c r="T485" s="786" t="n"/>
      <c r="U485" s="34" t="n"/>
      <c r="V485" s="34" t="n"/>
      <c r="W485" s="35" t="inlineStr">
        <is>
          <t>кг</t>
        </is>
      </c>
      <c r="X485" s="1221" t="n">
        <v>0</v>
      </c>
      <c r="Y485" s="1222">
        <f>IFERROR(IF(X485="",0,CEILING((X485/$H485),1)*$H485),"")</f>
        <v/>
      </c>
      <c r="Z485" s="36">
        <f>IFERROR(IF(Y485=0,"",ROUNDUP(Y485/H485,0)*0.00902),"")</f>
        <v/>
      </c>
      <c r="AA485" s="56" t="n"/>
      <c r="AB485" s="57" t="n"/>
      <c r="AC485" s="565" t="inlineStr">
        <is>
          <t>ЕАЭС N RU Д-RU.РА02.В.66942/23</t>
        </is>
      </c>
      <c r="AG485" s="64" t="n"/>
      <c r="AJ485" s="68" t="n"/>
      <c r="AK485" s="68" t="n">
        <v>0</v>
      </c>
      <c r="BB485" s="566" t="inlineStr">
        <is>
          <t>КИ</t>
        </is>
      </c>
      <c r="BM485" s="64">
        <f>IFERROR(X485*I485/H485,"0")</f>
        <v/>
      </c>
      <c r="BN485" s="64">
        <f>IFERROR(Y485*I485/H485,"0")</f>
        <v/>
      </c>
      <c r="BO485" s="64">
        <f>IFERROR(1/J485*(X485/H485),"0")</f>
        <v/>
      </c>
      <c r="BP485" s="64">
        <f>IFERROR(1/J485*(Y485/H485),"0")</f>
        <v/>
      </c>
    </row>
    <row r="486" ht="27" customHeight="1">
      <c r="A486" s="54" t="inlineStr">
        <is>
          <t>SU002613</t>
        </is>
      </c>
      <c r="B486" s="54" t="inlineStr">
        <is>
          <t>P004336</t>
        </is>
      </c>
      <c r="C486" s="31" t="n">
        <v>4301031325</v>
      </c>
      <c r="D486" s="782" t="n">
        <v>4607091389746</v>
      </c>
      <c r="E486" s="783" t="n"/>
      <c r="F486" s="1220" t="n">
        <v>0.7</v>
      </c>
      <c r="G486" s="32" t="n">
        <v>6</v>
      </c>
      <c r="H486" s="1220" t="n">
        <v>4.2</v>
      </c>
      <c r="I486" s="1220" t="n">
        <v>4.44</v>
      </c>
      <c r="J486" s="32" t="n">
        <v>132</v>
      </c>
      <c r="K486" s="32" t="inlineStr">
        <is>
          <t>12</t>
        </is>
      </c>
      <c r="L486" s="32" t="n"/>
      <c r="M486" s="33" t="inlineStr">
        <is>
          <t>СК2</t>
        </is>
      </c>
      <c r="N486" s="33" t="n"/>
      <c r="O486" s="32" t="n">
        <v>50</v>
      </c>
      <c r="P486" s="856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/>
      </c>
      <c r="Q486" s="785" t="n"/>
      <c r="R486" s="785" t="n"/>
      <c r="S486" s="785" t="n"/>
      <c r="T486" s="786" t="n"/>
      <c r="U486" s="34" t="n"/>
      <c r="V486" s="34" t="n"/>
      <c r="W486" s="35" t="inlineStr">
        <is>
          <t>кг</t>
        </is>
      </c>
      <c r="X486" s="1221" t="n">
        <v>0</v>
      </c>
      <c r="Y486" s="1222">
        <f>IFERROR(IF(X486="",0,CEILING((X486/$H486),1)*$H486),"")</f>
        <v/>
      </c>
      <c r="Z486" s="36">
        <f>IFERROR(IF(Y486=0,"",ROUNDUP(Y486/H486,0)*0.00902),"")</f>
        <v/>
      </c>
      <c r="AA486" s="56" t="n"/>
      <c r="AB486" s="57" t="n"/>
      <c r="AC486" s="567" t="inlineStr">
        <is>
          <t>ЕАЭС N RU Д-RU.РА02.В.66906/23</t>
        </is>
      </c>
      <c r="AG486" s="64" t="n"/>
      <c r="AJ486" s="68" t="n"/>
      <c r="AK486" s="68" t="n">
        <v>0</v>
      </c>
      <c r="BB486" s="568" t="inlineStr">
        <is>
          <t>КИ</t>
        </is>
      </c>
      <c r="BM486" s="64">
        <f>IFERROR(X486*I486/H486,"0")</f>
        <v/>
      </c>
      <c r="BN486" s="64">
        <f>IFERROR(Y486*I486/H486,"0")</f>
        <v/>
      </c>
      <c r="BO486" s="64">
        <f>IFERROR(1/J486*(X486/H486),"0")</f>
        <v/>
      </c>
      <c r="BP486" s="64">
        <f>IFERROR(1/J486*(Y486/H486),"0")</f>
        <v/>
      </c>
    </row>
    <row r="487" ht="27" customHeight="1">
      <c r="A487" s="54" t="inlineStr">
        <is>
          <t>SU002613</t>
        </is>
      </c>
      <c r="B487" s="54" t="inlineStr">
        <is>
          <t>P004514</t>
        </is>
      </c>
      <c r="C487" s="31" t="n">
        <v>4301031356</v>
      </c>
      <c r="D487" s="782" t="n">
        <v>4607091389746</v>
      </c>
      <c r="E487" s="783" t="n"/>
      <c r="F487" s="1220" t="n">
        <v>0.7</v>
      </c>
      <c r="G487" s="32" t="n">
        <v>6</v>
      </c>
      <c r="H487" s="1220" t="n">
        <v>4.2</v>
      </c>
      <c r="I487" s="1220" t="n">
        <v>4.44</v>
      </c>
      <c r="J487" s="32" t="n">
        <v>132</v>
      </c>
      <c r="K487" s="32" t="inlineStr">
        <is>
          <t>12</t>
        </is>
      </c>
      <c r="L487" s="32" t="n"/>
      <c r="M487" s="33" t="inlineStr">
        <is>
          <t>СК2</t>
        </is>
      </c>
      <c r="N487" s="33" t="n"/>
      <c r="O487" s="32" t="n">
        <v>50</v>
      </c>
      <c r="P487" s="971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/>
      </c>
      <c r="Q487" s="785" t="n"/>
      <c r="R487" s="785" t="n"/>
      <c r="S487" s="785" t="n"/>
      <c r="T487" s="786" t="n"/>
      <c r="U487" s="34" t="n"/>
      <c r="V487" s="34" t="n"/>
      <c r="W487" s="35" t="inlineStr">
        <is>
          <t>кг</t>
        </is>
      </c>
      <c r="X487" s="1221" t="n">
        <v>0</v>
      </c>
      <c r="Y487" s="1222">
        <f>IFERROR(IF(X487="",0,CEILING((X487/$H487),1)*$H487),"")</f>
        <v/>
      </c>
      <c r="Z487" s="36">
        <f>IFERROR(IF(Y487=0,"",ROUNDUP(Y487/H487,0)*0.00902),"")</f>
        <v/>
      </c>
      <c r="AA487" s="56" t="n"/>
      <c r="AB487" s="57" t="n"/>
      <c r="AC487" s="569" t="inlineStr">
        <is>
          <t>ЕАЭС N RU Д-RU.РА02.В.66906/23</t>
        </is>
      </c>
      <c r="AG487" s="64" t="n"/>
      <c r="AJ487" s="68" t="n"/>
      <c r="AK487" s="68" t="n">
        <v>0</v>
      </c>
      <c r="BB487" s="570" t="inlineStr">
        <is>
          <t>КИ</t>
        </is>
      </c>
      <c r="BM487" s="64">
        <f>IFERROR(X487*I487/H487,"0")</f>
        <v/>
      </c>
      <c r="BN487" s="64">
        <f>IFERROR(Y487*I487/H487,"0")</f>
        <v/>
      </c>
      <c r="BO487" s="64">
        <f>IFERROR(1/J487*(X487/H487),"0")</f>
        <v/>
      </c>
      <c r="BP487" s="64">
        <f>IFERROR(1/J487*(Y487/H487),"0")</f>
        <v/>
      </c>
    </row>
    <row r="488" ht="27" customHeight="1">
      <c r="A488" s="54" t="inlineStr">
        <is>
          <t>SU003083</t>
        </is>
      </c>
      <c r="B488" s="54" t="inlineStr">
        <is>
          <t>P004353</t>
        </is>
      </c>
      <c r="C488" s="31" t="n">
        <v>4301031335</v>
      </c>
      <c r="D488" s="782" t="n">
        <v>4680115883147</v>
      </c>
      <c r="E488" s="783" t="n"/>
      <c r="F488" s="1220" t="n">
        <v>0.28</v>
      </c>
      <c r="G488" s="32" t="n">
        <v>6</v>
      </c>
      <c r="H488" s="1220" t="n">
        <v>1.68</v>
      </c>
      <c r="I488" s="1220" t="n">
        <v>1.81</v>
      </c>
      <c r="J488" s="32" t="n">
        <v>234</v>
      </c>
      <c r="K488" s="32" t="inlineStr">
        <is>
          <t>18</t>
        </is>
      </c>
      <c r="L488" s="32" t="n"/>
      <c r="M488" s="33" t="inlineStr">
        <is>
          <t>СК2</t>
        </is>
      </c>
      <c r="N488" s="33" t="n"/>
      <c r="O488" s="32" t="n">
        <v>50</v>
      </c>
      <c r="P488" s="973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/>
      </c>
      <c r="Q488" s="785" t="n"/>
      <c r="R488" s="785" t="n"/>
      <c r="S488" s="785" t="n"/>
      <c r="T488" s="786" t="n"/>
      <c r="U488" s="34" t="n"/>
      <c r="V488" s="34" t="n"/>
      <c r="W488" s="35" t="inlineStr">
        <is>
          <t>кг</t>
        </is>
      </c>
      <c r="X488" s="1221" t="n">
        <v>0</v>
      </c>
      <c r="Y488" s="1222">
        <f>IFERROR(IF(X488="",0,CEILING((X488/$H488),1)*$H488),"")</f>
        <v/>
      </c>
      <c r="Z488" s="36">
        <f>IFERROR(IF(Y488=0,"",ROUNDUP(Y488/H488,0)*0.00502),"")</f>
        <v/>
      </c>
      <c r="AA488" s="56" t="n"/>
      <c r="AB488" s="57" t="n"/>
      <c r="AC488" s="571" t="inlineStr">
        <is>
          <t>ЕАЭС N RU Д-RU.РА02.В.65596/23</t>
        </is>
      </c>
      <c r="AG488" s="64" t="n"/>
      <c r="AJ488" s="68" t="n"/>
      <c r="AK488" s="68" t="n">
        <v>0</v>
      </c>
      <c r="BB488" s="572" t="inlineStr">
        <is>
          <t>КИ</t>
        </is>
      </c>
      <c r="BM488" s="64">
        <f>IFERROR(X488*I488/H488,"0")</f>
        <v/>
      </c>
      <c r="BN488" s="64">
        <f>IFERROR(Y488*I488/H488,"0")</f>
        <v/>
      </c>
      <c r="BO488" s="64">
        <f>IFERROR(1/J488*(X488/H488),"0")</f>
        <v/>
      </c>
      <c r="BP488" s="64">
        <f>IFERROR(1/J488*(Y488/H488),"0")</f>
        <v/>
      </c>
    </row>
    <row r="489" ht="27" customHeight="1">
      <c r="A489" s="54" t="inlineStr">
        <is>
          <t>SU003083</t>
        </is>
      </c>
      <c r="B489" s="54" t="inlineStr">
        <is>
          <t>P004543</t>
        </is>
      </c>
      <c r="C489" s="31" t="n">
        <v>4301031366</v>
      </c>
      <c r="D489" s="782" t="n">
        <v>4680115883147</v>
      </c>
      <c r="E489" s="783" t="n"/>
      <c r="F489" s="1220" t="n">
        <v>0.28</v>
      </c>
      <c r="G489" s="32" t="n">
        <v>6</v>
      </c>
      <c r="H489" s="1220" t="n">
        <v>1.68</v>
      </c>
      <c r="I489" s="1220" t="n">
        <v>1.81</v>
      </c>
      <c r="J489" s="32" t="n">
        <v>234</v>
      </c>
      <c r="K489" s="32" t="inlineStr">
        <is>
          <t>18</t>
        </is>
      </c>
      <c r="L489" s="32" t="n"/>
      <c r="M489" s="33" t="inlineStr">
        <is>
          <t>СК2</t>
        </is>
      </c>
      <c r="N489" s="33" t="n"/>
      <c r="O489" s="32" t="n">
        <v>50</v>
      </c>
      <c r="P489" s="1042" t="inlineStr">
        <is>
          <t>В/к колбасы «Салями Филейбургская зернистая» срез Фикс.вес 0,28 фиброуз ТМ «Баварушка»</t>
        </is>
      </c>
      <c r="Q489" s="785" t="n"/>
      <c r="R489" s="785" t="n"/>
      <c r="S489" s="785" t="n"/>
      <c r="T489" s="786" t="n"/>
      <c r="U489" s="34" t="n"/>
      <c r="V489" s="34" t="n"/>
      <c r="W489" s="35" t="inlineStr">
        <is>
          <t>кг</t>
        </is>
      </c>
      <c r="X489" s="1221" t="n">
        <v>0</v>
      </c>
      <c r="Y489" s="1222">
        <f>IFERROR(IF(X489="",0,CEILING((X489/$H489),1)*$H489),"")</f>
        <v/>
      </c>
      <c r="Z489" s="36">
        <f>IFERROR(IF(Y489=0,"",ROUNDUP(Y489/H489,0)*0.00502),"")</f>
        <v/>
      </c>
      <c r="AA489" s="56" t="n"/>
      <c r="AB489" s="57" t="n"/>
      <c r="AC489" s="573" t="inlineStr">
        <is>
          <t>ЕАЭС N RU Д-RU.РА02.В.65596/23</t>
        </is>
      </c>
      <c r="AG489" s="64" t="n"/>
      <c r="AJ489" s="68" t="n"/>
      <c r="AK489" s="68" t="n">
        <v>0</v>
      </c>
      <c r="BB489" s="574" t="inlineStr">
        <is>
          <t>КИ</t>
        </is>
      </c>
      <c r="BM489" s="64">
        <f>IFERROR(X489*I489/H489,"0")</f>
        <v/>
      </c>
      <c r="BN489" s="64">
        <f>IFERROR(Y489*I489/H489,"0")</f>
        <v/>
      </c>
      <c r="BO489" s="64">
        <f>IFERROR(1/J489*(X489/H489),"0")</f>
        <v/>
      </c>
      <c r="BP489" s="64">
        <f>IFERROR(1/J489*(Y489/H489),"0")</f>
        <v/>
      </c>
    </row>
    <row r="490" ht="27" customHeight="1">
      <c r="A490" s="54" t="inlineStr">
        <is>
          <t>SU002538</t>
        </is>
      </c>
      <c r="B490" s="54" t="inlineStr">
        <is>
          <t>P004343</t>
        </is>
      </c>
      <c r="C490" s="31" t="n">
        <v>4301031330</v>
      </c>
      <c r="D490" s="782" t="n">
        <v>4607091384338</v>
      </c>
      <c r="E490" s="783" t="n"/>
      <c r="F490" s="1220" t="n">
        <v>0.35</v>
      </c>
      <c r="G490" s="32" t="n">
        <v>6</v>
      </c>
      <c r="H490" s="1220" t="n">
        <v>2.1</v>
      </c>
      <c r="I490" s="1220" t="n">
        <v>2.23</v>
      </c>
      <c r="J490" s="32" t="n">
        <v>234</v>
      </c>
      <c r="K490" s="32" t="inlineStr">
        <is>
          <t>18</t>
        </is>
      </c>
      <c r="L490" s="32" t="n"/>
      <c r="M490" s="33" t="inlineStr">
        <is>
          <t>СК2</t>
        </is>
      </c>
      <c r="N490" s="33" t="n"/>
      <c r="O490" s="32" t="n">
        <v>50</v>
      </c>
      <c r="P490" s="918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/>
      </c>
      <c r="Q490" s="785" t="n"/>
      <c r="R490" s="785" t="n"/>
      <c r="S490" s="785" t="n"/>
      <c r="T490" s="786" t="n"/>
      <c r="U490" s="34" t="n"/>
      <c r="V490" s="34" t="n"/>
      <c r="W490" s="35" t="inlineStr">
        <is>
          <t>кг</t>
        </is>
      </c>
      <c r="X490" s="1221" t="n">
        <v>0</v>
      </c>
      <c r="Y490" s="1222">
        <f>IFERROR(IF(X490="",0,CEILING((X490/$H490),1)*$H490),"")</f>
        <v/>
      </c>
      <c r="Z490" s="36">
        <f>IFERROR(IF(Y490=0,"",ROUNDUP(Y490/H490,0)*0.00502),"")</f>
        <v/>
      </c>
      <c r="AA490" s="56" t="n"/>
      <c r="AB490" s="57" t="n"/>
      <c r="AC490" s="575" t="inlineStr">
        <is>
          <t>ЕАЭС N RU Д-RU.РА02.В.65596/23</t>
        </is>
      </c>
      <c r="AG490" s="64" t="n"/>
      <c r="AJ490" s="68" t="n"/>
      <c r="AK490" s="68" t="n">
        <v>0</v>
      </c>
      <c r="BB490" s="576" t="inlineStr">
        <is>
          <t>КИ</t>
        </is>
      </c>
      <c r="BM490" s="64">
        <f>IFERROR(X490*I490/H490,"0")</f>
        <v/>
      </c>
      <c r="BN490" s="64">
        <f>IFERROR(Y490*I490/H490,"0")</f>
        <v/>
      </c>
      <c r="BO490" s="64">
        <f>IFERROR(1/J490*(X490/H490),"0")</f>
        <v/>
      </c>
      <c r="BP490" s="64">
        <f>IFERROR(1/J490*(Y490/H490),"0")</f>
        <v/>
      </c>
    </row>
    <row r="491" ht="27" customHeight="1">
      <c r="A491" s="54" t="inlineStr">
        <is>
          <t>SU002538</t>
        </is>
      </c>
      <c r="B491" s="54" t="inlineStr">
        <is>
          <t>P004517</t>
        </is>
      </c>
      <c r="C491" s="31" t="n">
        <v>4301031362</v>
      </c>
      <c r="D491" s="782" t="n">
        <v>4607091384338</v>
      </c>
      <c r="E491" s="783" t="n"/>
      <c r="F491" s="1220" t="n">
        <v>0.35</v>
      </c>
      <c r="G491" s="32" t="n">
        <v>6</v>
      </c>
      <c r="H491" s="1220" t="n">
        <v>2.1</v>
      </c>
      <c r="I491" s="1220" t="n">
        <v>2.23</v>
      </c>
      <c r="J491" s="32" t="n">
        <v>234</v>
      </c>
      <c r="K491" s="32" t="inlineStr">
        <is>
          <t>18</t>
        </is>
      </c>
      <c r="L491" s="32" t="n"/>
      <c r="M491" s="33" t="inlineStr">
        <is>
          <t>СК2</t>
        </is>
      </c>
      <c r="N491" s="33" t="n"/>
      <c r="O491" s="32" t="n">
        <v>50</v>
      </c>
      <c r="P491" s="1074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/>
      </c>
      <c r="Q491" s="785" t="n"/>
      <c r="R491" s="785" t="n"/>
      <c r="S491" s="785" t="n"/>
      <c r="T491" s="786" t="n"/>
      <c r="U491" s="34" t="n"/>
      <c r="V491" s="34" t="n"/>
      <c r="W491" s="35" t="inlineStr">
        <is>
          <t>кг</t>
        </is>
      </c>
      <c r="X491" s="1221" t="n">
        <v>0</v>
      </c>
      <c r="Y491" s="1222">
        <f>IFERROR(IF(X491="",0,CEILING((X491/$H491),1)*$H491),"")</f>
        <v/>
      </c>
      <c r="Z491" s="36">
        <f>IFERROR(IF(Y491=0,"",ROUNDUP(Y491/H491,0)*0.00502),"")</f>
        <v/>
      </c>
      <c r="AA491" s="56" t="n"/>
      <c r="AB491" s="57" t="n"/>
      <c r="AC491" s="577" t="inlineStr">
        <is>
          <t>ЕАЭС N RU Д-RU.РА02.В.65596/23</t>
        </is>
      </c>
      <c r="AG491" s="64" t="n"/>
      <c r="AJ491" s="68" t="n"/>
      <c r="AK491" s="68" t="n">
        <v>0</v>
      </c>
      <c r="BB491" s="578" t="inlineStr">
        <is>
          <t>КИ</t>
        </is>
      </c>
      <c r="BM491" s="64">
        <f>IFERROR(X491*I491/H491,"0")</f>
        <v/>
      </c>
      <c r="BN491" s="64">
        <f>IFERROR(Y491*I491/H491,"0")</f>
        <v/>
      </c>
      <c r="BO491" s="64">
        <f>IFERROR(1/J491*(X491/H491),"0")</f>
        <v/>
      </c>
      <c r="BP491" s="64">
        <f>IFERROR(1/J491*(Y491/H491),"0")</f>
        <v/>
      </c>
    </row>
    <row r="492" ht="37.5" customHeight="1">
      <c r="A492" s="54" t="inlineStr">
        <is>
          <t>SU003079</t>
        </is>
      </c>
      <c r="B492" s="54" t="inlineStr">
        <is>
          <t>P003643</t>
        </is>
      </c>
      <c r="C492" s="31" t="n">
        <v>4301031254</v>
      </c>
      <c r="D492" s="782" t="n">
        <v>4680115883154</v>
      </c>
      <c r="E492" s="783" t="n"/>
      <c r="F492" s="1220" t="n">
        <v>0.28</v>
      </c>
      <c r="G492" s="32" t="n">
        <v>6</v>
      </c>
      <c r="H492" s="1220" t="n">
        <v>1.68</v>
      </c>
      <c r="I492" s="1220" t="n">
        <v>1.81</v>
      </c>
      <c r="J492" s="32" t="n">
        <v>234</v>
      </c>
      <c r="K492" s="32" t="inlineStr">
        <is>
          <t>18</t>
        </is>
      </c>
      <c r="L492" s="32" t="n"/>
      <c r="M492" s="33" t="inlineStr">
        <is>
          <t>СК2</t>
        </is>
      </c>
      <c r="N492" s="33" t="n"/>
      <c r="O492" s="32" t="n">
        <v>45</v>
      </c>
      <c r="P492" s="1131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Q492" s="785" t="n"/>
      <c r="R492" s="785" t="n"/>
      <c r="S492" s="785" t="n"/>
      <c r="T492" s="786" t="n"/>
      <c r="U492" s="34" t="n"/>
      <c r="V492" s="34" t="n"/>
      <c r="W492" s="35" t="inlineStr">
        <is>
          <t>кг</t>
        </is>
      </c>
      <c r="X492" s="1221" t="n">
        <v>0</v>
      </c>
      <c r="Y492" s="1222">
        <f>IFERROR(IF(X492="",0,CEILING((X492/$H492),1)*$H492),"")</f>
        <v/>
      </c>
      <c r="Z492" s="36">
        <f>IFERROR(IF(Y492=0,"",ROUNDUP(Y492/H492,0)*0.00502),"")</f>
        <v/>
      </c>
      <c r="AA492" s="56" t="n"/>
      <c r="AB492" s="57" t="n"/>
      <c r="AC492" s="579" t="inlineStr">
        <is>
          <t>ЕАЭС N RU Д-RU.РА02.В.76611/22</t>
        </is>
      </c>
      <c r="AG492" s="64" t="n"/>
      <c r="AJ492" s="68" t="n"/>
      <c r="AK492" s="68" t="n">
        <v>0</v>
      </c>
      <c r="BB492" s="580" t="inlineStr">
        <is>
          <t>КИ</t>
        </is>
      </c>
      <c r="BM492" s="64">
        <f>IFERROR(X492*I492/H492,"0")</f>
        <v/>
      </c>
      <c r="BN492" s="64">
        <f>IFERROR(Y492*I492/H492,"0")</f>
        <v/>
      </c>
      <c r="BO492" s="64">
        <f>IFERROR(1/J492*(X492/H492),"0")</f>
        <v/>
      </c>
      <c r="BP492" s="64">
        <f>IFERROR(1/J492*(Y492/H492),"0")</f>
        <v/>
      </c>
    </row>
    <row r="493" ht="37.5" customHeight="1">
      <c r="A493" s="54" t="inlineStr">
        <is>
          <t>SU003079</t>
        </is>
      </c>
      <c r="B493" s="54" t="inlineStr">
        <is>
          <t>P004354</t>
        </is>
      </c>
      <c r="C493" s="31" t="n">
        <v>4301031336</v>
      </c>
      <c r="D493" s="782" t="n">
        <v>4680115883154</v>
      </c>
      <c r="E493" s="783" t="n"/>
      <c r="F493" s="1220" t="n">
        <v>0.28</v>
      </c>
      <c r="G493" s="32" t="n">
        <v>6</v>
      </c>
      <c r="H493" s="1220" t="n">
        <v>1.68</v>
      </c>
      <c r="I493" s="1220" t="n">
        <v>1.81</v>
      </c>
      <c r="J493" s="32" t="n">
        <v>234</v>
      </c>
      <c r="K493" s="32" t="inlineStr">
        <is>
          <t>18</t>
        </is>
      </c>
      <c r="L493" s="32" t="n"/>
      <c r="M493" s="33" t="inlineStr">
        <is>
          <t>СК2</t>
        </is>
      </c>
      <c r="N493" s="33" t="n"/>
      <c r="O493" s="32" t="n">
        <v>50</v>
      </c>
      <c r="P493" s="1079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/>
      </c>
      <c r="Q493" s="785" t="n"/>
      <c r="R493" s="785" t="n"/>
      <c r="S493" s="785" t="n"/>
      <c r="T493" s="786" t="n"/>
      <c r="U493" s="34" t="n"/>
      <c r="V493" s="34" t="n"/>
      <c r="W493" s="35" t="inlineStr">
        <is>
          <t>кг</t>
        </is>
      </c>
      <c r="X493" s="1221" t="n">
        <v>0</v>
      </c>
      <c r="Y493" s="1222">
        <f>IFERROR(IF(X493="",0,CEILING((X493/$H493),1)*$H493),"")</f>
        <v/>
      </c>
      <c r="Z493" s="36">
        <f>IFERROR(IF(Y493=0,"",ROUNDUP(Y493/H493,0)*0.00502),"")</f>
        <v/>
      </c>
      <c r="AA493" s="56" t="n"/>
      <c r="AB493" s="57" t="n"/>
      <c r="AC493" s="581" t="inlineStr">
        <is>
          <t>ЕАЭС N RU Д-RU.РА02.В.65693/23</t>
        </is>
      </c>
      <c r="AG493" s="64" t="n"/>
      <c r="AJ493" s="68" t="n"/>
      <c r="AK493" s="68" t="n">
        <v>0</v>
      </c>
      <c r="BB493" s="582" t="inlineStr">
        <is>
          <t>КИ</t>
        </is>
      </c>
      <c r="BM493" s="64">
        <f>IFERROR(X493*I493/H493,"0")</f>
        <v/>
      </c>
      <c r="BN493" s="64">
        <f>IFERROR(Y493*I493/H493,"0")</f>
        <v/>
      </c>
      <c r="BO493" s="64">
        <f>IFERROR(1/J493*(X493/H493),"0")</f>
        <v/>
      </c>
      <c r="BP493" s="64">
        <f>IFERROR(1/J493*(Y493/H493),"0")</f>
        <v/>
      </c>
    </row>
    <row r="494" ht="37.5" customHeight="1">
      <c r="A494" s="54" t="inlineStr">
        <is>
          <t>SU003079</t>
        </is>
      </c>
      <c r="B494" s="54" t="inlineStr">
        <is>
          <t>P004547</t>
        </is>
      </c>
      <c r="C494" s="31" t="n">
        <v>4301031374</v>
      </c>
      <c r="D494" s="782" t="n">
        <v>4680115883154</v>
      </c>
      <c r="E494" s="783" t="n"/>
      <c r="F494" s="1220" t="n">
        <v>0.28</v>
      </c>
      <c r="G494" s="32" t="n">
        <v>6</v>
      </c>
      <c r="H494" s="1220" t="n">
        <v>1.68</v>
      </c>
      <c r="I494" s="1220" t="n">
        <v>1.81</v>
      </c>
      <c r="J494" s="32" t="n">
        <v>234</v>
      </c>
      <c r="K494" s="32" t="inlineStr">
        <is>
          <t>18</t>
        </is>
      </c>
      <c r="L494" s="32" t="n"/>
      <c r="M494" s="33" t="inlineStr">
        <is>
          <t>СК2</t>
        </is>
      </c>
      <c r="N494" s="33" t="n"/>
      <c r="O494" s="32" t="n">
        <v>50</v>
      </c>
      <c r="P494" s="1206" t="inlineStr">
        <is>
          <t>В/к колбасы «Сервелат Филейбургский с ароматными пряностями» срез Фикс.вес 0,28 фиброуз ТМ «Баварушка»</t>
        </is>
      </c>
      <c r="Q494" s="785" t="n"/>
      <c r="R494" s="785" t="n"/>
      <c r="S494" s="785" t="n"/>
      <c r="T494" s="786" t="n"/>
      <c r="U494" s="34" t="n"/>
      <c r="V494" s="34" t="n"/>
      <c r="W494" s="35" t="inlineStr">
        <is>
          <t>кг</t>
        </is>
      </c>
      <c r="X494" s="1221" t="n">
        <v>0</v>
      </c>
      <c r="Y494" s="1222">
        <f>IFERROR(IF(X494="",0,CEILING((X494/$H494),1)*$H494),"")</f>
        <v/>
      </c>
      <c r="Z494" s="36">
        <f>IFERROR(IF(Y494=0,"",ROUNDUP(Y494/H494,0)*0.00502),"")</f>
        <v/>
      </c>
      <c r="AA494" s="56" t="n"/>
      <c r="AB494" s="57" t="n"/>
      <c r="AC494" s="583" t="inlineStr">
        <is>
          <t>ЕАЭС N RU Д-RU.РА02.В.65693/23</t>
        </is>
      </c>
      <c r="AG494" s="64" t="n"/>
      <c r="AJ494" s="68" t="n"/>
      <c r="AK494" s="68" t="n">
        <v>0</v>
      </c>
      <c r="BB494" s="584" t="inlineStr">
        <is>
          <t>КИ</t>
        </is>
      </c>
      <c r="BM494" s="64">
        <f>IFERROR(X494*I494/H494,"0")</f>
        <v/>
      </c>
      <c r="BN494" s="64">
        <f>IFERROR(Y494*I494/H494,"0")</f>
        <v/>
      </c>
      <c r="BO494" s="64">
        <f>IFERROR(1/J494*(X494/H494),"0")</f>
        <v/>
      </c>
      <c r="BP494" s="64">
        <f>IFERROR(1/J494*(Y494/H494),"0")</f>
        <v/>
      </c>
    </row>
    <row r="495" ht="37.5" customHeight="1">
      <c r="A495" s="54" t="inlineStr">
        <is>
          <t>SU002602</t>
        </is>
      </c>
      <c r="B495" s="54" t="inlineStr">
        <is>
          <t>P004344</t>
        </is>
      </c>
      <c r="C495" s="31" t="n">
        <v>4301031331</v>
      </c>
      <c r="D495" s="782" t="n">
        <v>4607091389524</v>
      </c>
      <c r="E495" s="783" t="n"/>
      <c r="F495" s="1220" t="n">
        <v>0.35</v>
      </c>
      <c r="G495" s="32" t="n">
        <v>6</v>
      </c>
      <c r="H495" s="1220" t="n">
        <v>2.1</v>
      </c>
      <c r="I495" s="1220" t="n">
        <v>2.23</v>
      </c>
      <c r="J495" s="32" t="n">
        <v>234</v>
      </c>
      <c r="K495" s="32" t="inlineStr">
        <is>
          <t>18</t>
        </is>
      </c>
      <c r="L495" s="32" t="n"/>
      <c r="M495" s="33" t="inlineStr">
        <is>
          <t>СК2</t>
        </is>
      </c>
      <c r="N495" s="33" t="n"/>
      <c r="O495" s="32" t="n">
        <v>50</v>
      </c>
      <c r="P495" s="1097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/>
      </c>
      <c r="Q495" s="785" t="n"/>
      <c r="R495" s="785" t="n"/>
      <c r="S495" s="785" t="n"/>
      <c r="T495" s="786" t="n"/>
      <c r="U495" s="34" t="n"/>
      <c r="V495" s="34" t="n"/>
      <c r="W495" s="35" t="inlineStr">
        <is>
          <t>кг</t>
        </is>
      </c>
      <c r="X495" s="1221" t="n">
        <v>0</v>
      </c>
      <c r="Y495" s="1222">
        <f>IFERROR(IF(X495="",0,CEILING((X495/$H495),1)*$H495),"")</f>
        <v/>
      </c>
      <c r="Z495" s="36">
        <f>IFERROR(IF(Y495=0,"",ROUNDUP(Y495/H495,0)*0.00502),"")</f>
        <v/>
      </c>
      <c r="AA495" s="56" t="n"/>
      <c r="AB495" s="57" t="n"/>
      <c r="AC495" s="585" t="inlineStr">
        <is>
          <t>ЕАЭС N RU Д-RU.РА02.В.65693/23</t>
        </is>
      </c>
      <c r="AG495" s="64" t="n"/>
      <c r="AJ495" s="68" t="n"/>
      <c r="AK495" s="68" t="n">
        <v>0</v>
      </c>
      <c r="BB495" s="586" t="inlineStr">
        <is>
          <t>КИ</t>
        </is>
      </c>
      <c r="BM495" s="64">
        <f>IFERROR(X495*I495/H495,"0")</f>
        <v/>
      </c>
      <c r="BN495" s="64">
        <f>IFERROR(Y495*I495/H495,"0")</f>
        <v/>
      </c>
      <c r="BO495" s="64">
        <f>IFERROR(1/J495*(X495/H495),"0")</f>
        <v/>
      </c>
      <c r="BP495" s="64">
        <f>IFERROR(1/J495*(Y495/H495),"0")</f>
        <v/>
      </c>
    </row>
    <row r="496" ht="37.5" customHeight="1">
      <c r="A496" s="54" t="inlineStr">
        <is>
          <t>SU002602</t>
        </is>
      </c>
      <c r="B496" s="54" t="inlineStr">
        <is>
          <t>P004518</t>
        </is>
      </c>
      <c r="C496" s="31" t="n">
        <v>4301031361</v>
      </c>
      <c r="D496" s="782" t="n">
        <v>4607091389524</v>
      </c>
      <c r="E496" s="783" t="n"/>
      <c r="F496" s="1220" t="n">
        <v>0.35</v>
      </c>
      <c r="G496" s="32" t="n">
        <v>6</v>
      </c>
      <c r="H496" s="1220" t="n">
        <v>2.1</v>
      </c>
      <c r="I496" s="1220" t="n">
        <v>2.23</v>
      </c>
      <c r="J496" s="32" t="n">
        <v>234</v>
      </c>
      <c r="K496" s="32" t="inlineStr">
        <is>
          <t>18</t>
        </is>
      </c>
      <c r="L496" s="32" t="n"/>
      <c r="M496" s="33" t="inlineStr">
        <is>
          <t>СК2</t>
        </is>
      </c>
      <c r="N496" s="33" t="n"/>
      <c r="O496" s="32" t="n">
        <v>50</v>
      </c>
      <c r="P496" s="1053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/>
      </c>
      <c r="Q496" s="785" t="n"/>
      <c r="R496" s="785" t="n"/>
      <c r="S496" s="785" t="n"/>
      <c r="T496" s="786" t="n"/>
      <c r="U496" s="34" t="n"/>
      <c r="V496" s="34" t="n"/>
      <c r="W496" s="35" t="inlineStr">
        <is>
          <t>кг</t>
        </is>
      </c>
      <c r="X496" s="1221" t="n">
        <v>0</v>
      </c>
      <c r="Y496" s="1222">
        <f>IFERROR(IF(X496="",0,CEILING((X496/$H496),1)*$H496),"")</f>
        <v/>
      </c>
      <c r="Z496" s="36">
        <f>IFERROR(IF(Y496=0,"",ROUNDUP(Y496/H496,0)*0.00502),"")</f>
        <v/>
      </c>
      <c r="AA496" s="56" t="n"/>
      <c r="AB496" s="57" t="n"/>
      <c r="AC496" s="587" t="inlineStr">
        <is>
          <t>ЕАЭС N RU Д-RU.РА02.В.65693/23</t>
        </is>
      </c>
      <c r="AG496" s="64" t="n"/>
      <c r="AJ496" s="68" t="n"/>
      <c r="AK496" s="68" t="n">
        <v>0</v>
      </c>
      <c r="BB496" s="588" t="inlineStr">
        <is>
          <t>КИ</t>
        </is>
      </c>
      <c r="BM496" s="64">
        <f>IFERROR(X496*I496/H496,"0")</f>
        <v/>
      </c>
      <c r="BN496" s="64">
        <f>IFERROR(Y496*I496/H496,"0")</f>
        <v/>
      </c>
      <c r="BO496" s="64">
        <f>IFERROR(1/J496*(X496/H496),"0")</f>
        <v/>
      </c>
      <c r="BP496" s="64">
        <f>IFERROR(1/J496*(Y496/H496),"0")</f>
        <v/>
      </c>
    </row>
    <row r="497" ht="27" customHeight="1">
      <c r="A497" s="54" t="inlineStr">
        <is>
          <t>SU003080</t>
        </is>
      </c>
      <c r="B497" s="54" t="inlineStr">
        <is>
          <t>P004355</t>
        </is>
      </c>
      <c r="C497" s="31" t="n">
        <v>4301031337</v>
      </c>
      <c r="D497" s="782" t="n">
        <v>4680115883161</v>
      </c>
      <c r="E497" s="783" t="n"/>
      <c r="F497" s="1220" t="n">
        <v>0.28</v>
      </c>
      <c r="G497" s="32" t="n">
        <v>6</v>
      </c>
      <c r="H497" s="1220" t="n">
        <v>1.68</v>
      </c>
      <c r="I497" s="1220" t="n">
        <v>1.81</v>
      </c>
      <c r="J497" s="32" t="n">
        <v>234</v>
      </c>
      <c r="K497" s="32" t="inlineStr">
        <is>
          <t>18</t>
        </is>
      </c>
      <c r="L497" s="32" t="n"/>
      <c r="M497" s="33" t="inlineStr">
        <is>
          <t>СК2</t>
        </is>
      </c>
      <c r="N497" s="33" t="n"/>
      <c r="O497" s="32" t="n">
        <v>50</v>
      </c>
      <c r="P497" s="830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/>
      </c>
      <c r="Q497" s="785" t="n"/>
      <c r="R497" s="785" t="n"/>
      <c r="S497" s="785" t="n"/>
      <c r="T497" s="786" t="n"/>
      <c r="U497" s="34" t="n"/>
      <c r="V497" s="34" t="n"/>
      <c r="W497" s="35" t="inlineStr">
        <is>
          <t>кг</t>
        </is>
      </c>
      <c r="X497" s="1221" t="n">
        <v>0</v>
      </c>
      <c r="Y497" s="1222">
        <f>IFERROR(IF(X497="",0,CEILING((X497/$H497),1)*$H497),"")</f>
        <v/>
      </c>
      <c r="Z497" s="36">
        <f>IFERROR(IF(Y497=0,"",ROUNDUP(Y497/H497,0)*0.00502),"")</f>
        <v/>
      </c>
      <c r="AA497" s="56" t="n"/>
      <c r="AB497" s="57" t="n"/>
      <c r="AC497" s="589" t="inlineStr">
        <is>
          <t>ЕАЭС N RU Д-RU.РА02.В.65750/23</t>
        </is>
      </c>
      <c r="AG497" s="64" t="n"/>
      <c r="AJ497" s="68" t="n"/>
      <c r="AK497" s="68" t="n">
        <v>0</v>
      </c>
      <c r="BB497" s="590" t="inlineStr">
        <is>
          <t>КИ</t>
        </is>
      </c>
      <c r="BM497" s="64">
        <f>IFERROR(X497*I497/H497,"0")</f>
        <v/>
      </c>
      <c r="BN497" s="64">
        <f>IFERROR(Y497*I497/H497,"0")</f>
        <v/>
      </c>
      <c r="BO497" s="64">
        <f>IFERROR(1/J497*(X497/H497),"0")</f>
        <v/>
      </c>
      <c r="BP497" s="64">
        <f>IFERROR(1/J497*(Y497/H497),"0")</f>
        <v/>
      </c>
    </row>
    <row r="498" ht="27" customHeight="1">
      <c r="A498" s="54" t="inlineStr">
        <is>
          <t>SU003080</t>
        </is>
      </c>
      <c r="B498" s="54" t="inlineStr">
        <is>
          <t>P004525</t>
        </is>
      </c>
      <c r="C498" s="31" t="n">
        <v>4301031364</v>
      </c>
      <c r="D498" s="782" t="n">
        <v>4680115883161</v>
      </c>
      <c r="E498" s="783" t="n"/>
      <c r="F498" s="1220" t="n">
        <v>0.28</v>
      </c>
      <c r="G498" s="32" t="n">
        <v>6</v>
      </c>
      <c r="H498" s="1220" t="n">
        <v>1.68</v>
      </c>
      <c r="I498" s="1220" t="n">
        <v>1.81</v>
      </c>
      <c r="J498" s="32" t="n">
        <v>234</v>
      </c>
      <c r="K498" s="32" t="inlineStr">
        <is>
          <t>18</t>
        </is>
      </c>
      <c r="L498" s="32" t="n"/>
      <c r="M498" s="33" t="inlineStr">
        <is>
          <t>СК2</t>
        </is>
      </c>
      <c r="N498" s="33" t="n"/>
      <c r="O498" s="32" t="n">
        <v>50</v>
      </c>
      <c r="P498" s="1117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498" s="785" t="n"/>
      <c r="R498" s="785" t="n"/>
      <c r="S498" s="785" t="n"/>
      <c r="T498" s="786" t="n"/>
      <c r="U498" s="34" t="n"/>
      <c r="V498" s="34" t="n"/>
      <c r="W498" s="35" t="inlineStr">
        <is>
          <t>кг</t>
        </is>
      </c>
      <c r="X498" s="1221" t="n">
        <v>0</v>
      </c>
      <c r="Y498" s="1222">
        <f>IFERROR(IF(X498="",0,CEILING((X498/$H498),1)*$H498),"")</f>
        <v/>
      </c>
      <c r="Z498" s="36">
        <f>IFERROR(IF(Y498=0,"",ROUNDUP(Y498/H498,0)*0.00502),"")</f>
        <v/>
      </c>
      <c r="AA498" s="56" t="n"/>
      <c r="AB498" s="57" t="n"/>
      <c r="AC498" s="591" t="inlineStr">
        <is>
          <t>ЕАЭС N RU Д-RU.РА02.В.65750/23</t>
        </is>
      </c>
      <c r="AG498" s="64" t="n"/>
      <c r="AJ498" s="68" t="n"/>
      <c r="AK498" s="68" t="n">
        <v>0</v>
      </c>
      <c r="BB498" s="592" t="inlineStr">
        <is>
          <t>КИ</t>
        </is>
      </c>
      <c r="BM498" s="64">
        <f>IFERROR(X498*I498/H498,"0")</f>
        <v/>
      </c>
      <c r="BN498" s="64">
        <f>IFERROR(Y498*I498/H498,"0")</f>
        <v/>
      </c>
      <c r="BO498" s="64">
        <f>IFERROR(1/J498*(X498/H498),"0")</f>
        <v/>
      </c>
      <c r="BP498" s="64">
        <f>IFERROR(1/J498*(Y498/H498),"0")</f>
        <v/>
      </c>
    </row>
    <row r="499" ht="27" customHeight="1">
      <c r="A499" s="54" t="inlineStr">
        <is>
          <t>SU002606</t>
        </is>
      </c>
      <c r="B499" s="54" t="inlineStr">
        <is>
          <t>P004351</t>
        </is>
      </c>
      <c r="C499" s="31" t="n">
        <v>4301031333</v>
      </c>
      <c r="D499" s="782" t="n">
        <v>4607091389531</v>
      </c>
      <c r="E499" s="783" t="n"/>
      <c r="F499" s="1220" t="n">
        <v>0.35</v>
      </c>
      <c r="G499" s="32" t="n">
        <v>6</v>
      </c>
      <c r="H499" s="1220" t="n">
        <v>2.1</v>
      </c>
      <c r="I499" s="1220" t="n">
        <v>2.23</v>
      </c>
      <c r="J499" s="32" t="n">
        <v>234</v>
      </c>
      <c r="K499" s="32" t="inlineStr">
        <is>
          <t>18</t>
        </is>
      </c>
      <c r="L499" s="32" t="n"/>
      <c r="M499" s="33" t="inlineStr">
        <is>
          <t>СК2</t>
        </is>
      </c>
      <c r="N499" s="33" t="n"/>
      <c r="O499" s="32" t="n">
        <v>50</v>
      </c>
      <c r="P499" s="842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/>
      </c>
      <c r="Q499" s="785" t="n"/>
      <c r="R499" s="785" t="n"/>
      <c r="S499" s="785" t="n"/>
      <c r="T499" s="786" t="n"/>
      <c r="U499" s="34" t="n"/>
      <c r="V499" s="34" t="n"/>
      <c r="W499" s="35" t="inlineStr">
        <is>
          <t>кг</t>
        </is>
      </c>
      <c r="X499" s="1221" t="n">
        <v>0</v>
      </c>
      <c r="Y499" s="1222">
        <f>IFERROR(IF(X499="",0,CEILING((X499/$H499),1)*$H499),"")</f>
        <v/>
      </c>
      <c r="Z499" s="36">
        <f>IFERROR(IF(Y499=0,"",ROUNDUP(Y499/H499,0)*0.00502),"")</f>
        <v/>
      </c>
      <c r="AA499" s="56" t="n"/>
      <c r="AB499" s="57" t="n"/>
      <c r="AC499" s="593" t="inlineStr">
        <is>
          <t>ЕАЭС N RU Д-RU.РА02.В.66890/23</t>
        </is>
      </c>
      <c r="AG499" s="64" t="n"/>
      <c r="AJ499" s="68" t="n"/>
      <c r="AK499" s="68" t="n">
        <v>0</v>
      </c>
      <c r="BB499" s="594" t="inlineStr">
        <is>
          <t>КИ</t>
        </is>
      </c>
      <c r="BM499" s="64">
        <f>IFERROR(X499*I499/H499,"0")</f>
        <v/>
      </c>
      <c r="BN499" s="64">
        <f>IFERROR(Y499*I499/H499,"0")</f>
        <v/>
      </c>
      <c r="BO499" s="64">
        <f>IFERROR(1/J499*(X499/H499),"0")</f>
        <v/>
      </c>
      <c r="BP499" s="64">
        <f>IFERROR(1/J499*(Y499/H499),"0")</f>
        <v/>
      </c>
    </row>
    <row r="500" ht="27" customHeight="1">
      <c r="A500" s="54" t="inlineStr">
        <is>
          <t>SU002606</t>
        </is>
      </c>
      <c r="B500" s="54" t="inlineStr">
        <is>
          <t>P004521</t>
        </is>
      </c>
      <c r="C500" s="31" t="n">
        <v>4301031358</v>
      </c>
      <c r="D500" s="782" t="n">
        <v>4607091389531</v>
      </c>
      <c r="E500" s="783" t="n"/>
      <c r="F500" s="1220" t="n">
        <v>0.35</v>
      </c>
      <c r="G500" s="32" t="n">
        <v>6</v>
      </c>
      <c r="H500" s="1220" t="n">
        <v>2.1</v>
      </c>
      <c r="I500" s="1220" t="n">
        <v>2.23</v>
      </c>
      <c r="J500" s="32" t="n">
        <v>234</v>
      </c>
      <c r="K500" s="32" t="inlineStr">
        <is>
          <t>18</t>
        </is>
      </c>
      <c r="L500" s="32" t="n"/>
      <c r="M500" s="33" t="inlineStr">
        <is>
          <t>СК2</t>
        </is>
      </c>
      <c r="N500" s="33" t="n"/>
      <c r="O500" s="32" t="n">
        <v>50</v>
      </c>
      <c r="P500" s="977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/>
      </c>
      <c r="Q500" s="785" t="n"/>
      <c r="R500" s="785" t="n"/>
      <c r="S500" s="785" t="n"/>
      <c r="T500" s="786" t="n"/>
      <c r="U500" s="34" t="n"/>
      <c r="V500" s="34" t="n"/>
      <c r="W500" s="35" t="inlineStr">
        <is>
          <t>кг</t>
        </is>
      </c>
      <c r="X500" s="1221" t="n">
        <v>0</v>
      </c>
      <c r="Y500" s="1222">
        <f>IFERROR(IF(X500="",0,CEILING((X500/$H500),1)*$H500),"")</f>
        <v/>
      </c>
      <c r="Z500" s="36">
        <f>IFERROR(IF(Y500=0,"",ROUNDUP(Y500/H500,0)*0.00502),"")</f>
        <v/>
      </c>
      <c r="AA500" s="56" t="n"/>
      <c r="AB500" s="57" t="n"/>
      <c r="AC500" s="595" t="inlineStr">
        <is>
          <t>ЕАЭС N RU Д-RU.РА02.В.66890/23</t>
        </is>
      </c>
      <c r="AG500" s="64" t="n"/>
      <c r="AJ500" s="68" t="n"/>
      <c r="AK500" s="68" t="n">
        <v>0</v>
      </c>
      <c r="BB500" s="596" t="inlineStr">
        <is>
          <t>КИ</t>
        </is>
      </c>
      <c r="BM500" s="64">
        <f>IFERROR(X500*I500/H500,"0")</f>
        <v/>
      </c>
      <c r="BN500" s="64">
        <f>IFERROR(Y500*I500/H500,"0")</f>
        <v/>
      </c>
      <c r="BO500" s="64">
        <f>IFERROR(1/J500*(X500/H500),"0")</f>
        <v/>
      </c>
      <c r="BP500" s="64">
        <f>IFERROR(1/J500*(Y500/H500),"0")</f>
        <v/>
      </c>
    </row>
    <row r="501" ht="37.5" customHeight="1">
      <c r="A501" s="54" t="inlineStr">
        <is>
          <t>SU002603</t>
        </is>
      </c>
      <c r="B501" s="54" t="inlineStr">
        <is>
          <t>P004519</t>
        </is>
      </c>
      <c r="C501" s="31" t="n">
        <v>4301031360</v>
      </c>
      <c r="D501" s="782" t="n">
        <v>4607091384345</v>
      </c>
      <c r="E501" s="783" t="n"/>
      <c r="F501" s="1220" t="n">
        <v>0.35</v>
      </c>
      <c r="G501" s="32" t="n">
        <v>6</v>
      </c>
      <c r="H501" s="1220" t="n">
        <v>2.1</v>
      </c>
      <c r="I501" s="1220" t="n">
        <v>2.23</v>
      </c>
      <c r="J501" s="32" t="n">
        <v>234</v>
      </c>
      <c r="K501" s="32" t="inlineStr">
        <is>
          <t>18</t>
        </is>
      </c>
      <c r="L501" s="32" t="n"/>
      <c r="M501" s="33" t="inlineStr">
        <is>
          <t>СК2</t>
        </is>
      </c>
      <c r="N501" s="33" t="n"/>
      <c r="O501" s="32" t="n">
        <v>50</v>
      </c>
      <c r="P501" s="1064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/>
      </c>
      <c r="Q501" s="785" t="n"/>
      <c r="R501" s="785" t="n"/>
      <c r="S501" s="785" t="n"/>
      <c r="T501" s="786" t="n"/>
      <c r="U501" s="34" t="n"/>
      <c r="V501" s="34" t="n"/>
      <c r="W501" s="35" t="inlineStr">
        <is>
          <t>кг</t>
        </is>
      </c>
      <c r="X501" s="1221" t="n">
        <v>0</v>
      </c>
      <c r="Y501" s="1222">
        <f>IFERROR(IF(X501="",0,CEILING((X501/$H501),1)*$H501),"")</f>
        <v/>
      </c>
      <c r="Z501" s="36">
        <f>IFERROR(IF(Y501=0,"",ROUNDUP(Y501/H501,0)*0.00502),"")</f>
        <v/>
      </c>
      <c r="AA501" s="56" t="n"/>
      <c r="AB501" s="57" t="n"/>
      <c r="AC501" s="597" t="inlineStr">
        <is>
          <t>ЕАЭС N RU Д-RU.РА02.В.65750/23</t>
        </is>
      </c>
      <c r="AG501" s="64" t="n"/>
      <c r="AJ501" s="68" t="n"/>
      <c r="AK501" s="68" t="n">
        <v>0</v>
      </c>
      <c r="BB501" s="598" t="inlineStr">
        <is>
          <t>КИ</t>
        </is>
      </c>
      <c r="BM501" s="64">
        <f>IFERROR(X501*I501/H501,"0")</f>
        <v/>
      </c>
      <c r="BN501" s="64">
        <f>IFERROR(Y501*I501/H501,"0")</f>
        <v/>
      </c>
      <c r="BO501" s="64">
        <f>IFERROR(1/J501*(X501/H501),"0")</f>
        <v/>
      </c>
      <c r="BP501" s="64">
        <f>IFERROR(1/J501*(Y501/H501),"0")</f>
        <v/>
      </c>
    </row>
    <row r="502" ht="27" customHeight="1">
      <c r="A502" s="54" t="inlineStr">
        <is>
          <t>SU003082</t>
        </is>
      </c>
      <c r="B502" s="54" t="inlineStr">
        <is>
          <t>P003644</t>
        </is>
      </c>
      <c r="C502" s="31" t="n">
        <v>4301031255</v>
      </c>
      <c r="D502" s="782" t="n">
        <v>4680115883185</v>
      </c>
      <c r="E502" s="783" t="n"/>
      <c r="F502" s="1220" t="n">
        <v>0.28</v>
      </c>
      <c r="G502" s="32" t="n">
        <v>6</v>
      </c>
      <c r="H502" s="1220" t="n">
        <v>1.68</v>
      </c>
      <c r="I502" s="1220" t="n">
        <v>1.81</v>
      </c>
      <c r="J502" s="32" t="n">
        <v>234</v>
      </c>
      <c r="K502" s="32" t="inlineStr">
        <is>
          <t>18</t>
        </is>
      </c>
      <c r="L502" s="32" t="n"/>
      <c r="M502" s="33" t="inlineStr">
        <is>
          <t>СК2</t>
        </is>
      </c>
      <c r="N502" s="33" t="n"/>
      <c r="O502" s="32" t="n">
        <v>45</v>
      </c>
      <c r="P502" s="1158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/>
      </c>
      <c r="Q502" s="785" t="n"/>
      <c r="R502" s="785" t="n"/>
      <c r="S502" s="785" t="n"/>
      <c r="T502" s="786" t="n"/>
      <c r="U502" s="34" t="n"/>
      <c r="V502" s="34" t="n"/>
      <c r="W502" s="35" t="inlineStr">
        <is>
          <t>кг</t>
        </is>
      </c>
      <c r="X502" s="1221" t="n">
        <v>0</v>
      </c>
      <c r="Y502" s="1222">
        <f>IFERROR(IF(X502="",0,CEILING((X502/$H502),1)*$H502),"")</f>
        <v/>
      </c>
      <c r="Z502" s="36">
        <f>IFERROR(IF(Y502=0,"",ROUNDUP(Y502/H502,0)*0.00502),"")</f>
        <v/>
      </c>
      <c r="AA502" s="56" t="n"/>
      <c r="AB502" s="57" t="n"/>
      <c r="AC502" s="599" t="inlineStr">
        <is>
          <t>ЕАЭС N RU Д-RU.РА03.В.60842/22</t>
        </is>
      </c>
      <c r="AG502" s="64" t="n"/>
      <c r="AJ502" s="68" t="n"/>
      <c r="AK502" s="68" t="n">
        <v>0</v>
      </c>
      <c r="BB502" s="600" t="inlineStr">
        <is>
          <t>КИ</t>
        </is>
      </c>
      <c r="BM502" s="64">
        <f>IFERROR(X502*I502/H502,"0")</f>
        <v/>
      </c>
      <c r="BN502" s="64">
        <f>IFERROR(Y502*I502/H502,"0")</f>
        <v/>
      </c>
      <c r="BO502" s="64">
        <f>IFERROR(1/J502*(X502/H502),"0")</f>
        <v/>
      </c>
      <c r="BP502" s="64">
        <f>IFERROR(1/J502*(Y502/H502),"0")</f>
        <v/>
      </c>
    </row>
    <row r="503" ht="27" customHeight="1">
      <c r="A503" s="54" t="inlineStr">
        <is>
          <t>SU003082</t>
        </is>
      </c>
      <c r="B503" s="54" t="inlineStr">
        <is>
          <t>P004356</t>
        </is>
      </c>
      <c r="C503" s="31" t="n">
        <v>4301031338</v>
      </c>
      <c r="D503" s="782" t="n">
        <v>4680115883185</v>
      </c>
      <c r="E503" s="783" t="n"/>
      <c r="F503" s="1220" t="n">
        <v>0.28</v>
      </c>
      <c r="G503" s="32" t="n">
        <v>6</v>
      </c>
      <c r="H503" s="1220" t="n">
        <v>1.68</v>
      </c>
      <c r="I503" s="1220" t="n">
        <v>1.81</v>
      </c>
      <c r="J503" s="32" t="n">
        <v>234</v>
      </c>
      <c r="K503" s="32" t="inlineStr">
        <is>
          <t>18</t>
        </is>
      </c>
      <c r="L503" s="32" t="n"/>
      <c r="M503" s="33" t="inlineStr">
        <is>
          <t>СК2</t>
        </is>
      </c>
      <c r="N503" s="33" t="n"/>
      <c r="O503" s="32" t="n">
        <v>50</v>
      </c>
      <c r="P503" s="987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/>
      </c>
      <c r="Q503" s="785" t="n"/>
      <c r="R503" s="785" t="n"/>
      <c r="S503" s="785" t="n"/>
      <c r="T503" s="786" t="n"/>
      <c r="U503" s="34" t="n"/>
      <c r="V503" s="34" t="n"/>
      <c r="W503" s="35" t="inlineStr">
        <is>
          <t>кг</t>
        </is>
      </c>
      <c r="X503" s="1221" t="n">
        <v>0</v>
      </c>
      <c r="Y503" s="1222">
        <f>IFERROR(IF(X503="",0,CEILING((X503/$H503),1)*$H503),"")</f>
        <v/>
      </c>
      <c r="Z503" s="36">
        <f>IFERROR(IF(Y503=0,"",ROUNDUP(Y503/H503,0)*0.00502),"")</f>
        <v/>
      </c>
      <c r="AA503" s="56" t="n"/>
      <c r="AB503" s="57" t="n"/>
      <c r="AC503" s="601" t="inlineStr">
        <is>
          <t>ЕАЭС N RU Д-RU.РА02.В.66942/23</t>
        </is>
      </c>
      <c r="AG503" s="64" t="n"/>
      <c r="AJ503" s="68" t="n"/>
      <c r="AK503" s="68" t="n">
        <v>0</v>
      </c>
      <c r="BB503" s="602" t="inlineStr">
        <is>
          <t>КИ</t>
        </is>
      </c>
      <c r="BM503" s="64">
        <f>IFERROR(X503*I503/H503,"0")</f>
        <v/>
      </c>
      <c r="BN503" s="64">
        <f>IFERROR(Y503*I503/H503,"0")</f>
        <v/>
      </c>
      <c r="BO503" s="64">
        <f>IFERROR(1/J503*(X503/H503),"0")</f>
        <v/>
      </c>
      <c r="BP503" s="64">
        <f>IFERROR(1/J503*(Y503/H503),"0")</f>
        <v/>
      </c>
    </row>
    <row r="504" ht="27" customHeight="1">
      <c r="A504" s="54" t="inlineStr">
        <is>
          <t>SU003082</t>
        </is>
      </c>
      <c r="B504" s="54" t="inlineStr">
        <is>
          <t>P004541</t>
        </is>
      </c>
      <c r="C504" s="31" t="n">
        <v>4301031368</v>
      </c>
      <c r="D504" s="782" t="n">
        <v>4680115883185</v>
      </c>
      <c r="E504" s="783" t="n"/>
      <c r="F504" s="1220" t="n">
        <v>0.28</v>
      </c>
      <c r="G504" s="32" t="n">
        <v>6</v>
      </c>
      <c r="H504" s="1220" t="n">
        <v>1.68</v>
      </c>
      <c r="I504" s="1220" t="n">
        <v>1.81</v>
      </c>
      <c r="J504" s="32" t="n">
        <v>234</v>
      </c>
      <c r="K504" s="32" t="inlineStr">
        <is>
          <t>18</t>
        </is>
      </c>
      <c r="L504" s="32" t="n"/>
      <c r="M504" s="33" t="inlineStr">
        <is>
          <t>СК2</t>
        </is>
      </c>
      <c r="N504" s="33" t="n"/>
      <c r="O504" s="32" t="n">
        <v>50</v>
      </c>
      <c r="P504" s="1017" t="inlineStr">
        <is>
          <t>В/к колбасы «Филейбургская с душистым чесноком» срез Фикс.вес 0,28 фиброуз в/у Баварушка</t>
        </is>
      </c>
      <c r="Q504" s="785" t="n"/>
      <c r="R504" s="785" t="n"/>
      <c r="S504" s="785" t="n"/>
      <c r="T504" s="786" t="n"/>
      <c r="U504" s="34" t="n"/>
      <c r="V504" s="34" t="n"/>
      <c r="W504" s="35" t="inlineStr">
        <is>
          <t>кг</t>
        </is>
      </c>
      <c r="X504" s="1221" t="n">
        <v>0</v>
      </c>
      <c r="Y504" s="1222">
        <f>IFERROR(IF(X504="",0,CEILING((X504/$H504),1)*$H504),"")</f>
        <v/>
      </c>
      <c r="Z504" s="36">
        <f>IFERROR(IF(Y504=0,"",ROUNDUP(Y504/H504,0)*0.00502),"")</f>
        <v/>
      </c>
      <c r="AA504" s="56" t="n"/>
      <c r="AB504" s="57" t="n"/>
      <c r="AC504" s="603" t="inlineStr">
        <is>
          <t>ЕАЭС N RU Д-RU.РА02.В.66942/23</t>
        </is>
      </c>
      <c r="AG504" s="64" t="n"/>
      <c r="AJ504" s="68" t="n"/>
      <c r="AK504" s="68" t="n">
        <v>0</v>
      </c>
      <c r="BB504" s="604" t="inlineStr">
        <is>
          <t>КИ</t>
        </is>
      </c>
      <c r="BM504" s="64">
        <f>IFERROR(X504*I504/H504,"0")</f>
        <v/>
      </c>
      <c r="BN504" s="64">
        <f>IFERROR(Y504*I504/H504,"0")</f>
        <v/>
      </c>
      <c r="BO504" s="64">
        <f>IFERROR(1/J504*(X504/H504),"0")</f>
        <v/>
      </c>
      <c r="BP504" s="64">
        <f>IFERROR(1/J504*(Y504/H504),"0")</f>
        <v/>
      </c>
    </row>
    <row r="505">
      <c r="A505" s="801" t="n"/>
      <c r="B505" s="800" t="n"/>
      <c r="C505" s="800" t="n"/>
      <c r="D505" s="800" t="n"/>
      <c r="E505" s="800" t="n"/>
      <c r="F505" s="800" t="n"/>
      <c r="G505" s="800" t="n"/>
      <c r="H505" s="800" t="n"/>
      <c r="I505" s="800" t="n"/>
      <c r="J505" s="800" t="n"/>
      <c r="K505" s="800" t="n"/>
      <c r="L505" s="800" t="n"/>
      <c r="M505" s="800" t="n"/>
      <c r="N505" s="800" t="n"/>
      <c r="O505" s="802" t="n"/>
      <c r="P505" s="796" t="inlineStr">
        <is>
          <t>Итого</t>
        </is>
      </c>
      <c r="Q505" s="793" t="n"/>
      <c r="R505" s="793" t="n"/>
      <c r="S505" s="793" t="n"/>
      <c r="T505" s="793" t="n"/>
      <c r="U505" s="793" t="n"/>
      <c r="V505" s="794" t="n"/>
      <c r="W505" s="37" t="inlineStr">
        <is>
          <t>кор</t>
        </is>
      </c>
      <c r="X505" s="1223">
        <f>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/>
      </c>
      <c r="Y505" s="1223">
        <f>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/>
      </c>
      <c r="Z505" s="1223">
        <f>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/>
      </c>
      <c r="AA505" s="1224" t="n"/>
      <c r="AB505" s="1224" t="n"/>
      <c r="AC505" s="1224" t="n"/>
    </row>
    <row r="506">
      <c r="A506" s="800" t="n"/>
      <c r="B506" s="800" t="n"/>
      <c r="C506" s="800" t="n"/>
      <c r="D506" s="800" t="n"/>
      <c r="E506" s="800" t="n"/>
      <c r="F506" s="800" t="n"/>
      <c r="G506" s="800" t="n"/>
      <c r="H506" s="800" t="n"/>
      <c r="I506" s="800" t="n"/>
      <c r="J506" s="800" t="n"/>
      <c r="K506" s="800" t="n"/>
      <c r="L506" s="800" t="n"/>
      <c r="M506" s="800" t="n"/>
      <c r="N506" s="800" t="n"/>
      <c r="O506" s="802" t="n"/>
      <c r="P506" s="796" t="inlineStr">
        <is>
          <t>Итого</t>
        </is>
      </c>
      <c r="Q506" s="793" t="n"/>
      <c r="R506" s="793" t="n"/>
      <c r="S506" s="793" t="n"/>
      <c r="T506" s="793" t="n"/>
      <c r="U506" s="793" t="n"/>
      <c r="V506" s="794" t="n"/>
      <c r="W506" s="37" t="inlineStr">
        <is>
          <t>кг</t>
        </is>
      </c>
      <c r="X506" s="1223">
        <f>IFERROR(SUM(X480:X504),"0")</f>
        <v/>
      </c>
      <c r="Y506" s="1223">
        <f>IFERROR(SUM(Y480:Y504),"0")</f>
        <v/>
      </c>
      <c r="Z506" s="37" t="n"/>
      <c r="AA506" s="1224" t="n"/>
      <c r="AB506" s="1224" t="n"/>
      <c r="AC506" s="1224" t="n"/>
    </row>
    <row r="507" ht="14.25" customHeight="1">
      <c r="A507" s="799" t="inlineStr">
        <is>
          <t>Сосиски</t>
        </is>
      </c>
      <c r="B507" s="800" t="n"/>
      <c r="C507" s="800" t="n"/>
      <c r="D507" s="800" t="n"/>
      <c r="E507" s="800" t="n"/>
      <c r="F507" s="800" t="n"/>
      <c r="G507" s="800" t="n"/>
      <c r="H507" s="800" t="n"/>
      <c r="I507" s="800" t="n"/>
      <c r="J507" s="800" t="n"/>
      <c r="K507" s="800" t="n"/>
      <c r="L507" s="800" t="n"/>
      <c r="M507" s="800" t="n"/>
      <c r="N507" s="800" t="n"/>
      <c r="O507" s="800" t="n"/>
      <c r="P507" s="800" t="n"/>
      <c r="Q507" s="800" t="n"/>
      <c r="R507" s="800" t="n"/>
      <c r="S507" s="800" t="n"/>
      <c r="T507" s="800" t="n"/>
      <c r="U507" s="800" t="n"/>
      <c r="V507" s="800" t="n"/>
      <c r="W507" s="800" t="n"/>
      <c r="X507" s="800" t="n"/>
      <c r="Y507" s="800" t="n"/>
      <c r="Z507" s="800" t="n"/>
      <c r="AA507" s="799" t="n"/>
      <c r="AB507" s="799" t="n"/>
      <c r="AC507" s="799" t="n"/>
    </row>
    <row r="508" ht="27" customHeight="1">
      <c r="A508" s="54" t="inlineStr">
        <is>
          <t>SU002285</t>
        </is>
      </c>
      <c r="B508" s="54" t="inlineStr">
        <is>
          <t>P002969</t>
        </is>
      </c>
      <c r="C508" s="31" t="n">
        <v>4301051284</v>
      </c>
      <c r="D508" s="782" t="n">
        <v>4607091384352</v>
      </c>
      <c r="E508" s="783" t="n"/>
      <c r="F508" s="1220" t="n">
        <v>0.6</v>
      </c>
      <c r="G508" s="32" t="n">
        <v>4</v>
      </c>
      <c r="H508" s="1220" t="n">
        <v>2.4</v>
      </c>
      <c r="I508" s="1220" t="n">
        <v>2.646</v>
      </c>
      <c r="J508" s="32" t="n">
        <v>132</v>
      </c>
      <c r="K508" s="32" t="inlineStr">
        <is>
          <t>12</t>
        </is>
      </c>
      <c r="L508" s="32" t="n"/>
      <c r="M508" s="33" t="inlineStr">
        <is>
          <t>СК3</t>
        </is>
      </c>
      <c r="N508" s="33" t="n"/>
      <c r="O508" s="32" t="n">
        <v>45</v>
      </c>
      <c r="P508" s="1169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Q508" s="785" t="n"/>
      <c r="R508" s="785" t="n"/>
      <c r="S508" s="785" t="n"/>
      <c r="T508" s="786" t="n"/>
      <c r="U508" s="34" t="n"/>
      <c r="V508" s="34" t="n"/>
      <c r="W508" s="35" t="inlineStr">
        <is>
          <t>кг</t>
        </is>
      </c>
      <c r="X508" s="1221" t="n">
        <v>0</v>
      </c>
      <c r="Y508" s="1222">
        <f>IFERROR(IF(X508="",0,CEILING((X508/$H508),1)*$H508),"")</f>
        <v/>
      </c>
      <c r="Z508" s="36">
        <f>IFERROR(IF(Y508=0,"",ROUNDUP(Y508/H508,0)*0.00902),"")</f>
        <v/>
      </c>
      <c r="AA508" s="56" t="n"/>
      <c r="AB508" s="57" t="n"/>
      <c r="AC508" s="605" t="inlineStr">
        <is>
          <t>ЕАЭС N RU Д-RU.РА02.В.28328/22</t>
        </is>
      </c>
      <c r="AG508" s="64" t="n"/>
      <c r="AJ508" s="68" t="n"/>
      <c r="AK508" s="68" t="n">
        <v>0</v>
      </c>
      <c r="BB508" s="606" t="inlineStr">
        <is>
          <t>КИ</t>
        </is>
      </c>
      <c r="BM508" s="64">
        <f>IFERROR(X508*I508/H508,"0")</f>
        <v/>
      </c>
      <c r="BN508" s="64">
        <f>IFERROR(Y508*I508/H508,"0")</f>
        <v/>
      </c>
      <c r="BO508" s="64">
        <f>IFERROR(1/J508*(X508/H508),"0")</f>
        <v/>
      </c>
      <c r="BP508" s="64">
        <f>IFERROR(1/J508*(Y508/H508),"0")</f>
        <v/>
      </c>
    </row>
    <row r="509" ht="27" customHeight="1">
      <c r="A509" s="54" t="inlineStr">
        <is>
          <t>SU002557</t>
        </is>
      </c>
      <c r="B509" s="54" t="inlineStr">
        <is>
          <t>P003318</t>
        </is>
      </c>
      <c r="C509" s="31" t="n">
        <v>4301051431</v>
      </c>
      <c r="D509" s="782" t="n">
        <v>4607091389654</v>
      </c>
      <c r="E509" s="783" t="n"/>
      <c r="F509" s="1220" t="n">
        <v>0.33</v>
      </c>
      <c r="G509" s="32" t="n">
        <v>6</v>
      </c>
      <c r="H509" s="1220" t="n">
        <v>1.98</v>
      </c>
      <c r="I509" s="1220" t="n">
        <v>2.238</v>
      </c>
      <c r="J509" s="32" t="n">
        <v>182</v>
      </c>
      <c r="K509" s="32" t="inlineStr">
        <is>
          <t>14</t>
        </is>
      </c>
      <c r="L509" s="32" t="n"/>
      <c r="M509" s="33" t="inlineStr">
        <is>
          <t>СК3</t>
        </is>
      </c>
      <c r="N509" s="33" t="n"/>
      <c r="O509" s="32" t="n">
        <v>45</v>
      </c>
      <c r="P509" s="874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Q509" s="785" t="n"/>
      <c r="R509" s="785" t="n"/>
      <c r="S509" s="785" t="n"/>
      <c r="T509" s="786" t="n"/>
      <c r="U509" s="34" t="n"/>
      <c r="V509" s="34" t="n"/>
      <c r="W509" s="35" t="inlineStr">
        <is>
          <t>кг</t>
        </is>
      </c>
      <c r="X509" s="1221" t="n">
        <v>0</v>
      </c>
      <c r="Y509" s="1222">
        <f>IFERROR(IF(X509="",0,CEILING((X509/$H509),1)*$H509),"")</f>
        <v/>
      </c>
      <c r="Z509" s="36">
        <f>IFERROR(IF(Y509=0,"",ROUNDUP(Y509/H509,0)*0.00651),"")</f>
        <v/>
      </c>
      <c r="AA509" s="56" t="n"/>
      <c r="AB509" s="57" t="n"/>
      <c r="AC509" s="607" t="inlineStr">
        <is>
          <t>ЕАЭС N RU Д-RU.РА01.В.79709/21</t>
        </is>
      </c>
      <c r="AG509" s="64" t="n"/>
      <c r="AJ509" s="68" t="n"/>
      <c r="AK509" s="68" t="n">
        <v>0</v>
      </c>
      <c r="BB509" s="608" t="inlineStr">
        <is>
          <t>КИ</t>
        </is>
      </c>
      <c r="BM509" s="64">
        <f>IFERROR(X509*I509/H509,"0")</f>
        <v/>
      </c>
      <c r="BN509" s="64">
        <f>IFERROR(Y509*I509/H509,"0")</f>
        <v/>
      </c>
      <c r="BO509" s="64">
        <f>IFERROR(1/J509*(X509/H509),"0")</f>
        <v/>
      </c>
      <c r="BP509" s="64">
        <f>IFERROR(1/J509*(Y509/H509),"0")</f>
        <v/>
      </c>
    </row>
    <row r="510">
      <c r="A510" s="801" t="n"/>
      <c r="B510" s="800" t="n"/>
      <c r="C510" s="800" t="n"/>
      <c r="D510" s="800" t="n"/>
      <c r="E510" s="800" t="n"/>
      <c r="F510" s="800" t="n"/>
      <c r="G510" s="800" t="n"/>
      <c r="H510" s="800" t="n"/>
      <c r="I510" s="800" t="n"/>
      <c r="J510" s="800" t="n"/>
      <c r="K510" s="800" t="n"/>
      <c r="L510" s="800" t="n"/>
      <c r="M510" s="800" t="n"/>
      <c r="N510" s="800" t="n"/>
      <c r="O510" s="802" t="n"/>
      <c r="P510" s="796" t="inlineStr">
        <is>
          <t>Итого</t>
        </is>
      </c>
      <c r="Q510" s="793" t="n"/>
      <c r="R510" s="793" t="n"/>
      <c r="S510" s="793" t="n"/>
      <c r="T510" s="793" t="n"/>
      <c r="U510" s="793" t="n"/>
      <c r="V510" s="794" t="n"/>
      <c r="W510" s="37" t="inlineStr">
        <is>
          <t>кор</t>
        </is>
      </c>
      <c r="X510" s="1223">
        <f>IFERROR(X508/H508,"0")+IFERROR(X509/H509,"0")</f>
        <v/>
      </c>
      <c r="Y510" s="1223">
        <f>IFERROR(Y508/H508,"0")+IFERROR(Y509/H509,"0")</f>
        <v/>
      </c>
      <c r="Z510" s="1223">
        <f>IFERROR(IF(Z508="",0,Z508),"0")+IFERROR(IF(Z509="",0,Z509),"0")</f>
        <v/>
      </c>
      <c r="AA510" s="1224" t="n"/>
      <c r="AB510" s="1224" t="n"/>
      <c r="AC510" s="1224" t="n"/>
    </row>
    <row r="511">
      <c r="A511" s="800" t="n"/>
      <c r="B511" s="800" t="n"/>
      <c r="C511" s="800" t="n"/>
      <c r="D511" s="800" t="n"/>
      <c r="E511" s="800" t="n"/>
      <c r="F511" s="800" t="n"/>
      <c r="G511" s="800" t="n"/>
      <c r="H511" s="800" t="n"/>
      <c r="I511" s="800" t="n"/>
      <c r="J511" s="800" t="n"/>
      <c r="K511" s="800" t="n"/>
      <c r="L511" s="800" t="n"/>
      <c r="M511" s="800" t="n"/>
      <c r="N511" s="800" t="n"/>
      <c r="O511" s="802" t="n"/>
      <c r="P511" s="796" t="inlineStr">
        <is>
          <t>Итого</t>
        </is>
      </c>
      <c r="Q511" s="793" t="n"/>
      <c r="R511" s="793" t="n"/>
      <c r="S511" s="793" t="n"/>
      <c r="T511" s="793" t="n"/>
      <c r="U511" s="793" t="n"/>
      <c r="V511" s="794" t="n"/>
      <c r="W511" s="37" t="inlineStr">
        <is>
          <t>кг</t>
        </is>
      </c>
      <c r="X511" s="1223">
        <f>IFERROR(SUM(X508:X509),"0")</f>
        <v/>
      </c>
      <c r="Y511" s="1223">
        <f>IFERROR(SUM(Y508:Y509),"0")</f>
        <v/>
      </c>
      <c r="Z511" s="37" t="n"/>
      <c r="AA511" s="1224" t="n"/>
      <c r="AB511" s="1224" t="n"/>
      <c r="AC511" s="1224" t="n"/>
    </row>
    <row r="512" ht="14.25" customHeight="1">
      <c r="A512" s="799" t="inlineStr">
        <is>
          <t>Сырокопченые колбасы</t>
        </is>
      </c>
      <c r="B512" s="800" t="n"/>
      <c r="C512" s="800" t="n"/>
      <c r="D512" s="800" t="n"/>
      <c r="E512" s="800" t="n"/>
      <c r="F512" s="800" t="n"/>
      <c r="G512" s="800" t="n"/>
      <c r="H512" s="800" t="n"/>
      <c r="I512" s="800" t="n"/>
      <c r="J512" s="800" t="n"/>
      <c r="K512" s="800" t="n"/>
      <c r="L512" s="800" t="n"/>
      <c r="M512" s="800" t="n"/>
      <c r="N512" s="800" t="n"/>
      <c r="O512" s="800" t="n"/>
      <c r="P512" s="800" t="n"/>
      <c r="Q512" s="800" t="n"/>
      <c r="R512" s="800" t="n"/>
      <c r="S512" s="800" t="n"/>
      <c r="T512" s="800" t="n"/>
      <c r="U512" s="800" t="n"/>
      <c r="V512" s="800" t="n"/>
      <c r="W512" s="800" t="n"/>
      <c r="X512" s="800" t="n"/>
      <c r="Y512" s="800" t="n"/>
      <c r="Z512" s="800" t="n"/>
      <c r="AA512" s="799" t="n"/>
      <c r="AB512" s="799" t="n"/>
      <c r="AC512" s="799" t="n"/>
    </row>
    <row r="513" ht="27" customHeight="1">
      <c r="A513" s="54" t="inlineStr">
        <is>
          <t>SU003277</t>
        </is>
      </c>
      <c r="B513" s="54" t="inlineStr">
        <is>
          <t>P003775</t>
        </is>
      </c>
      <c r="C513" s="31" t="n">
        <v>4301032045</v>
      </c>
      <c r="D513" s="782" t="n">
        <v>4680115884335</v>
      </c>
      <c r="E513" s="783" t="n"/>
      <c r="F513" s="1220" t="n">
        <v>0.06</v>
      </c>
      <c r="G513" s="32" t="n">
        <v>20</v>
      </c>
      <c r="H513" s="1220" t="n">
        <v>1.2</v>
      </c>
      <c r="I513" s="1220" t="n">
        <v>1.8</v>
      </c>
      <c r="J513" s="32" t="n">
        <v>200</v>
      </c>
      <c r="K513" s="32" t="inlineStr">
        <is>
          <t>10</t>
        </is>
      </c>
      <c r="L513" s="32" t="n"/>
      <c r="M513" s="33" t="inlineStr">
        <is>
          <t>ДК</t>
        </is>
      </c>
      <c r="N513" s="33" t="n"/>
      <c r="O513" s="32" t="n">
        <v>60</v>
      </c>
      <c r="P513" s="1067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/>
      </c>
      <c r="Q513" s="785" t="n"/>
      <c r="R513" s="785" t="n"/>
      <c r="S513" s="785" t="n"/>
      <c r="T513" s="786" t="n"/>
      <c r="U513" s="34" t="n"/>
      <c r="V513" s="34" t="n"/>
      <c r="W513" s="35" t="inlineStr">
        <is>
          <t>кг</t>
        </is>
      </c>
      <c r="X513" s="1221" t="n">
        <v>0</v>
      </c>
      <c r="Y513" s="1222">
        <f>IFERROR(IF(X513="",0,CEILING((X513/$H513),1)*$H513),"")</f>
        <v/>
      </c>
      <c r="Z513" s="36">
        <f>IFERROR(IF(Y513=0,"",ROUNDUP(Y513/H513,0)*0.00627),"")</f>
        <v/>
      </c>
      <c r="AA513" s="56" t="n"/>
      <c r="AB513" s="57" t="n"/>
      <c r="AC513" s="609" t="inlineStr">
        <is>
          <t>ЕАЭС N RU Д-RU.РА05.В.48399/23</t>
        </is>
      </c>
      <c r="AG513" s="64" t="n"/>
      <c r="AJ513" s="68" t="n"/>
      <c r="AK513" s="68" t="n">
        <v>0</v>
      </c>
      <c r="BB513" s="610" t="inlineStr">
        <is>
          <t>КИ</t>
        </is>
      </c>
      <c r="BM513" s="64">
        <f>IFERROR(X513*I513/H513,"0")</f>
        <v/>
      </c>
      <c r="BN513" s="64">
        <f>IFERROR(Y513*I513/H513,"0")</f>
        <v/>
      </c>
      <c r="BO513" s="64">
        <f>IFERROR(1/J513*(X513/H513),"0")</f>
        <v/>
      </c>
      <c r="BP513" s="64">
        <f>IFERROR(1/J513*(Y513/H513),"0")</f>
        <v/>
      </c>
    </row>
    <row r="514" ht="27" customHeight="1">
      <c r="A514" s="54" t="inlineStr">
        <is>
          <t>SU003281</t>
        </is>
      </c>
      <c r="B514" s="54" t="inlineStr">
        <is>
          <t>P003774</t>
        </is>
      </c>
      <c r="C514" s="31" t="n">
        <v>4301170011</v>
      </c>
      <c r="D514" s="782" t="n">
        <v>4680115884113</v>
      </c>
      <c r="E514" s="783" t="n"/>
      <c r="F514" s="1220" t="n">
        <v>0.11</v>
      </c>
      <c r="G514" s="32" t="n">
        <v>12</v>
      </c>
      <c r="H514" s="1220" t="n">
        <v>1.32</v>
      </c>
      <c r="I514" s="1220" t="n">
        <v>1.88</v>
      </c>
      <c r="J514" s="32" t="n">
        <v>200</v>
      </c>
      <c r="K514" s="32" t="inlineStr">
        <is>
          <t>10</t>
        </is>
      </c>
      <c r="L514" s="32" t="n"/>
      <c r="M514" s="33" t="inlineStr">
        <is>
          <t>ДК</t>
        </is>
      </c>
      <c r="N514" s="33" t="n"/>
      <c r="O514" s="32" t="n">
        <v>150</v>
      </c>
      <c r="P514" s="1040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/>
      </c>
      <c r="Q514" s="785" t="n"/>
      <c r="R514" s="785" t="n"/>
      <c r="S514" s="785" t="n"/>
      <c r="T514" s="786" t="n"/>
      <c r="U514" s="34" t="n"/>
      <c r="V514" s="34" t="n"/>
      <c r="W514" s="35" t="inlineStr">
        <is>
          <t>кг</t>
        </is>
      </c>
      <c r="X514" s="1221" t="n">
        <v>0</v>
      </c>
      <c r="Y514" s="1222">
        <f>IFERROR(IF(X514="",0,CEILING((X514/$H514),1)*$H514),"")</f>
        <v/>
      </c>
      <c r="Z514" s="36">
        <f>IFERROR(IF(Y514=0,"",ROUNDUP(Y514/H514,0)*0.00627),"")</f>
        <v/>
      </c>
      <c r="AA514" s="56" t="n"/>
      <c r="AB514" s="57" t="n"/>
      <c r="AC514" s="611" t="inlineStr">
        <is>
          <t>ЕАЭС N RU Д-RU.РА05.В.39473/23</t>
        </is>
      </c>
      <c r="AG514" s="64" t="n"/>
      <c r="AJ514" s="68" t="n"/>
      <c r="AK514" s="68" t="n">
        <v>0</v>
      </c>
      <c r="BB514" s="612" t="inlineStr">
        <is>
          <t>КИ</t>
        </is>
      </c>
      <c r="BM514" s="64">
        <f>IFERROR(X514*I514/H514,"0")</f>
        <v/>
      </c>
      <c r="BN514" s="64">
        <f>IFERROR(Y514*I514/H514,"0")</f>
        <v/>
      </c>
      <c r="BO514" s="64">
        <f>IFERROR(1/J514*(X514/H514),"0")</f>
        <v/>
      </c>
      <c r="BP514" s="64">
        <f>IFERROR(1/J514*(Y514/H514),"0")</f>
        <v/>
      </c>
    </row>
    <row r="515">
      <c r="A515" s="801" t="n"/>
      <c r="B515" s="800" t="n"/>
      <c r="C515" s="800" t="n"/>
      <c r="D515" s="800" t="n"/>
      <c r="E515" s="800" t="n"/>
      <c r="F515" s="800" t="n"/>
      <c r="G515" s="800" t="n"/>
      <c r="H515" s="800" t="n"/>
      <c r="I515" s="800" t="n"/>
      <c r="J515" s="800" t="n"/>
      <c r="K515" s="800" t="n"/>
      <c r="L515" s="800" t="n"/>
      <c r="M515" s="800" t="n"/>
      <c r="N515" s="800" t="n"/>
      <c r="O515" s="802" t="n"/>
      <c r="P515" s="796" t="inlineStr">
        <is>
          <t>Итого</t>
        </is>
      </c>
      <c r="Q515" s="793" t="n"/>
      <c r="R515" s="793" t="n"/>
      <c r="S515" s="793" t="n"/>
      <c r="T515" s="793" t="n"/>
      <c r="U515" s="793" t="n"/>
      <c r="V515" s="794" t="n"/>
      <c r="W515" s="37" t="inlineStr">
        <is>
          <t>кор</t>
        </is>
      </c>
      <c r="X515" s="1223">
        <f>IFERROR(X513/H513,"0")+IFERROR(X514/H514,"0")</f>
        <v/>
      </c>
      <c r="Y515" s="1223">
        <f>IFERROR(Y513/H513,"0")+IFERROR(Y514/H514,"0")</f>
        <v/>
      </c>
      <c r="Z515" s="1223">
        <f>IFERROR(IF(Z513="",0,Z513),"0")+IFERROR(IF(Z514="",0,Z514),"0")</f>
        <v/>
      </c>
      <c r="AA515" s="1224" t="n"/>
      <c r="AB515" s="1224" t="n"/>
      <c r="AC515" s="1224" t="n"/>
    </row>
    <row r="516">
      <c r="A516" s="800" t="n"/>
      <c r="B516" s="800" t="n"/>
      <c r="C516" s="800" t="n"/>
      <c r="D516" s="800" t="n"/>
      <c r="E516" s="800" t="n"/>
      <c r="F516" s="800" t="n"/>
      <c r="G516" s="800" t="n"/>
      <c r="H516" s="800" t="n"/>
      <c r="I516" s="800" t="n"/>
      <c r="J516" s="800" t="n"/>
      <c r="K516" s="800" t="n"/>
      <c r="L516" s="800" t="n"/>
      <c r="M516" s="800" t="n"/>
      <c r="N516" s="800" t="n"/>
      <c r="O516" s="802" t="n"/>
      <c r="P516" s="796" t="inlineStr">
        <is>
          <t>Итого</t>
        </is>
      </c>
      <c r="Q516" s="793" t="n"/>
      <c r="R516" s="793" t="n"/>
      <c r="S516" s="793" t="n"/>
      <c r="T516" s="793" t="n"/>
      <c r="U516" s="793" t="n"/>
      <c r="V516" s="794" t="n"/>
      <c r="W516" s="37" t="inlineStr">
        <is>
          <t>кг</t>
        </is>
      </c>
      <c r="X516" s="1223">
        <f>IFERROR(SUM(X513:X514),"0")</f>
        <v/>
      </c>
      <c r="Y516" s="1223">
        <f>IFERROR(SUM(Y513:Y514),"0")</f>
        <v/>
      </c>
      <c r="Z516" s="37" t="n"/>
      <c r="AA516" s="1224" t="n"/>
      <c r="AB516" s="1224" t="n"/>
      <c r="AC516" s="1224" t="n"/>
    </row>
    <row r="517" ht="16.5" customHeight="1">
      <c r="A517" s="807" t="inlineStr">
        <is>
          <t>Балыкбургская</t>
        </is>
      </c>
      <c r="B517" s="800" t="n"/>
      <c r="C517" s="800" t="n"/>
      <c r="D517" s="800" t="n"/>
      <c r="E517" s="800" t="n"/>
      <c r="F517" s="800" t="n"/>
      <c r="G517" s="800" t="n"/>
      <c r="H517" s="800" t="n"/>
      <c r="I517" s="800" t="n"/>
      <c r="J517" s="800" t="n"/>
      <c r="K517" s="800" t="n"/>
      <c r="L517" s="800" t="n"/>
      <c r="M517" s="800" t="n"/>
      <c r="N517" s="800" t="n"/>
      <c r="O517" s="800" t="n"/>
      <c r="P517" s="800" t="n"/>
      <c r="Q517" s="800" t="n"/>
      <c r="R517" s="800" t="n"/>
      <c r="S517" s="800" t="n"/>
      <c r="T517" s="800" t="n"/>
      <c r="U517" s="800" t="n"/>
      <c r="V517" s="800" t="n"/>
      <c r="W517" s="800" t="n"/>
      <c r="X517" s="800" t="n"/>
      <c r="Y517" s="800" t="n"/>
      <c r="Z517" s="800" t="n"/>
      <c r="AA517" s="807" t="n"/>
      <c r="AB517" s="807" t="n"/>
      <c r="AC517" s="807" t="n"/>
    </row>
    <row r="518" ht="14.25" customHeight="1">
      <c r="A518" s="799" t="inlineStr">
        <is>
          <t>Ветчины</t>
        </is>
      </c>
      <c r="B518" s="800" t="n"/>
      <c r="C518" s="800" t="n"/>
      <c r="D518" s="800" t="n"/>
      <c r="E518" s="800" t="n"/>
      <c r="F518" s="800" t="n"/>
      <c r="G518" s="800" t="n"/>
      <c r="H518" s="800" t="n"/>
      <c r="I518" s="800" t="n"/>
      <c r="J518" s="800" t="n"/>
      <c r="K518" s="800" t="n"/>
      <c r="L518" s="800" t="n"/>
      <c r="M518" s="800" t="n"/>
      <c r="N518" s="800" t="n"/>
      <c r="O518" s="800" t="n"/>
      <c r="P518" s="800" t="n"/>
      <c r="Q518" s="800" t="n"/>
      <c r="R518" s="800" t="n"/>
      <c r="S518" s="800" t="n"/>
      <c r="T518" s="800" t="n"/>
      <c r="U518" s="800" t="n"/>
      <c r="V518" s="800" t="n"/>
      <c r="W518" s="800" t="n"/>
      <c r="X518" s="800" t="n"/>
      <c r="Y518" s="800" t="n"/>
      <c r="Z518" s="800" t="n"/>
      <c r="AA518" s="799" t="n"/>
      <c r="AB518" s="799" t="n"/>
      <c r="AC518" s="799" t="n"/>
    </row>
    <row r="519" ht="27" customHeight="1">
      <c r="A519" s="54" t="inlineStr">
        <is>
          <t>SU002319</t>
        </is>
      </c>
      <c r="B519" s="54" t="inlineStr">
        <is>
          <t>P004389</t>
        </is>
      </c>
      <c r="C519" s="31" t="n">
        <v>4301020315</v>
      </c>
      <c r="D519" s="782" t="n">
        <v>4607091389364</v>
      </c>
      <c r="E519" s="783" t="n"/>
      <c r="F519" s="1220" t="n">
        <v>0.42</v>
      </c>
      <c r="G519" s="32" t="n">
        <v>6</v>
      </c>
      <c r="H519" s="1220" t="n">
        <v>2.52</v>
      </c>
      <c r="I519" s="1220" t="n">
        <v>2.73</v>
      </c>
      <c r="J519" s="32" t="n">
        <v>182</v>
      </c>
      <c r="K519" s="32" t="inlineStr">
        <is>
          <t>14</t>
        </is>
      </c>
      <c r="L519" s="32" t="n"/>
      <c r="M519" s="33" t="inlineStr">
        <is>
          <t>СК2</t>
        </is>
      </c>
      <c r="N519" s="33" t="n"/>
      <c r="O519" s="32" t="n">
        <v>40</v>
      </c>
      <c r="P519" s="1062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/>
      </c>
      <c r="Q519" s="785" t="n"/>
      <c r="R519" s="785" t="n"/>
      <c r="S519" s="785" t="n"/>
      <c r="T519" s="786" t="n"/>
      <c r="U519" s="34" t="n"/>
      <c r="V519" s="34" t="n"/>
      <c r="W519" s="35" t="inlineStr">
        <is>
          <t>кг</t>
        </is>
      </c>
      <c r="X519" s="1221" t="n">
        <v>0</v>
      </c>
      <c r="Y519" s="1222">
        <f>IFERROR(IF(X519="",0,CEILING((X519/$H519),1)*$H519),"")</f>
        <v/>
      </c>
      <c r="Z519" s="36">
        <f>IFERROR(IF(Y519=0,"",ROUNDUP(Y519/H519,0)*0.00651),"")</f>
        <v/>
      </c>
      <c r="AA519" s="56" t="n"/>
      <c r="AB519" s="57" t="n"/>
      <c r="AC519" s="613" t="inlineStr">
        <is>
          <t>ЕАЭС N RU Д-RU.РА04.В.08736/24, ЕАЭС N RU Д-RU.РА04.В.08946/24</t>
        </is>
      </c>
      <c r="AG519" s="64" t="n"/>
      <c r="AJ519" s="68" t="n"/>
      <c r="AK519" s="68" t="n">
        <v>0</v>
      </c>
      <c r="BB519" s="614" t="inlineStr">
        <is>
          <t>КИ</t>
        </is>
      </c>
      <c r="BM519" s="64">
        <f>IFERROR(X519*I519/H519,"0")</f>
        <v/>
      </c>
      <c r="BN519" s="64">
        <f>IFERROR(Y519*I519/H519,"0")</f>
        <v/>
      </c>
      <c r="BO519" s="64">
        <f>IFERROR(1/J519*(X519/H519),"0")</f>
        <v/>
      </c>
      <c r="BP519" s="64">
        <f>IFERROR(1/J519*(Y519/H519),"0")</f>
        <v/>
      </c>
    </row>
    <row r="520">
      <c r="A520" s="801" t="n"/>
      <c r="B520" s="800" t="n"/>
      <c r="C520" s="800" t="n"/>
      <c r="D520" s="800" t="n"/>
      <c r="E520" s="800" t="n"/>
      <c r="F520" s="800" t="n"/>
      <c r="G520" s="800" t="n"/>
      <c r="H520" s="800" t="n"/>
      <c r="I520" s="800" t="n"/>
      <c r="J520" s="800" t="n"/>
      <c r="K520" s="800" t="n"/>
      <c r="L520" s="800" t="n"/>
      <c r="M520" s="800" t="n"/>
      <c r="N520" s="800" t="n"/>
      <c r="O520" s="802" t="n"/>
      <c r="P520" s="796" t="inlineStr">
        <is>
          <t>Итого</t>
        </is>
      </c>
      <c r="Q520" s="793" t="n"/>
      <c r="R520" s="793" t="n"/>
      <c r="S520" s="793" t="n"/>
      <c r="T520" s="793" t="n"/>
      <c r="U520" s="793" t="n"/>
      <c r="V520" s="794" t="n"/>
      <c r="W520" s="37" t="inlineStr">
        <is>
          <t>кор</t>
        </is>
      </c>
      <c r="X520" s="1223">
        <f>IFERROR(X519/H519,"0")</f>
        <v/>
      </c>
      <c r="Y520" s="1223">
        <f>IFERROR(Y519/H519,"0")</f>
        <v/>
      </c>
      <c r="Z520" s="1223">
        <f>IFERROR(IF(Z519="",0,Z519),"0")</f>
        <v/>
      </c>
      <c r="AA520" s="1224" t="n"/>
      <c r="AB520" s="1224" t="n"/>
      <c r="AC520" s="1224" t="n"/>
    </row>
    <row r="521">
      <c r="A521" s="800" t="n"/>
      <c r="B521" s="800" t="n"/>
      <c r="C521" s="800" t="n"/>
      <c r="D521" s="800" t="n"/>
      <c r="E521" s="800" t="n"/>
      <c r="F521" s="800" t="n"/>
      <c r="G521" s="800" t="n"/>
      <c r="H521" s="800" t="n"/>
      <c r="I521" s="800" t="n"/>
      <c r="J521" s="800" t="n"/>
      <c r="K521" s="800" t="n"/>
      <c r="L521" s="800" t="n"/>
      <c r="M521" s="800" t="n"/>
      <c r="N521" s="800" t="n"/>
      <c r="O521" s="802" t="n"/>
      <c r="P521" s="796" t="inlineStr">
        <is>
          <t>Итого</t>
        </is>
      </c>
      <c r="Q521" s="793" t="n"/>
      <c r="R521" s="793" t="n"/>
      <c r="S521" s="793" t="n"/>
      <c r="T521" s="793" t="n"/>
      <c r="U521" s="793" t="n"/>
      <c r="V521" s="794" t="n"/>
      <c r="W521" s="37" t="inlineStr">
        <is>
          <t>кг</t>
        </is>
      </c>
      <c r="X521" s="1223">
        <f>IFERROR(SUM(X519:X519),"0")</f>
        <v/>
      </c>
      <c r="Y521" s="1223">
        <f>IFERROR(SUM(Y519:Y519),"0")</f>
        <v/>
      </c>
      <c r="Z521" s="37" t="n"/>
      <c r="AA521" s="1224" t="n"/>
      <c r="AB521" s="1224" t="n"/>
      <c r="AC521" s="1224" t="n"/>
    </row>
    <row r="522" ht="14.25" customHeight="1">
      <c r="A522" s="799" t="inlineStr">
        <is>
          <t>Копченые колбасы</t>
        </is>
      </c>
      <c r="B522" s="800" t="n"/>
      <c r="C522" s="800" t="n"/>
      <c r="D522" s="800" t="n"/>
      <c r="E522" s="800" t="n"/>
      <c r="F522" s="800" t="n"/>
      <c r="G522" s="800" t="n"/>
      <c r="H522" s="800" t="n"/>
      <c r="I522" s="800" t="n"/>
      <c r="J522" s="800" t="n"/>
      <c r="K522" s="800" t="n"/>
      <c r="L522" s="800" t="n"/>
      <c r="M522" s="800" t="n"/>
      <c r="N522" s="800" t="n"/>
      <c r="O522" s="800" t="n"/>
      <c r="P522" s="800" t="n"/>
      <c r="Q522" s="800" t="n"/>
      <c r="R522" s="800" t="n"/>
      <c r="S522" s="800" t="n"/>
      <c r="T522" s="800" t="n"/>
      <c r="U522" s="800" t="n"/>
      <c r="V522" s="800" t="n"/>
      <c r="W522" s="800" t="n"/>
      <c r="X522" s="800" t="n"/>
      <c r="Y522" s="800" t="n"/>
      <c r="Z522" s="800" t="n"/>
      <c r="AA522" s="799" t="n"/>
      <c r="AB522" s="799" t="n"/>
      <c r="AC522" s="799" t="n"/>
    </row>
    <row r="523" ht="27" customHeight="1">
      <c r="A523" s="54" t="inlineStr">
        <is>
          <t>SU002612</t>
        </is>
      </c>
      <c r="B523" s="54" t="inlineStr">
        <is>
          <t>P004896</t>
        </is>
      </c>
      <c r="C523" s="31" t="n">
        <v>4301031403</v>
      </c>
      <c r="D523" s="782" t="n">
        <v>4680115886094</v>
      </c>
      <c r="E523" s="783" t="n"/>
      <c r="F523" s="1220" t="n">
        <v>0.9</v>
      </c>
      <c r="G523" s="32" t="n">
        <v>6</v>
      </c>
      <c r="H523" s="1220" t="n">
        <v>5.4</v>
      </c>
      <c r="I523" s="1220" t="n">
        <v>5.61</v>
      </c>
      <c r="J523" s="32" t="n">
        <v>132</v>
      </c>
      <c r="K523" s="32" t="inlineStr">
        <is>
          <t>12</t>
        </is>
      </c>
      <c r="L523" s="32" t="n"/>
      <c r="M523" s="33" t="inlineStr">
        <is>
          <t>СК1</t>
        </is>
      </c>
      <c r="N523" s="33" t="n"/>
      <c r="O523" s="32" t="n">
        <v>50</v>
      </c>
      <c r="P523" s="1116" t="inlineStr">
        <is>
          <t>Копченые колбасы «Балыкбургская» Весовой фиброуз ТМ «Баварушка»</t>
        </is>
      </c>
      <c r="Q523" s="785" t="n"/>
      <c r="R523" s="785" t="n"/>
      <c r="S523" s="785" t="n"/>
      <c r="T523" s="786" t="n"/>
      <c r="U523" s="34" t="n"/>
      <c r="V523" s="34" t="n"/>
      <c r="W523" s="35" t="inlineStr">
        <is>
          <t>кг</t>
        </is>
      </c>
      <c r="X523" s="1221" t="n">
        <v>0</v>
      </c>
      <c r="Y523" s="1222">
        <f>IFERROR(IF(X523="",0,CEILING((X523/$H523),1)*$H523),"")</f>
        <v/>
      </c>
      <c r="Z523" s="36">
        <f>IFERROR(IF(Y523=0,"",ROUNDUP(Y523/H523,0)*0.00902),"")</f>
        <v/>
      </c>
      <c r="AA523" s="56" t="n"/>
      <c r="AB523" s="57" t="n"/>
      <c r="AC523" s="615" t="inlineStr">
        <is>
          <t>ЕАЭС N RU Д-RU.РА02.В.65356/23, ЕАЭС N RU Д-RU.РА02.В.66890/23</t>
        </is>
      </c>
      <c r="AG523" s="64" t="n"/>
      <c r="AJ523" s="68" t="n"/>
      <c r="AK523" s="68" t="n">
        <v>0</v>
      </c>
      <c r="BB523" s="616" t="inlineStr">
        <is>
          <t>КИ</t>
        </is>
      </c>
      <c r="BM523" s="64">
        <f>IFERROR(X523*I523/H523,"0")</f>
        <v/>
      </c>
      <c r="BN523" s="64">
        <f>IFERROR(Y523*I523/H523,"0")</f>
        <v/>
      </c>
      <c r="BO523" s="64">
        <f>IFERROR(1/J523*(X523/H523),"0")</f>
        <v/>
      </c>
      <c r="BP523" s="64">
        <f>IFERROR(1/J523*(Y523/H523),"0")</f>
        <v/>
      </c>
    </row>
    <row r="524" ht="27" customHeight="1">
      <c r="A524" s="54" t="inlineStr">
        <is>
          <t>SU002545</t>
        </is>
      </c>
      <c r="B524" s="54" t="inlineStr">
        <is>
          <t>P004516</t>
        </is>
      </c>
      <c r="C524" s="31" t="n">
        <v>4301031363</v>
      </c>
      <c r="D524" s="782" t="n">
        <v>4607091389425</v>
      </c>
      <c r="E524" s="783" t="n"/>
      <c r="F524" s="1220" t="n">
        <v>0.35</v>
      </c>
      <c r="G524" s="32" t="n">
        <v>6</v>
      </c>
      <c r="H524" s="1220" t="n">
        <v>2.1</v>
      </c>
      <c r="I524" s="1220" t="n">
        <v>2.23</v>
      </c>
      <c r="J524" s="32" t="n">
        <v>234</v>
      </c>
      <c r="K524" s="32" t="inlineStr">
        <is>
          <t>18</t>
        </is>
      </c>
      <c r="L524" s="32" t="n"/>
      <c r="M524" s="33" t="inlineStr">
        <is>
          <t>СК2</t>
        </is>
      </c>
      <c r="N524" s="33" t="n"/>
      <c r="O524" s="32" t="n">
        <v>50</v>
      </c>
      <c r="P524" s="1110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/>
      </c>
      <c r="Q524" s="785" t="n"/>
      <c r="R524" s="785" t="n"/>
      <c r="S524" s="785" t="n"/>
      <c r="T524" s="786" t="n"/>
      <c r="U524" s="34" t="n"/>
      <c r="V524" s="34" t="n"/>
      <c r="W524" s="35" t="inlineStr">
        <is>
          <t>кг</t>
        </is>
      </c>
      <c r="X524" s="1221" t="n">
        <v>0</v>
      </c>
      <c r="Y524" s="1222">
        <f>IFERROR(IF(X524="",0,CEILING((X524/$H524),1)*$H524),"")</f>
        <v/>
      </c>
      <c r="Z524" s="36">
        <f>IFERROR(IF(Y524=0,"",ROUNDUP(Y524/H524,0)*0.00502),"")</f>
        <v/>
      </c>
      <c r="AA524" s="56" t="n"/>
      <c r="AB524" s="57" t="n"/>
      <c r="AC524" s="617" t="inlineStr">
        <is>
          <t>ЕАЭС N RU Д-RU.РА02.В.65449/23</t>
        </is>
      </c>
      <c r="AG524" s="64" t="n"/>
      <c r="AJ524" s="68" t="n"/>
      <c r="AK524" s="68" t="n">
        <v>0</v>
      </c>
      <c r="BB524" s="618" t="inlineStr">
        <is>
          <t>КИ</t>
        </is>
      </c>
      <c r="BM524" s="64">
        <f>IFERROR(X524*I524/H524,"0")</f>
        <v/>
      </c>
      <c r="BN524" s="64">
        <f>IFERROR(Y524*I524/H524,"0")</f>
        <v/>
      </c>
      <c r="BO524" s="64">
        <f>IFERROR(1/J524*(X524/H524),"0")</f>
        <v/>
      </c>
      <c r="BP524" s="64">
        <f>IFERROR(1/J524*(Y524/H524),"0")</f>
        <v/>
      </c>
    </row>
    <row r="525" ht="27" customHeight="1">
      <c r="A525" s="54" t="inlineStr">
        <is>
          <t>SU002726</t>
        </is>
      </c>
      <c r="B525" s="54" t="inlineStr">
        <is>
          <t>P004546</t>
        </is>
      </c>
      <c r="C525" s="31" t="n">
        <v>4301031373</v>
      </c>
      <c r="D525" s="782" t="n">
        <v>4680115880771</v>
      </c>
      <c r="E525" s="783" t="n"/>
      <c r="F525" s="1220" t="n">
        <v>0.28</v>
      </c>
      <c r="G525" s="32" t="n">
        <v>6</v>
      </c>
      <c r="H525" s="1220" t="n">
        <v>1.68</v>
      </c>
      <c r="I525" s="1220" t="n">
        <v>1.81</v>
      </c>
      <c r="J525" s="32" t="n">
        <v>234</v>
      </c>
      <c r="K525" s="32" t="inlineStr">
        <is>
          <t>18</t>
        </is>
      </c>
      <c r="L525" s="32" t="n"/>
      <c r="M525" s="33" t="inlineStr">
        <is>
          <t>СК2</t>
        </is>
      </c>
      <c r="N525" s="33" t="n"/>
      <c r="O525" s="32" t="n">
        <v>50</v>
      </c>
      <c r="P525" s="943" t="inlineStr">
        <is>
          <t>В/к колбасы Балыкбургская с копченым балыком срез Балыкбургская Фикс.вес 0,28 фиброуз в/у Баварушка</t>
        </is>
      </c>
      <c r="Q525" s="785" t="n"/>
      <c r="R525" s="785" t="n"/>
      <c r="S525" s="785" t="n"/>
      <c r="T525" s="786" t="n"/>
      <c r="U525" s="34" t="n"/>
      <c r="V525" s="34" t="n"/>
      <c r="W525" s="35" t="inlineStr">
        <is>
          <t>кг</t>
        </is>
      </c>
      <c r="X525" s="1221" t="n">
        <v>0</v>
      </c>
      <c r="Y525" s="1222">
        <f>IFERROR(IF(X525="",0,CEILING((X525/$H525),1)*$H525),"")</f>
        <v/>
      </c>
      <c r="Z525" s="36">
        <f>IFERROR(IF(Y525=0,"",ROUNDUP(Y525/H525,0)*0.00502),"")</f>
        <v/>
      </c>
      <c r="AA525" s="56" t="n"/>
      <c r="AB525" s="57" t="n"/>
      <c r="AC525" s="619" t="inlineStr">
        <is>
          <t>ЕАЭС N RU Д-RU.РА02.В.66822/23</t>
        </is>
      </c>
      <c r="AG525" s="64" t="n"/>
      <c r="AJ525" s="68" t="n"/>
      <c r="AK525" s="68" t="n">
        <v>0</v>
      </c>
      <c r="BB525" s="620" t="inlineStr">
        <is>
          <t>КИ</t>
        </is>
      </c>
      <c r="BM525" s="64">
        <f>IFERROR(X525*I525/H525,"0")</f>
        <v/>
      </c>
      <c r="BN525" s="64">
        <f>IFERROR(Y525*I525/H525,"0")</f>
        <v/>
      </c>
      <c r="BO525" s="64">
        <f>IFERROR(1/J525*(X525/H525),"0")</f>
        <v/>
      </c>
      <c r="BP525" s="64">
        <f>IFERROR(1/J525*(Y525/H525),"0")</f>
        <v/>
      </c>
    </row>
    <row r="526" ht="27" customHeight="1">
      <c r="A526" s="54" t="inlineStr">
        <is>
          <t>SU002604</t>
        </is>
      </c>
      <c r="B526" s="54" t="inlineStr">
        <is>
          <t>P004520</t>
        </is>
      </c>
      <c r="C526" s="31" t="n">
        <v>4301031359</v>
      </c>
      <c r="D526" s="782" t="n">
        <v>4607091389500</v>
      </c>
      <c r="E526" s="783" t="n"/>
      <c r="F526" s="1220" t="n">
        <v>0.35</v>
      </c>
      <c r="G526" s="32" t="n">
        <v>6</v>
      </c>
      <c r="H526" s="1220" t="n">
        <v>2.1</v>
      </c>
      <c r="I526" s="1220" t="n">
        <v>2.23</v>
      </c>
      <c r="J526" s="32" t="n">
        <v>234</v>
      </c>
      <c r="K526" s="32" t="inlineStr">
        <is>
          <t>18</t>
        </is>
      </c>
      <c r="L526" s="32" t="n"/>
      <c r="M526" s="33" t="inlineStr">
        <is>
          <t>СК2</t>
        </is>
      </c>
      <c r="N526" s="33" t="n"/>
      <c r="O526" s="32" t="n">
        <v>50</v>
      </c>
      <c r="P526" s="933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/>
      </c>
      <c r="Q526" s="785" t="n"/>
      <c r="R526" s="785" t="n"/>
      <c r="S526" s="785" t="n"/>
      <c r="T526" s="786" t="n"/>
      <c r="U526" s="34" t="n"/>
      <c r="V526" s="34" t="n"/>
      <c r="W526" s="35" t="inlineStr">
        <is>
          <t>кг</t>
        </is>
      </c>
      <c r="X526" s="1221" t="n">
        <v>0</v>
      </c>
      <c r="Y526" s="1222">
        <f>IFERROR(IF(X526="",0,CEILING((X526/$H526),1)*$H526),"")</f>
        <v/>
      </c>
      <c r="Z526" s="36">
        <f>IFERROR(IF(Y526=0,"",ROUNDUP(Y526/H526,0)*0.00502),"")</f>
        <v/>
      </c>
      <c r="AA526" s="56" t="n"/>
      <c r="AB526" s="57" t="n"/>
      <c r="AC526" s="621" t="inlineStr">
        <is>
          <t>ЕАЭС N RU Д-RU.РА02.В.66822/23</t>
        </is>
      </c>
      <c r="AG526" s="64" t="n"/>
      <c r="AJ526" s="68" t="n"/>
      <c r="AK526" s="68" t="n">
        <v>0</v>
      </c>
      <c r="BB526" s="622" t="inlineStr">
        <is>
          <t>КИ</t>
        </is>
      </c>
      <c r="BM526" s="64">
        <f>IFERROR(X526*I526/H526,"0")</f>
        <v/>
      </c>
      <c r="BN526" s="64">
        <f>IFERROR(Y526*I526/H526,"0")</f>
        <v/>
      </c>
      <c r="BO526" s="64">
        <f>IFERROR(1/J526*(X526/H526),"0")</f>
        <v/>
      </c>
      <c r="BP526" s="64">
        <f>IFERROR(1/J526*(Y526/H526),"0")</f>
        <v/>
      </c>
    </row>
    <row r="527" ht="27" customHeight="1">
      <c r="A527" s="54" t="inlineStr">
        <is>
          <t>SU002604</t>
        </is>
      </c>
      <c r="B527" s="54" t="inlineStr">
        <is>
          <t>P004339</t>
        </is>
      </c>
      <c r="C527" s="31" t="n">
        <v>4301031327</v>
      </c>
      <c r="D527" s="782" t="n">
        <v>4607091389500</v>
      </c>
      <c r="E527" s="783" t="n"/>
      <c r="F527" s="1220" t="n">
        <v>0.35</v>
      </c>
      <c r="G527" s="32" t="n">
        <v>6</v>
      </c>
      <c r="H527" s="1220" t="n">
        <v>2.1</v>
      </c>
      <c r="I527" s="1220" t="n">
        <v>2.23</v>
      </c>
      <c r="J527" s="32" t="n">
        <v>234</v>
      </c>
      <c r="K527" s="32" t="inlineStr">
        <is>
          <t>18</t>
        </is>
      </c>
      <c r="L527" s="32" t="n"/>
      <c r="M527" s="33" t="inlineStr">
        <is>
          <t>СК2</t>
        </is>
      </c>
      <c r="N527" s="33" t="n"/>
      <c r="O527" s="32" t="n">
        <v>50</v>
      </c>
      <c r="P527" s="1157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/>
      </c>
      <c r="Q527" s="785" t="n"/>
      <c r="R527" s="785" t="n"/>
      <c r="S527" s="785" t="n"/>
      <c r="T527" s="786" t="n"/>
      <c r="U527" s="34" t="n"/>
      <c r="V527" s="34" t="n"/>
      <c r="W527" s="35" t="inlineStr">
        <is>
          <t>кг</t>
        </is>
      </c>
      <c r="X527" s="1221" t="n">
        <v>0</v>
      </c>
      <c r="Y527" s="1222">
        <f>IFERROR(IF(X527="",0,CEILING((X527/$H527),1)*$H527),"")</f>
        <v/>
      </c>
      <c r="Z527" s="36">
        <f>IFERROR(IF(Y527=0,"",ROUNDUP(Y527/H527,0)*0.00502),"")</f>
        <v/>
      </c>
      <c r="AA527" s="56" t="n"/>
      <c r="AB527" s="57" t="n"/>
      <c r="AC527" s="623" t="inlineStr">
        <is>
          <t>ЕАЭС N RU Д-RU.РА02.В.66822/23</t>
        </is>
      </c>
      <c r="AG527" s="64" t="n"/>
      <c r="AJ527" s="68" t="n"/>
      <c r="AK527" s="68" t="n">
        <v>0</v>
      </c>
      <c r="BB527" s="624" t="inlineStr">
        <is>
          <t>КИ</t>
        </is>
      </c>
      <c r="BM527" s="64">
        <f>IFERROR(X527*I527/H527,"0")</f>
        <v/>
      </c>
      <c r="BN527" s="64">
        <f>IFERROR(Y527*I527/H527,"0")</f>
        <v/>
      </c>
      <c r="BO527" s="64">
        <f>IFERROR(1/J527*(X527/H527),"0")</f>
        <v/>
      </c>
      <c r="BP527" s="64">
        <f>IFERROR(1/J527*(Y527/H527),"0")</f>
        <v/>
      </c>
    </row>
    <row r="528">
      <c r="A528" s="801" t="n"/>
      <c r="B528" s="800" t="n"/>
      <c r="C528" s="800" t="n"/>
      <c r="D528" s="800" t="n"/>
      <c r="E528" s="800" t="n"/>
      <c r="F528" s="800" t="n"/>
      <c r="G528" s="800" t="n"/>
      <c r="H528" s="800" t="n"/>
      <c r="I528" s="800" t="n"/>
      <c r="J528" s="800" t="n"/>
      <c r="K528" s="800" t="n"/>
      <c r="L528" s="800" t="n"/>
      <c r="M528" s="800" t="n"/>
      <c r="N528" s="800" t="n"/>
      <c r="O528" s="802" t="n"/>
      <c r="P528" s="796" t="inlineStr">
        <is>
          <t>Итого</t>
        </is>
      </c>
      <c r="Q528" s="793" t="n"/>
      <c r="R528" s="793" t="n"/>
      <c r="S528" s="793" t="n"/>
      <c r="T528" s="793" t="n"/>
      <c r="U528" s="793" t="n"/>
      <c r="V528" s="794" t="n"/>
      <c r="W528" s="37" t="inlineStr">
        <is>
          <t>кор</t>
        </is>
      </c>
      <c r="X528" s="1223">
        <f>IFERROR(X523/H523,"0")+IFERROR(X524/H524,"0")+IFERROR(X525/H525,"0")+IFERROR(X526/H526,"0")+IFERROR(X527/H527,"0")</f>
        <v/>
      </c>
      <c r="Y528" s="1223">
        <f>IFERROR(Y523/H523,"0")+IFERROR(Y524/H524,"0")+IFERROR(Y525/H525,"0")+IFERROR(Y526/H526,"0")+IFERROR(Y527/H527,"0")</f>
        <v/>
      </c>
      <c r="Z528" s="1223">
        <f>IFERROR(IF(Z523="",0,Z523),"0")+IFERROR(IF(Z524="",0,Z524),"0")+IFERROR(IF(Z525="",0,Z525),"0")+IFERROR(IF(Z526="",0,Z526),"0")+IFERROR(IF(Z527="",0,Z527),"0")</f>
        <v/>
      </c>
      <c r="AA528" s="1224" t="n"/>
      <c r="AB528" s="1224" t="n"/>
      <c r="AC528" s="1224" t="n"/>
    </row>
    <row r="529">
      <c r="A529" s="800" t="n"/>
      <c r="B529" s="800" t="n"/>
      <c r="C529" s="800" t="n"/>
      <c r="D529" s="800" t="n"/>
      <c r="E529" s="800" t="n"/>
      <c r="F529" s="800" t="n"/>
      <c r="G529" s="800" t="n"/>
      <c r="H529" s="800" t="n"/>
      <c r="I529" s="800" t="n"/>
      <c r="J529" s="800" t="n"/>
      <c r="K529" s="800" t="n"/>
      <c r="L529" s="800" t="n"/>
      <c r="M529" s="800" t="n"/>
      <c r="N529" s="800" t="n"/>
      <c r="O529" s="802" t="n"/>
      <c r="P529" s="796" t="inlineStr">
        <is>
          <t>Итого</t>
        </is>
      </c>
      <c r="Q529" s="793" t="n"/>
      <c r="R529" s="793" t="n"/>
      <c r="S529" s="793" t="n"/>
      <c r="T529" s="793" t="n"/>
      <c r="U529" s="793" t="n"/>
      <c r="V529" s="794" t="n"/>
      <c r="W529" s="37" t="inlineStr">
        <is>
          <t>кг</t>
        </is>
      </c>
      <c r="X529" s="1223">
        <f>IFERROR(SUM(X523:X527),"0")</f>
        <v/>
      </c>
      <c r="Y529" s="1223">
        <f>IFERROR(SUM(Y523:Y527),"0")</f>
        <v/>
      </c>
      <c r="Z529" s="37" t="n"/>
      <c r="AA529" s="1224" t="n"/>
      <c r="AB529" s="1224" t="n"/>
      <c r="AC529" s="1224" t="n"/>
    </row>
    <row r="530" ht="14.25" customHeight="1">
      <c r="A530" s="799" t="inlineStr">
        <is>
          <t>Сырокопченые колбасы</t>
        </is>
      </c>
      <c r="B530" s="800" t="n"/>
      <c r="C530" s="800" t="n"/>
      <c r="D530" s="800" t="n"/>
      <c r="E530" s="800" t="n"/>
      <c r="F530" s="800" t="n"/>
      <c r="G530" s="800" t="n"/>
      <c r="H530" s="800" t="n"/>
      <c r="I530" s="800" t="n"/>
      <c r="J530" s="800" t="n"/>
      <c r="K530" s="800" t="n"/>
      <c r="L530" s="800" t="n"/>
      <c r="M530" s="800" t="n"/>
      <c r="N530" s="800" t="n"/>
      <c r="O530" s="800" t="n"/>
      <c r="P530" s="800" t="n"/>
      <c r="Q530" s="800" t="n"/>
      <c r="R530" s="800" t="n"/>
      <c r="S530" s="800" t="n"/>
      <c r="T530" s="800" t="n"/>
      <c r="U530" s="800" t="n"/>
      <c r="V530" s="800" t="n"/>
      <c r="W530" s="800" t="n"/>
      <c r="X530" s="800" t="n"/>
      <c r="Y530" s="800" t="n"/>
      <c r="Z530" s="800" t="n"/>
      <c r="AA530" s="799" t="n"/>
      <c r="AB530" s="799" t="n"/>
      <c r="AC530" s="799" t="n"/>
    </row>
    <row r="531" ht="27" customHeight="1">
      <c r="A531" s="54" t="inlineStr">
        <is>
          <t>SU003280</t>
        </is>
      </c>
      <c r="B531" s="54" t="inlineStr">
        <is>
          <t>P003776</t>
        </is>
      </c>
      <c r="C531" s="31" t="n">
        <v>4301032046</v>
      </c>
      <c r="D531" s="782" t="n">
        <v>4680115884359</v>
      </c>
      <c r="E531" s="783" t="n"/>
      <c r="F531" s="1220" t="n">
        <v>0.06</v>
      </c>
      <c r="G531" s="32" t="n">
        <v>20</v>
      </c>
      <c r="H531" s="1220" t="n">
        <v>1.2</v>
      </c>
      <c r="I531" s="1220" t="n">
        <v>1.8</v>
      </c>
      <c r="J531" s="32" t="n">
        <v>200</v>
      </c>
      <c r="K531" s="32" t="inlineStr">
        <is>
          <t>10</t>
        </is>
      </c>
      <c r="L531" s="32" t="n"/>
      <c r="M531" s="33" t="inlineStr">
        <is>
          <t>ДК</t>
        </is>
      </c>
      <c r="N531" s="33" t="n"/>
      <c r="O531" s="32" t="n">
        <v>60</v>
      </c>
      <c r="P531" s="1180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/>
      </c>
      <c r="Q531" s="785" t="n"/>
      <c r="R531" s="785" t="n"/>
      <c r="S531" s="785" t="n"/>
      <c r="T531" s="786" t="n"/>
      <c r="U531" s="34" t="n"/>
      <c r="V531" s="34" t="n"/>
      <c r="W531" s="35" t="inlineStr">
        <is>
          <t>кг</t>
        </is>
      </c>
      <c r="X531" s="1221" t="n">
        <v>0</v>
      </c>
      <c r="Y531" s="1222">
        <f>IFERROR(IF(X531="",0,CEILING((X531/$H531),1)*$H531),"")</f>
        <v/>
      </c>
      <c r="Z531" s="36">
        <f>IFERROR(IF(Y531=0,"",ROUNDUP(Y531/H531,0)*0.00627),"")</f>
        <v/>
      </c>
      <c r="AA531" s="56" t="n"/>
      <c r="AB531" s="57" t="n"/>
      <c r="AC531" s="625" t="inlineStr">
        <is>
          <t>ЕАЭС N RU Д-RU.РА05.В.39473/23</t>
        </is>
      </c>
      <c r="AG531" s="64" t="n"/>
      <c r="AJ531" s="68" t="n"/>
      <c r="AK531" s="68" t="n">
        <v>0</v>
      </c>
      <c r="BB531" s="626" t="inlineStr">
        <is>
          <t>КИ</t>
        </is>
      </c>
      <c r="BM531" s="64">
        <f>IFERROR(X531*I531/H531,"0")</f>
        <v/>
      </c>
      <c r="BN531" s="64">
        <f>IFERROR(Y531*I531/H531,"0")</f>
        <v/>
      </c>
      <c r="BO531" s="64">
        <f>IFERROR(1/J531*(X531/H531),"0")</f>
        <v/>
      </c>
      <c r="BP531" s="64">
        <f>IFERROR(1/J531*(Y531/H531),"0")</f>
        <v/>
      </c>
    </row>
    <row r="532">
      <c r="A532" s="801" t="n"/>
      <c r="B532" s="800" t="n"/>
      <c r="C532" s="800" t="n"/>
      <c r="D532" s="800" t="n"/>
      <c r="E532" s="800" t="n"/>
      <c r="F532" s="800" t="n"/>
      <c r="G532" s="800" t="n"/>
      <c r="H532" s="800" t="n"/>
      <c r="I532" s="800" t="n"/>
      <c r="J532" s="800" t="n"/>
      <c r="K532" s="800" t="n"/>
      <c r="L532" s="800" t="n"/>
      <c r="M532" s="800" t="n"/>
      <c r="N532" s="800" t="n"/>
      <c r="O532" s="802" t="n"/>
      <c r="P532" s="796" t="inlineStr">
        <is>
          <t>Итого</t>
        </is>
      </c>
      <c r="Q532" s="793" t="n"/>
      <c r="R532" s="793" t="n"/>
      <c r="S532" s="793" t="n"/>
      <c r="T532" s="793" t="n"/>
      <c r="U532" s="793" t="n"/>
      <c r="V532" s="794" t="n"/>
      <c r="W532" s="37" t="inlineStr">
        <is>
          <t>кор</t>
        </is>
      </c>
      <c r="X532" s="1223">
        <f>IFERROR(X531/H531,"0")</f>
        <v/>
      </c>
      <c r="Y532" s="1223">
        <f>IFERROR(Y531/H531,"0")</f>
        <v/>
      </c>
      <c r="Z532" s="1223">
        <f>IFERROR(IF(Z531="",0,Z531),"0")</f>
        <v/>
      </c>
      <c r="AA532" s="1224" t="n"/>
      <c r="AB532" s="1224" t="n"/>
      <c r="AC532" s="1224" t="n"/>
    </row>
    <row r="533">
      <c r="A533" s="800" t="n"/>
      <c r="B533" s="800" t="n"/>
      <c r="C533" s="800" t="n"/>
      <c r="D533" s="800" t="n"/>
      <c r="E533" s="800" t="n"/>
      <c r="F533" s="800" t="n"/>
      <c r="G533" s="800" t="n"/>
      <c r="H533" s="800" t="n"/>
      <c r="I533" s="800" t="n"/>
      <c r="J533" s="800" t="n"/>
      <c r="K533" s="800" t="n"/>
      <c r="L533" s="800" t="n"/>
      <c r="M533" s="800" t="n"/>
      <c r="N533" s="800" t="n"/>
      <c r="O533" s="802" t="n"/>
      <c r="P533" s="796" t="inlineStr">
        <is>
          <t>Итого</t>
        </is>
      </c>
      <c r="Q533" s="793" t="n"/>
      <c r="R533" s="793" t="n"/>
      <c r="S533" s="793" t="n"/>
      <c r="T533" s="793" t="n"/>
      <c r="U533" s="793" t="n"/>
      <c r="V533" s="794" t="n"/>
      <c r="W533" s="37" t="inlineStr">
        <is>
          <t>кг</t>
        </is>
      </c>
      <c r="X533" s="1223">
        <f>IFERROR(SUM(X531:X531),"0")</f>
        <v/>
      </c>
      <c r="Y533" s="1223">
        <f>IFERROR(SUM(Y531:Y531),"0")</f>
        <v/>
      </c>
      <c r="Z533" s="37" t="n"/>
      <c r="AA533" s="1224" t="n"/>
      <c r="AB533" s="1224" t="n"/>
      <c r="AC533" s="1224" t="n"/>
    </row>
    <row r="534" ht="14.25" customHeight="1">
      <c r="A534" s="799" t="inlineStr">
        <is>
          <t>Деликатесы с/к</t>
        </is>
      </c>
      <c r="B534" s="800" t="n"/>
      <c r="C534" s="800" t="n"/>
      <c r="D534" s="800" t="n"/>
      <c r="E534" s="800" t="n"/>
      <c r="F534" s="800" t="n"/>
      <c r="G534" s="800" t="n"/>
      <c r="H534" s="800" t="n"/>
      <c r="I534" s="800" t="n"/>
      <c r="J534" s="800" t="n"/>
      <c r="K534" s="800" t="n"/>
      <c r="L534" s="800" t="n"/>
      <c r="M534" s="800" t="n"/>
      <c r="N534" s="800" t="n"/>
      <c r="O534" s="800" t="n"/>
      <c r="P534" s="800" t="n"/>
      <c r="Q534" s="800" t="n"/>
      <c r="R534" s="800" t="n"/>
      <c r="S534" s="800" t="n"/>
      <c r="T534" s="800" t="n"/>
      <c r="U534" s="800" t="n"/>
      <c r="V534" s="800" t="n"/>
      <c r="W534" s="800" t="n"/>
      <c r="X534" s="800" t="n"/>
      <c r="Y534" s="800" t="n"/>
      <c r="Z534" s="800" t="n"/>
      <c r="AA534" s="799" t="n"/>
      <c r="AB534" s="799" t="n"/>
      <c r="AC534" s="799" t="n"/>
    </row>
    <row r="535" ht="27" customHeight="1">
      <c r="A535" s="54" t="inlineStr">
        <is>
          <t>SU003314</t>
        </is>
      </c>
      <c r="B535" s="54" t="inlineStr">
        <is>
          <t>P004035</t>
        </is>
      </c>
      <c r="C535" s="31" t="n">
        <v>4301040357</v>
      </c>
      <c r="D535" s="782" t="n">
        <v>4680115884564</v>
      </c>
      <c r="E535" s="783" t="n"/>
      <c r="F535" s="1220" t="n">
        <v>0.15</v>
      </c>
      <c r="G535" s="32" t="n">
        <v>20</v>
      </c>
      <c r="H535" s="1220" t="n">
        <v>3</v>
      </c>
      <c r="I535" s="1220" t="n">
        <v>3.6</v>
      </c>
      <c r="J535" s="32" t="n">
        <v>200</v>
      </c>
      <c r="K535" s="32" t="inlineStr">
        <is>
          <t>10</t>
        </is>
      </c>
      <c r="L535" s="32" t="n"/>
      <c r="M535" s="33" t="inlineStr">
        <is>
          <t>ДК</t>
        </is>
      </c>
      <c r="N535" s="33" t="n"/>
      <c r="O535" s="32" t="n">
        <v>60</v>
      </c>
      <c r="P535" s="978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/>
      </c>
      <c r="Q535" s="785" t="n"/>
      <c r="R535" s="785" t="n"/>
      <c r="S535" s="785" t="n"/>
      <c r="T535" s="786" t="n"/>
      <c r="U535" s="34" t="n"/>
      <c r="V535" s="34" t="n"/>
      <c r="W535" s="35" t="inlineStr">
        <is>
          <t>кг</t>
        </is>
      </c>
      <c r="X535" s="1221" t="n">
        <v>0</v>
      </c>
      <c r="Y535" s="1222">
        <f>IFERROR(IF(X535="",0,CEILING((X535/$H535),1)*$H535),"")</f>
        <v/>
      </c>
      <c r="Z535" s="36">
        <f>IFERROR(IF(Y535=0,"",ROUNDUP(Y535/H535,0)*0.00627),"")</f>
        <v/>
      </c>
      <c r="AA535" s="56" t="n"/>
      <c r="AB535" s="57" t="n"/>
      <c r="AC535" s="627" t="inlineStr">
        <is>
          <t>ЕАЭС N RU Д-RU.РА10.В.74298/23</t>
        </is>
      </c>
      <c r="AG535" s="64" t="n"/>
      <c r="AJ535" s="68" t="n"/>
      <c r="AK535" s="68" t="n">
        <v>0</v>
      </c>
      <c r="BB535" s="628" t="inlineStr">
        <is>
          <t>КИ</t>
        </is>
      </c>
      <c r="BM535" s="64">
        <f>IFERROR(X535*I535/H535,"0")</f>
        <v/>
      </c>
      <c r="BN535" s="64">
        <f>IFERROR(Y535*I535/H535,"0")</f>
        <v/>
      </c>
      <c r="BO535" s="64">
        <f>IFERROR(1/J535*(X535/H535),"0")</f>
        <v/>
      </c>
      <c r="BP535" s="64">
        <f>IFERROR(1/J535*(Y535/H535),"0")</f>
        <v/>
      </c>
    </row>
    <row r="536">
      <c r="A536" s="801" t="n"/>
      <c r="B536" s="800" t="n"/>
      <c r="C536" s="800" t="n"/>
      <c r="D536" s="800" t="n"/>
      <c r="E536" s="800" t="n"/>
      <c r="F536" s="800" t="n"/>
      <c r="G536" s="800" t="n"/>
      <c r="H536" s="800" t="n"/>
      <c r="I536" s="800" t="n"/>
      <c r="J536" s="800" t="n"/>
      <c r="K536" s="800" t="n"/>
      <c r="L536" s="800" t="n"/>
      <c r="M536" s="800" t="n"/>
      <c r="N536" s="800" t="n"/>
      <c r="O536" s="802" t="n"/>
      <c r="P536" s="796" t="inlineStr">
        <is>
          <t>Итого</t>
        </is>
      </c>
      <c r="Q536" s="793" t="n"/>
      <c r="R536" s="793" t="n"/>
      <c r="S536" s="793" t="n"/>
      <c r="T536" s="793" t="n"/>
      <c r="U536" s="793" t="n"/>
      <c r="V536" s="794" t="n"/>
      <c r="W536" s="37" t="inlineStr">
        <is>
          <t>кор</t>
        </is>
      </c>
      <c r="X536" s="1223">
        <f>IFERROR(X535/H535,"0")</f>
        <v/>
      </c>
      <c r="Y536" s="1223">
        <f>IFERROR(Y535/H535,"0")</f>
        <v/>
      </c>
      <c r="Z536" s="1223">
        <f>IFERROR(IF(Z535="",0,Z535),"0")</f>
        <v/>
      </c>
      <c r="AA536" s="1224" t="n"/>
      <c r="AB536" s="1224" t="n"/>
      <c r="AC536" s="1224" t="n"/>
    </row>
    <row r="537">
      <c r="A537" s="800" t="n"/>
      <c r="B537" s="800" t="n"/>
      <c r="C537" s="800" t="n"/>
      <c r="D537" s="800" t="n"/>
      <c r="E537" s="800" t="n"/>
      <c r="F537" s="800" t="n"/>
      <c r="G537" s="800" t="n"/>
      <c r="H537" s="800" t="n"/>
      <c r="I537" s="800" t="n"/>
      <c r="J537" s="800" t="n"/>
      <c r="K537" s="800" t="n"/>
      <c r="L537" s="800" t="n"/>
      <c r="M537" s="800" t="n"/>
      <c r="N537" s="800" t="n"/>
      <c r="O537" s="802" t="n"/>
      <c r="P537" s="796" t="inlineStr">
        <is>
          <t>Итого</t>
        </is>
      </c>
      <c r="Q537" s="793" t="n"/>
      <c r="R537" s="793" t="n"/>
      <c r="S537" s="793" t="n"/>
      <c r="T537" s="793" t="n"/>
      <c r="U537" s="793" t="n"/>
      <c r="V537" s="794" t="n"/>
      <c r="W537" s="37" t="inlineStr">
        <is>
          <t>кг</t>
        </is>
      </c>
      <c r="X537" s="1223">
        <f>IFERROR(SUM(X535:X535),"0")</f>
        <v/>
      </c>
      <c r="Y537" s="1223">
        <f>IFERROR(SUM(Y535:Y535),"0")</f>
        <v/>
      </c>
      <c r="Z537" s="37" t="n"/>
      <c r="AA537" s="1224" t="n"/>
      <c r="AB537" s="1224" t="n"/>
      <c r="AC537" s="1224" t="n"/>
    </row>
    <row r="538" ht="16.5" customHeight="1">
      <c r="A538" s="807" t="inlineStr">
        <is>
          <t>Краковюрст</t>
        </is>
      </c>
      <c r="B538" s="800" t="n"/>
      <c r="C538" s="800" t="n"/>
      <c r="D538" s="800" t="n"/>
      <c r="E538" s="800" t="n"/>
      <c r="F538" s="800" t="n"/>
      <c r="G538" s="800" t="n"/>
      <c r="H538" s="800" t="n"/>
      <c r="I538" s="800" t="n"/>
      <c r="J538" s="800" t="n"/>
      <c r="K538" s="800" t="n"/>
      <c r="L538" s="800" t="n"/>
      <c r="M538" s="800" t="n"/>
      <c r="N538" s="800" t="n"/>
      <c r="O538" s="800" t="n"/>
      <c r="P538" s="800" t="n"/>
      <c r="Q538" s="800" t="n"/>
      <c r="R538" s="800" t="n"/>
      <c r="S538" s="800" t="n"/>
      <c r="T538" s="800" t="n"/>
      <c r="U538" s="800" t="n"/>
      <c r="V538" s="800" t="n"/>
      <c r="W538" s="800" t="n"/>
      <c r="X538" s="800" t="n"/>
      <c r="Y538" s="800" t="n"/>
      <c r="Z538" s="800" t="n"/>
      <c r="AA538" s="807" t="n"/>
      <c r="AB538" s="807" t="n"/>
      <c r="AC538" s="807" t="n"/>
    </row>
    <row r="539" ht="14.25" customHeight="1">
      <c r="A539" s="799" t="inlineStr">
        <is>
          <t>Копченые колбасы</t>
        </is>
      </c>
      <c r="B539" s="800" t="n"/>
      <c r="C539" s="800" t="n"/>
      <c r="D539" s="800" t="n"/>
      <c r="E539" s="800" t="n"/>
      <c r="F539" s="800" t="n"/>
      <c r="G539" s="800" t="n"/>
      <c r="H539" s="800" t="n"/>
      <c r="I539" s="800" t="n"/>
      <c r="J539" s="800" t="n"/>
      <c r="K539" s="800" t="n"/>
      <c r="L539" s="800" t="n"/>
      <c r="M539" s="800" t="n"/>
      <c r="N539" s="800" t="n"/>
      <c r="O539" s="800" t="n"/>
      <c r="P539" s="800" t="n"/>
      <c r="Q539" s="800" t="n"/>
      <c r="R539" s="800" t="n"/>
      <c r="S539" s="800" t="n"/>
      <c r="T539" s="800" t="n"/>
      <c r="U539" s="800" t="n"/>
      <c r="V539" s="800" t="n"/>
      <c r="W539" s="800" t="n"/>
      <c r="X539" s="800" t="n"/>
      <c r="Y539" s="800" t="n"/>
      <c r="Z539" s="800" t="n"/>
      <c r="AA539" s="799" t="n"/>
      <c r="AB539" s="799" t="n"/>
      <c r="AC539" s="799" t="n"/>
    </row>
    <row r="540" ht="27" customHeight="1">
      <c r="A540" s="54" t="inlineStr">
        <is>
          <t>SU003345</t>
        </is>
      </c>
      <c r="B540" s="54" t="inlineStr">
        <is>
          <t>P004143</t>
        </is>
      </c>
      <c r="C540" s="31" t="n">
        <v>4301031294</v>
      </c>
      <c r="D540" s="782" t="n">
        <v>4680115885189</v>
      </c>
      <c r="E540" s="783" t="n"/>
      <c r="F540" s="1220" t="n">
        <v>0.2</v>
      </c>
      <c r="G540" s="32" t="n">
        <v>6</v>
      </c>
      <c r="H540" s="1220" t="n">
        <v>1.2</v>
      </c>
      <c r="I540" s="1220" t="n">
        <v>1.372</v>
      </c>
      <c r="J540" s="32" t="n">
        <v>234</v>
      </c>
      <c r="K540" s="32" t="inlineStr">
        <is>
          <t>18</t>
        </is>
      </c>
      <c r="L540" s="32" t="n"/>
      <c r="M540" s="33" t="inlineStr">
        <is>
          <t>СК2</t>
        </is>
      </c>
      <c r="N540" s="33" t="n"/>
      <c r="O540" s="32" t="n">
        <v>40</v>
      </c>
      <c r="P540" s="1020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/>
      </c>
      <c r="Q540" s="785" t="n"/>
      <c r="R540" s="785" t="n"/>
      <c r="S540" s="785" t="n"/>
      <c r="T540" s="786" t="n"/>
      <c r="U540" s="34" t="n"/>
      <c r="V540" s="34" t="n"/>
      <c r="W540" s="35" t="inlineStr">
        <is>
          <t>кг</t>
        </is>
      </c>
      <c r="X540" s="1221" t="n">
        <v>0</v>
      </c>
      <c r="Y540" s="1222">
        <f>IFERROR(IF(X540="",0,CEILING((X540/$H540),1)*$H540),"")</f>
        <v/>
      </c>
      <c r="Z540" s="36">
        <f>IFERROR(IF(Y540=0,"",ROUNDUP(Y540/H540,0)*0.00502),"")</f>
        <v/>
      </c>
      <c r="AA540" s="56" t="n"/>
      <c r="AB540" s="57" t="n"/>
      <c r="AC540" s="629" t="inlineStr">
        <is>
          <t>ЕАЭС N RU Д-RU.РА06.В.80913/22</t>
        </is>
      </c>
      <c r="AG540" s="64" t="n"/>
      <c r="AJ540" s="68" t="n"/>
      <c r="AK540" s="68" t="n">
        <v>0</v>
      </c>
      <c r="BB540" s="630" t="inlineStr">
        <is>
          <t>КИ</t>
        </is>
      </c>
      <c r="BM540" s="64">
        <f>IFERROR(X540*I540/H540,"0")</f>
        <v/>
      </c>
      <c r="BN540" s="64">
        <f>IFERROR(Y540*I540/H540,"0")</f>
        <v/>
      </c>
      <c r="BO540" s="64">
        <f>IFERROR(1/J540*(X540/H540),"0")</f>
        <v/>
      </c>
      <c r="BP540" s="64">
        <f>IFERROR(1/J540*(Y540/H540),"0")</f>
        <v/>
      </c>
    </row>
    <row r="541" ht="27" customHeight="1">
      <c r="A541" s="54" t="inlineStr">
        <is>
          <t>SU003344</t>
        </is>
      </c>
      <c r="B541" s="54" t="inlineStr">
        <is>
          <t>P004142</t>
        </is>
      </c>
      <c r="C541" s="31" t="n">
        <v>4301031293</v>
      </c>
      <c r="D541" s="782" t="n">
        <v>4680115885172</v>
      </c>
      <c r="E541" s="783" t="n"/>
      <c r="F541" s="1220" t="n">
        <v>0.2</v>
      </c>
      <c r="G541" s="32" t="n">
        <v>6</v>
      </c>
      <c r="H541" s="1220" t="n">
        <v>1.2</v>
      </c>
      <c r="I541" s="1220" t="n">
        <v>1.3</v>
      </c>
      <c r="J541" s="32" t="n">
        <v>234</v>
      </c>
      <c r="K541" s="32" t="inlineStr">
        <is>
          <t>18</t>
        </is>
      </c>
      <c r="L541" s="32" t="n"/>
      <c r="M541" s="33" t="inlineStr">
        <is>
          <t>СК2</t>
        </is>
      </c>
      <c r="N541" s="33" t="n"/>
      <c r="O541" s="32" t="n">
        <v>40</v>
      </c>
      <c r="P541" s="953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/>
      </c>
      <c r="Q541" s="785" t="n"/>
      <c r="R541" s="785" t="n"/>
      <c r="S541" s="785" t="n"/>
      <c r="T541" s="786" t="n"/>
      <c r="U541" s="34" t="n"/>
      <c r="V541" s="34" t="n"/>
      <c r="W541" s="35" t="inlineStr">
        <is>
          <t>кг</t>
        </is>
      </c>
      <c r="X541" s="1221" t="n">
        <v>0</v>
      </c>
      <c r="Y541" s="1222">
        <f>IFERROR(IF(X541="",0,CEILING((X541/$H541),1)*$H541),"")</f>
        <v/>
      </c>
      <c r="Z541" s="36">
        <f>IFERROR(IF(Y541=0,"",ROUNDUP(Y541/H541,0)*0.00502),"")</f>
        <v/>
      </c>
      <c r="AA541" s="56" t="n"/>
      <c r="AB541" s="57" t="n"/>
      <c r="AC541" s="631" t="inlineStr">
        <is>
          <t>ЕАЭС N RU Д-RU.РА06.В.80913/22</t>
        </is>
      </c>
      <c r="AG541" s="64" t="n"/>
      <c r="AJ541" s="68" t="n"/>
      <c r="AK541" s="68" t="n">
        <v>0</v>
      </c>
      <c r="BB541" s="632" t="inlineStr">
        <is>
          <t>КИ</t>
        </is>
      </c>
      <c r="BM541" s="64">
        <f>IFERROR(X541*I541/H541,"0")</f>
        <v/>
      </c>
      <c r="BN541" s="64">
        <f>IFERROR(Y541*I541/H541,"0")</f>
        <v/>
      </c>
      <c r="BO541" s="64">
        <f>IFERROR(1/J541*(X541/H541),"0")</f>
        <v/>
      </c>
      <c r="BP541" s="64">
        <f>IFERROR(1/J541*(Y541/H541),"0")</f>
        <v/>
      </c>
    </row>
    <row r="542" ht="27" customHeight="1">
      <c r="A542" s="54" t="inlineStr">
        <is>
          <t>SU003342</t>
        </is>
      </c>
      <c r="B542" s="54" t="inlineStr">
        <is>
          <t>P004140</t>
        </is>
      </c>
      <c r="C542" s="31" t="n">
        <v>4301031291</v>
      </c>
      <c r="D542" s="782" t="n">
        <v>4680115885110</v>
      </c>
      <c r="E542" s="783" t="n"/>
      <c r="F542" s="1220" t="n">
        <v>0.2</v>
      </c>
      <c r="G542" s="32" t="n">
        <v>6</v>
      </c>
      <c r="H542" s="1220" t="n">
        <v>1.2</v>
      </c>
      <c r="I542" s="1220" t="n">
        <v>2.02</v>
      </c>
      <c r="J542" s="32" t="n">
        <v>234</v>
      </c>
      <c r="K542" s="32" t="inlineStr">
        <is>
          <t>18</t>
        </is>
      </c>
      <c r="L542" s="32" t="n"/>
      <c r="M542" s="33" t="inlineStr">
        <is>
          <t>СК2</t>
        </is>
      </c>
      <c r="N542" s="33" t="n"/>
      <c r="O542" s="32" t="n">
        <v>35</v>
      </c>
      <c r="P542" s="1139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/>
      </c>
      <c r="Q542" s="785" t="n"/>
      <c r="R542" s="785" t="n"/>
      <c r="S542" s="785" t="n"/>
      <c r="T542" s="786" t="n"/>
      <c r="U542" s="34" t="n"/>
      <c r="V542" s="34" t="n"/>
      <c r="W542" s="35" t="inlineStr">
        <is>
          <t>кг</t>
        </is>
      </c>
      <c r="X542" s="1221" t="n">
        <v>0</v>
      </c>
      <c r="Y542" s="1222">
        <f>IFERROR(IF(X542="",0,CEILING((X542/$H542),1)*$H542),"")</f>
        <v/>
      </c>
      <c r="Z542" s="36">
        <f>IFERROR(IF(Y542=0,"",ROUNDUP(Y542/H542,0)*0.00502),"")</f>
        <v/>
      </c>
      <c r="AA542" s="56" t="n"/>
      <c r="AB542" s="57" t="n"/>
      <c r="AC542" s="633" t="inlineStr">
        <is>
          <t>ЕАЭС N RU Д-RU.РА03.В.17780/24</t>
        </is>
      </c>
      <c r="AG542" s="64" t="n"/>
      <c r="AJ542" s="68" t="n"/>
      <c r="AK542" s="68" t="n">
        <v>0</v>
      </c>
      <c r="BB542" s="634" t="inlineStr">
        <is>
          <t>КИ</t>
        </is>
      </c>
      <c r="BM542" s="64">
        <f>IFERROR(X542*I542/H542,"0")</f>
        <v/>
      </c>
      <c r="BN542" s="64">
        <f>IFERROR(Y542*I542/H542,"0")</f>
        <v/>
      </c>
      <c r="BO542" s="64">
        <f>IFERROR(1/J542*(X542/H542),"0")</f>
        <v/>
      </c>
      <c r="BP542" s="64">
        <f>IFERROR(1/J542*(Y542/H542),"0")</f>
        <v/>
      </c>
    </row>
    <row r="543" ht="27" customHeight="1">
      <c r="A543" s="54" t="inlineStr">
        <is>
          <t>SU003505</t>
        </is>
      </c>
      <c r="B543" s="54" t="inlineStr">
        <is>
          <t>P004342</t>
        </is>
      </c>
      <c r="C543" s="31" t="n">
        <v>4301031329</v>
      </c>
      <c r="D543" s="782" t="n">
        <v>4680115885219</v>
      </c>
      <c r="E543" s="783" t="n"/>
      <c r="F543" s="1220" t="n">
        <v>0.28</v>
      </c>
      <c r="G543" s="32" t="n">
        <v>6</v>
      </c>
      <c r="H543" s="1220" t="n">
        <v>1.68</v>
      </c>
      <c r="I543" s="1220" t="n">
        <v>2.5</v>
      </c>
      <c r="J543" s="32" t="n">
        <v>234</v>
      </c>
      <c r="K543" s="32" t="inlineStr">
        <is>
          <t>18</t>
        </is>
      </c>
      <c r="L543" s="32" t="n"/>
      <c r="M543" s="33" t="inlineStr">
        <is>
          <t>СК2</t>
        </is>
      </c>
      <c r="N543" s="33" t="n"/>
      <c r="O543" s="32" t="n">
        <v>35</v>
      </c>
      <c r="P543" s="1046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/>
      </c>
      <c r="Q543" s="785" t="n"/>
      <c r="R543" s="785" t="n"/>
      <c r="S543" s="785" t="n"/>
      <c r="T543" s="786" t="n"/>
      <c r="U543" s="34" t="n"/>
      <c r="V543" s="34" t="n"/>
      <c r="W543" s="35" t="inlineStr">
        <is>
          <t>кг</t>
        </is>
      </c>
      <c r="X543" s="1221" t="n">
        <v>0</v>
      </c>
      <c r="Y543" s="1222">
        <f>IFERROR(IF(X543="",0,CEILING((X543/$H543),1)*$H543),"")</f>
        <v/>
      </c>
      <c r="Z543" s="36">
        <f>IFERROR(IF(Y543=0,"",ROUNDUP(Y543/H543,0)*0.00502),"")</f>
        <v/>
      </c>
      <c r="AA543" s="56" t="n"/>
      <c r="AB543" s="57" t="n"/>
      <c r="AC543" s="635" t="inlineStr">
        <is>
          <t>ЕАЭС N RU Д-RU.РА07.В.99597/24</t>
        </is>
      </c>
      <c r="AG543" s="64" t="n"/>
      <c r="AJ543" s="68" t="n"/>
      <c r="AK543" s="68" t="n">
        <v>0</v>
      </c>
      <c r="BB543" s="636" t="inlineStr">
        <is>
          <t>КИ</t>
        </is>
      </c>
      <c r="BM543" s="64">
        <f>IFERROR(X543*I543/H543,"0")</f>
        <v/>
      </c>
      <c r="BN543" s="64">
        <f>IFERROR(Y543*I543/H543,"0")</f>
        <v/>
      </c>
      <c r="BO543" s="64">
        <f>IFERROR(1/J543*(X543/H543),"0")</f>
        <v/>
      </c>
      <c r="BP543" s="64">
        <f>IFERROR(1/J543*(Y543/H543),"0")</f>
        <v/>
      </c>
    </row>
    <row r="544">
      <c r="A544" s="801" t="n"/>
      <c r="B544" s="800" t="n"/>
      <c r="C544" s="800" t="n"/>
      <c r="D544" s="800" t="n"/>
      <c r="E544" s="800" t="n"/>
      <c r="F544" s="800" t="n"/>
      <c r="G544" s="800" t="n"/>
      <c r="H544" s="800" t="n"/>
      <c r="I544" s="800" t="n"/>
      <c r="J544" s="800" t="n"/>
      <c r="K544" s="800" t="n"/>
      <c r="L544" s="800" t="n"/>
      <c r="M544" s="800" t="n"/>
      <c r="N544" s="800" t="n"/>
      <c r="O544" s="802" t="n"/>
      <c r="P544" s="796" t="inlineStr">
        <is>
          <t>Итого</t>
        </is>
      </c>
      <c r="Q544" s="793" t="n"/>
      <c r="R544" s="793" t="n"/>
      <c r="S544" s="793" t="n"/>
      <c r="T544" s="793" t="n"/>
      <c r="U544" s="793" t="n"/>
      <c r="V544" s="794" t="n"/>
      <c r="W544" s="37" t="inlineStr">
        <is>
          <t>кор</t>
        </is>
      </c>
      <c r="X544" s="1223">
        <f>IFERROR(X540/H540,"0")+IFERROR(X541/H541,"0")+IFERROR(X542/H542,"0")+IFERROR(X543/H543,"0")</f>
        <v/>
      </c>
      <c r="Y544" s="1223">
        <f>IFERROR(Y540/H540,"0")+IFERROR(Y541/H541,"0")+IFERROR(Y542/H542,"0")+IFERROR(Y543/H543,"0")</f>
        <v/>
      </c>
      <c r="Z544" s="1223">
        <f>IFERROR(IF(Z540="",0,Z540),"0")+IFERROR(IF(Z541="",0,Z541),"0")+IFERROR(IF(Z542="",0,Z542),"0")+IFERROR(IF(Z543="",0,Z543),"0")</f>
        <v/>
      </c>
      <c r="AA544" s="1224" t="n"/>
      <c r="AB544" s="1224" t="n"/>
      <c r="AC544" s="1224" t="n"/>
    </row>
    <row r="545">
      <c r="A545" s="800" t="n"/>
      <c r="B545" s="800" t="n"/>
      <c r="C545" s="800" t="n"/>
      <c r="D545" s="800" t="n"/>
      <c r="E545" s="800" t="n"/>
      <c r="F545" s="800" t="n"/>
      <c r="G545" s="800" t="n"/>
      <c r="H545" s="800" t="n"/>
      <c r="I545" s="800" t="n"/>
      <c r="J545" s="800" t="n"/>
      <c r="K545" s="800" t="n"/>
      <c r="L545" s="800" t="n"/>
      <c r="M545" s="800" t="n"/>
      <c r="N545" s="800" t="n"/>
      <c r="O545" s="802" t="n"/>
      <c r="P545" s="796" t="inlineStr">
        <is>
          <t>Итого</t>
        </is>
      </c>
      <c r="Q545" s="793" t="n"/>
      <c r="R545" s="793" t="n"/>
      <c r="S545" s="793" t="n"/>
      <c r="T545" s="793" t="n"/>
      <c r="U545" s="793" t="n"/>
      <c r="V545" s="794" t="n"/>
      <c r="W545" s="37" t="inlineStr">
        <is>
          <t>кг</t>
        </is>
      </c>
      <c r="X545" s="1223">
        <f>IFERROR(SUM(X540:X543),"0")</f>
        <v/>
      </c>
      <c r="Y545" s="1223">
        <f>IFERROR(SUM(Y540:Y543),"0")</f>
        <v/>
      </c>
      <c r="Z545" s="37" t="n"/>
      <c r="AA545" s="1224" t="n"/>
      <c r="AB545" s="1224" t="n"/>
      <c r="AC545" s="1224" t="n"/>
    </row>
    <row r="546" ht="16.5" customHeight="1">
      <c r="A546" s="807" t="inlineStr">
        <is>
          <t>Бюргерсы</t>
        </is>
      </c>
      <c r="B546" s="800" t="n"/>
      <c r="C546" s="800" t="n"/>
      <c r="D546" s="800" t="n"/>
      <c r="E546" s="800" t="n"/>
      <c r="F546" s="800" t="n"/>
      <c r="G546" s="800" t="n"/>
      <c r="H546" s="800" t="n"/>
      <c r="I546" s="800" t="n"/>
      <c r="J546" s="800" t="n"/>
      <c r="K546" s="800" t="n"/>
      <c r="L546" s="800" t="n"/>
      <c r="M546" s="800" t="n"/>
      <c r="N546" s="800" t="n"/>
      <c r="O546" s="800" t="n"/>
      <c r="P546" s="800" t="n"/>
      <c r="Q546" s="800" t="n"/>
      <c r="R546" s="800" t="n"/>
      <c r="S546" s="800" t="n"/>
      <c r="T546" s="800" t="n"/>
      <c r="U546" s="800" t="n"/>
      <c r="V546" s="800" t="n"/>
      <c r="W546" s="800" t="n"/>
      <c r="X546" s="800" t="n"/>
      <c r="Y546" s="800" t="n"/>
      <c r="Z546" s="800" t="n"/>
      <c r="AA546" s="807" t="n"/>
      <c r="AB546" s="807" t="n"/>
      <c r="AC546" s="807" t="n"/>
    </row>
    <row r="547" ht="14.25" customHeight="1">
      <c r="A547" s="799" t="inlineStr">
        <is>
          <t>Копченые колбасы</t>
        </is>
      </c>
      <c r="B547" s="800" t="n"/>
      <c r="C547" s="800" t="n"/>
      <c r="D547" s="800" t="n"/>
      <c r="E547" s="800" t="n"/>
      <c r="F547" s="800" t="n"/>
      <c r="G547" s="800" t="n"/>
      <c r="H547" s="800" t="n"/>
      <c r="I547" s="800" t="n"/>
      <c r="J547" s="800" t="n"/>
      <c r="K547" s="800" t="n"/>
      <c r="L547" s="800" t="n"/>
      <c r="M547" s="800" t="n"/>
      <c r="N547" s="800" t="n"/>
      <c r="O547" s="800" t="n"/>
      <c r="P547" s="800" t="n"/>
      <c r="Q547" s="800" t="n"/>
      <c r="R547" s="800" t="n"/>
      <c r="S547" s="800" t="n"/>
      <c r="T547" s="800" t="n"/>
      <c r="U547" s="800" t="n"/>
      <c r="V547" s="800" t="n"/>
      <c r="W547" s="800" t="n"/>
      <c r="X547" s="800" t="n"/>
      <c r="Y547" s="800" t="n"/>
      <c r="Z547" s="800" t="n"/>
      <c r="AA547" s="799" t="n"/>
      <c r="AB547" s="799" t="n"/>
      <c r="AC547" s="799" t="n"/>
    </row>
    <row r="548" ht="27" customHeight="1">
      <c r="A548" s="54" t="inlineStr">
        <is>
          <t>SU003132</t>
        </is>
      </c>
      <c r="B548" s="54" t="inlineStr">
        <is>
          <t>P003718</t>
        </is>
      </c>
      <c r="C548" s="31" t="n">
        <v>4301031261</v>
      </c>
      <c r="D548" s="782" t="n">
        <v>4680115885103</v>
      </c>
      <c r="E548" s="783" t="n"/>
      <c r="F548" s="1220" t="n">
        <v>0.27</v>
      </c>
      <c r="G548" s="32" t="n">
        <v>6</v>
      </c>
      <c r="H548" s="1220" t="n">
        <v>1.62</v>
      </c>
      <c r="I548" s="1220" t="n">
        <v>1.8</v>
      </c>
      <c r="J548" s="32" t="n">
        <v>182</v>
      </c>
      <c r="K548" s="32" t="inlineStr">
        <is>
          <t>14</t>
        </is>
      </c>
      <c r="L548" s="32" t="n"/>
      <c r="M548" s="33" t="inlineStr">
        <is>
          <t>СК2</t>
        </is>
      </c>
      <c r="N548" s="33" t="n"/>
      <c r="O548" s="32" t="n">
        <v>40</v>
      </c>
      <c r="P548" s="1115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/>
      </c>
      <c r="Q548" s="785" t="n"/>
      <c r="R548" s="785" t="n"/>
      <c r="S548" s="785" t="n"/>
      <c r="T548" s="786" t="n"/>
      <c r="U548" s="34" t="n"/>
      <c r="V548" s="34" t="n"/>
      <c r="W548" s="35" t="inlineStr">
        <is>
          <t>кг</t>
        </is>
      </c>
      <c r="X548" s="1221" t="n">
        <v>0</v>
      </c>
      <c r="Y548" s="1222">
        <f>IFERROR(IF(X548="",0,CEILING((X548/$H548),1)*$H548),"")</f>
        <v/>
      </c>
      <c r="Z548" s="36">
        <f>IFERROR(IF(Y548=0,"",ROUNDUP(Y548/H548,0)*0.00651),"")</f>
        <v/>
      </c>
      <c r="AA548" s="56" t="n"/>
      <c r="AB548" s="57" t="n"/>
      <c r="AC548" s="637" t="inlineStr">
        <is>
          <t>ЕАЭС N RU Д-RU.РА02.В.61667/24</t>
        </is>
      </c>
      <c r="AG548" s="64" t="n"/>
      <c r="AJ548" s="68" t="n"/>
      <c r="AK548" s="68" t="n">
        <v>0</v>
      </c>
      <c r="BB548" s="638" t="inlineStr">
        <is>
          <t>КИ</t>
        </is>
      </c>
      <c r="BM548" s="64">
        <f>IFERROR(X548*I548/H548,"0")</f>
        <v/>
      </c>
      <c r="BN548" s="64">
        <f>IFERROR(Y548*I548/H548,"0")</f>
        <v/>
      </c>
      <c r="BO548" s="64">
        <f>IFERROR(1/J548*(X548/H548),"0")</f>
        <v/>
      </c>
      <c r="BP548" s="64">
        <f>IFERROR(1/J548*(Y548/H548),"0")</f>
        <v/>
      </c>
    </row>
    <row r="549">
      <c r="A549" s="801" t="n"/>
      <c r="B549" s="800" t="n"/>
      <c r="C549" s="800" t="n"/>
      <c r="D549" s="800" t="n"/>
      <c r="E549" s="800" t="n"/>
      <c r="F549" s="800" t="n"/>
      <c r="G549" s="800" t="n"/>
      <c r="H549" s="800" t="n"/>
      <c r="I549" s="800" t="n"/>
      <c r="J549" s="800" t="n"/>
      <c r="K549" s="800" t="n"/>
      <c r="L549" s="800" t="n"/>
      <c r="M549" s="800" t="n"/>
      <c r="N549" s="800" t="n"/>
      <c r="O549" s="802" t="n"/>
      <c r="P549" s="796" t="inlineStr">
        <is>
          <t>Итого</t>
        </is>
      </c>
      <c r="Q549" s="793" t="n"/>
      <c r="R549" s="793" t="n"/>
      <c r="S549" s="793" t="n"/>
      <c r="T549" s="793" t="n"/>
      <c r="U549" s="793" t="n"/>
      <c r="V549" s="794" t="n"/>
      <c r="W549" s="37" t="inlineStr">
        <is>
          <t>кор</t>
        </is>
      </c>
      <c r="X549" s="1223">
        <f>IFERROR(X548/H548,"0")</f>
        <v/>
      </c>
      <c r="Y549" s="1223">
        <f>IFERROR(Y548/H548,"0")</f>
        <v/>
      </c>
      <c r="Z549" s="1223">
        <f>IFERROR(IF(Z548="",0,Z548),"0")</f>
        <v/>
      </c>
      <c r="AA549" s="1224" t="n"/>
      <c r="AB549" s="1224" t="n"/>
      <c r="AC549" s="1224" t="n"/>
    </row>
    <row r="550">
      <c r="A550" s="800" t="n"/>
      <c r="B550" s="800" t="n"/>
      <c r="C550" s="800" t="n"/>
      <c r="D550" s="800" t="n"/>
      <c r="E550" s="800" t="n"/>
      <c r="F550" s="800" t="n"/>
      <c r="G550" s="800" t="n"/>
      <c r="H550" s="800" t="n"/>
      <c r="I550" s="800" t="n"/>
      <c r="J550" s="800" t="n"/>
      <c r="K550" s="800" t="n"/>
      <c r="L550" s="800" t="n"/>
      <c r="M550" s="800" t="n"/>
      <c r="N550" s="800" t="n"/>
      <c r="O550" s="802" t="n"/>
      <c r="P550" s="796" t="inlineStr">
        <is>
          <t>Итого</t>
        </is>
      </c>
      <c r="Q550" s="793" t="n"/>
      <c r="R550" s="793" t="n"/>
      <c r="S550" s="793" t="n"/>
      <c r="T550" s="793" t="n"/>
      <c r="U550" s="793" t="n"/>
      <c r="V550" s="794" t="n"/>
      <c r="W550" s="37" t="inlineStr">
        <is>
          <t>кг</t>
        </is>
      </c>
      <c r="X550" s="1223">
        <f>IFERROR(SUM(X548:X548),"0")</f>
        <v/>
      </c>
      <c r="Y550" s="1223">
        <f>IFERROR(SUM(Y548:Y548),"0")</f>
        <v/>
      </c>
      <c r="Z550" s="37" t="n"/>
      <c r="AA550" s="1224" t="n"/>
      <c r="AB550" s="1224" t="n"/>
      <c r="AC550" s="1224" t="n"/>
    </row>
    <row r="551" ht="27.75" customHeight="1">
      <c r="A551" s="900" t="inlineStr">
        <is>
          <t>Дугушка</t>
        </is>
      </c>
      <c r="B551" s="901" t="n"/>
      <c r="C551" s="901" t="n"/>
      <c r="D551" s="901" t="n"/>
      <c r="E551" s="901" t="n"/>
      <c r="F551" s="901" t="n"/>
      <c r="G551" s="901" t="n"/>
      <c r="H551" s="901" t="n"/>
      <c r="I551" s="901" t="n"/>
      <c r="J551" s="901" t="n"/>
      <c r="K551" s="901" t="n"/>
      <c r="L551" s="901" t="n"/>
      <c r="M551" s="901" t="n"/>
      <c r="N551" s="901" t="n"/>
      <c r="O551" s="901" t="n"/>
      <c r="P551" s="901" t="n"/>
      <c r="Q551" s="901" t="n"/>
      <c r="R551" s="901" t="n"/>
      <c r="S551" s="901" t="n"/>
      <c r="T551" s="901" t="n"/>
      <c r="U551" s="901" t="n"/>
      <c r="V551" s="901" t="n"/>
      <c r="W551" s="901" t="n"/>
      <c r="X551" s="901" t="n"/>
      <c r="Y551" s="901" t="n"/>
      <c r="Z551" s="901" t="n"/>
      <c r="AA551" s="48" t="n"/>
      <c r="AB551" s="48" t="n"/>
      <c r="AC551" s="48" t="n"/>
    </row>
    <row r="552" ht="16.5" customHeight="1">
      <c r="A552" s="807" t="inlineStr">
        <is>
          <t>Дугушка</t>
        </is>
      </c>
      <c r="B552" s="800" t="n"/>
      <c r="C552" s="800" t="n"/>
      <c r="D552" s="800" t="n"/>
      <c r="E552" s="800" t="n"/>
      <c r="F552" s="800" t="n"/>
      <c r="G552" s="800" t="n"/>
      <c r="H552" s="800" t="n"/>
      <c r="I552" s="800" t="n"/>
      <c r="J552" s="800" t="n"/>
      <c r="K552" s="800" t="n"/>
      <c r="L552" s="800" t="n"/>
      <c r="M552" s="800" t="n"/>
      <c r="N552" s="800" t="n"/>
      <c r="O552" s="800" t="n"/>
      <c r="P552" s="800" t="n"/>
      <c r="Q552" s="800" t="n"/>
      <c r="R552" s="800" t="n"/>
      <c r="S552" s="800" t="n"/>
      <c r="T552" s="800" t="n"/>
      <c r="U552" s="800" t="n"/>
      <c r="V552" s="800" t="n"/>
      <c r="W552" s="800" t="n"/>
      <c r="X552" s="800" t="n"/>
      <c r="Y552" s="800" t="n"/>
      <c r="Z552" s="800" t="n"/>
      <c r="AA552" s="807" t="n"/>
      <c r="AB552" s="807" t="n"/>
      <c r="AC552" s="807" t="n"/>
    </row>
    <row r="553" ht="14.25" customHeight="1">
      <c r="A553" s="799" t="inlineStr">
        <is>
          <t>Вареные колбасы</t>
        </is>
      </c>
      <c r="B553" s="800" t="n"/>
      <c r="C553" s="800" t="n"/>
      <c r="D553" s="800" t="n"/>
      <c r="E553" s="800" t="n"/>
      <c r="F553" s="800" t="n"/>
      <c r="G553" s="800" t="n"/>
      <c r="H553" s="800" t="n"/>
      <c r="I553" s="800" t="n"/>
      <c r="J553" s="800" t="n"/>
      <c r="K553" s="800" t="n"/>
      <c r="L553" s="800" t="n"/>
      <c r="M553" s="800" t="n"/>
      <c r="N553" s="800" t="n"/>
      <c r="O553" s="800" t="n"/>
      <c r="P553" s="800" t="n"/>
      <c r="Q553" s="800" t="n"/>
      <c r="R553" s="800" t="n"/>
      <c r="S553" s="800" t="n"/>
      <c r="T553" s="800" t="n"/>
      <c r="U553" s="800" t="n"/>
      <c r="V553" s="800" t="n"/>
      <c r="W553" s="800" t="n"/>
      <c r="X553" s="800" t="n"/>
      <c r="Y553" s="800" t="n"/>
      <c r="Z553" s="800" t="n"/>
      <c r="AA553" s="799" t="n"/>
      <c r="AB553" s="799" t="n"/>
      <c r="AC553" s="799" t="n"/>
    </row>
    <row r="554" ht="27" customHeight="1">
      <c r="A554" s="54" t="inlineStr">
        <is>
          <t>SU003786</t>
        </is>
      </c>
      <c r="B554" s="54" t="inlineStr">
        <is>
          <t>P004752</t>
        </is>
      </c>
      <c r="C554" s="31" t="n">
        <v>4301012050</v>
      </c>
      <c r="D554" s="782" t="n">
        <v>4680115885479</v>
      </c>
      <c r="E554" s="783" t="n"/>
      <c r="F554" s="1220" t="n">
        <v>0.4</v>
      </c>
      <c r="G554" s="32" t="n">
        <v>6</v>
      </c>
      <c r="H554" s="1220" t="n">
        <v>2.4</v>
      </c>
      <c r="I554" s="1220" t="n">
        <v>2.58</v>
      </c>
      <c r="J554" s="32" t="n">
        <v>182</v>
      </c>
      <c r="K554" s="32" t="inlineStr">
        <is>
          <t>14</t>
        </is>
      </c>
      <c r="L554" s="32" t="n"/>
      <c r="M554" s="33" t="inlineStr">
        <is>
          <t>СК1</t>
        </is>
      </c>
      <c r="N554" s="33" t="n"/>
      <c r="O554" s="32" t="n">
        <v>60</v>
      </c>
      <c r="P554" s="950" t="inlineStr">
        <is>
          <t>Вареные колбасы «Молочная Дугушка» Фикс.вес 0,4 полиамид ТМ «Дугушка»</t>
        </is>
      </c>
      <c r="Q554" s="785" t="n"/>
      <c r="R554" s="785" t="n"/>
      <c r="S554" s="785" t="n"/>
      <c r="T554" s="786" t="n"/>
      <c r="U554" s="34" t="n"/>
      <c r="V554" s="34" t="n"/>
      <c r="W554" s="35" t="inlineStr">
        <is>
          <t>кг</t>
        </is>
      </c>
      <c r="X554" s="1221" t="n">
        <v>0</v>
      </c>
      <c r="Y554" s="1222">
        <f>IFERROR(IF(X554="",0,CEILING((X554/$H554),1)*$H554),"")</f>
        <v/>
      </c>
      <c r="Z554" s="36">
        <f>IFERROR(IF(Y554=0,"",ROUNDUP(Y554/H554,0)*0.00651),"")</f>
        <v/>
      </c>
      <c r="AA554" s="56" t="n"/>
      <c r="AB554" s="57" t="inlineStr">
        <is>
          <t>Новинка</t>
        </is>
      </c>
      <c r="AC554" s="639" t="inlineStr">
        <is>
          <t>ЕАЭС N RU Д-RU.РА07.В.78433/22</t>
        </is>
      </c>
      <c r="AG554" s="64" t="n"/>
      <c r="AJ554" s="68" t="n"/>
      <c r="AK554" s="68" t="n">
        <v>0</v>
      </c>
      <c r="BB554" s="640" t="inlineStr">
        <is>
          <t>КИ</t>
        </is>
      </c>
      <c r="BM554" s="64">
        <f>IFERROR(X554*I554/H554,"0")</f>
        <v/>
      </c>
      <c r="BN554" s="64">
        <f>IFERROR(Y554*I554/H554,"0")</f>
        <v/>
      </c>
      <c r="BO554" s="64">
        <f>IFERROR(1/J554*(X554/H554),"0")</f>
        <v/>
      </c>
      <c r="BP554" s="64">
        <f>IFERROR(1/J554*(Y554/H554),"0")</f>
        <v/>
      </c>
    </row>
    <row r="555" ht="27" customHeight="1">
      <c r="A555" s="54" t="inlineStr">
        <is>
          <t>SU002011</t>
        </is>
      </c>
      <c r="B555" s="54" t="inlineStr">
        <is>
          <t>P004028</t>
        </is>
      </c>
      <c r="C555" s="31" t="n">
        <v>4301011795</v>
      </c>
      <c r="D555" s="782" t="n">
        <v>4607091389067</v>
      </c>
      <c r="E555" s="783" t="n"/>
      <c r="F555" s="1220" t="n">
        <v>0.88</v>
      </c>
      <c r="G555" s="32" t="n">
        <v>6</v>
      </c>
      <c r="H555" s="1220" t="n">
        <v>5.28</v>
      </c>
      <c r="I555" s="1220" t="n">
        <v>5.64</v>
      </c>
      <c r="J555" s="32" t="n">
        <v>104</v>
      </c>
      <c r="K555" s="32" t="inlineStr">
        <is>
          <t>8</t>
        </is>
      </c>
      <c r="L555" s="32" t="n"/>
      <c r="M555" s="33" t="inlineStr">
        <is>
          <t>СК1</t>
        </is>
      </c>
      <c r="N555" s="33" t="n"/>
      <c r="O555" s="32" t="n">
        <v>60</v>
      </c>
      <c r="P555" s="916">
        <f>HYPERLINK("https://abi.ru/products/Охлажденные/Дугушка/Дугушка/Вареные колбасы/P004028/","Вареные колбасы Докторская ГОСТ Дугушка Весовые Вектор Дугушка")</f>
        <v/>
      </c>
      <c r="Q555" s="785" t="n"/>
      <c r="R555" s="785" t="n"/>
      <c r="S555" s="785" t="n"/>
      <c r="T555" s="786" t="n"/>
      <c r="U555" s="34" t="n"/>
      <c r="V555" s="34" t="n"/>
      <c r="W555" s="35" t="inlineStr">
        <is>
          <t>кг</t>
        </is>
      </c>
      <c r="X555" s="1221" t="n">
        <v>0</v>
      </c>
      <c r="Y555" s="1222">
        <f>IFERROR(IF(X555="",0,CEILING((X555/$H555),1)*$H555),"")</f>
        <v/>
      </c>
      <c r="Z555" s="36">
        <f>IFERROR(IF(Y555=0,"",ROUNDUP(Y555/H555,0)*0.01196),"")</f>
        <v/>
      </c>
      <c r="AA555" s="56" t="n"/>
      <c r="AB555" s="57" t="n"/>
      <c r="AC555" s="641" t="inlineStr">
        <is>
          <t>ЕАЭС N RU Д-RU.РА02.В.62622/22</t>
        </is>
      </c>
      <c r="AG555" s="64" t="n"/>
      <c r="AJ555" s="68" t="n"/>
      <c r="AK555" s="68" t="n">
        <v>0</v>
      </c>
      <c r="BB555" s="642" t="inlineStr">
        <is>
          <t>КИ</t>
        </is>
      </c>
      <c r="BM555" s="64">
        <f>IFERROR(X555*I555/H555,"0")</f>
        <v/>
      </c>
      <c r="BN555" s="64">
        <f>IFERROR(Y555*I555/H555,"0")</f>
        <v/>
      </c>
      <c r="BO555" s="64">
        <f>IFERROR(1/J555*(X555/H555),"0")</f>
        <v/>
      </c>
      <c r="BP555" s="64">
        <f>IFERROR(1/J555*(Y555/H555),"0")</f>
        <v/>
      </c>
    </row>
    <row r="556" ht="27" customHeight="1">
      <c r="A556" s="54" t="inlineStr">
        <is>
          <t>SU002182</t>
        </is>
      </c>
      <c r="B556" s="54" t="inlineStr">
        <is>
          <t>P004406</t>
        </is>
      </c>
      <c r="C556" s="31" t="n">
        <v>4301011961</v>
      </c>
      <c r="D556" s="782" t="n">
        <v>4680115885271</v>
      </c>
      <c r="E556" s="783" t="n"/>
      <c r="F556" s="1220" t="n">
        <v>0.88</v>
      </c>
      <c r="G556" s="32" t="n">
        <v>6</v>
      </c>
      <c r="H556" s="1220" t="n">
        <v>5.28</v>
      </c>
      <c r="I556" s="1220" t="n">
        <v>5.64</v>
      </c>
      <c r="J556" s="32" t="n">
        <v>104</v>
      </c>
      <c r="K556" s="32" t="inlineStr">
        <is>
          <t>8</t>
        </is>
      </c>
      <c r="L556" s="32" t="n"/>
      <c r="M556" s="33" t="inlineStr">
        <is>
          <t>СК1</t>
        </is>
      </c>
      <c r="N556" s="33" t="n"/>
      <c r="O556" s="32" t="n">
        <v>60</v>
      </c>
      <c r="P556" s="1204">
        <f>HYPERLINK("https://abi.ru/products/Охлажденные/Дугушка/Дугушка/Вареные колбасы/P004406/","Вареные колбасы «Дугушка со шпиком» Весовой Вектор ТМ «Дугушка»")</f>
        <v/>
      </c>
      <c r="Q556" s="785" t="n"/>
      <c r="R556" s="785" t="n"/>
      <c r="S556" s="785" t="n"/>
      <c r="T556" s="786" t="n"/>
      <c r="U556" s="34" t="n"/>
      <c r="V556" s="34" t="n"/>
      <c r="W556" s="35" t="inlineStr">
        <is>
          <t>кг</t>
        </is>
      </c>
      <c r="X556" s="1221" t="n">
        <v>0</v>
      </c>
      <c r="Y556" s="1222">
        <f>IFERROR(IF(X556="",0,CEILING((X556/$H556),1)*$H556),"")</f>
        <v/>
      </c>
      <c r="Z556" s="36">
        <f>IFERROR(IF(Y556=0,"",ROUNDUP(Y556/H556,0)*0.01196),"")</f>
        <v/>
      </c>
      <c r="AA556" s="56" t="n"/>
      <c r="AB556" s="57" t="n"/>
      <c r="AC556" s="643" t="inlineStr">
        <is>
          <t>ЕАЭС N RU Д-RU.РА02.В.51764/24</t>
        </is>
      </c>
      <c r="AG556" s="64" t="n"/>
      <c r="AJ556" s="68" t="n"/>
      <c r="AK556" s="68" t="n">
        <v>0</v>
      </c>
      <c r="BB556" s="644" t="inlineStr">
        <is>
          <t>КИ</t>
        </is>
      </c>
      <c r="BM556" s="64">
        <f>IFERROR(X556*I556/H556,"0")</f>
        <v/>
      </c>
      <c r="BN556" s="64">
        <f>IFERROR(Y556*I556/H556,"0")</f>
        <v/>
      </c>
      <c r="BO556" s="64">
        <f>IFERROR(1/J556*(X556/H556),"0")</f>
        <v/>
      </c>
      <c r="BP556" s="64">
        <f>IFERROR(1/J556*(Y556/H556),"0")</f>
        <v/>
      </c>
    </row>
    <row r="557" ht="16.5" customHeight="1">
      <c r="A557" s="54" t="inlineStr">
        <is>
          <t>SU002998</t>
        </is>
      </c>
      <c r="B557" s="54" t="inlineStr">
        <is>
          <t>P004033</t>
        </is>
      </c>
      <c r="C557" s="31" t="n">
        <v>4301011774</v>
      </c>
      <c r="D557" s="782" t="n">
        <v>4680115884502</v>
      </c>
      <c r="E557" s="783" t="n"/>
      <c r="F557" s="1220" t="n">
        <v>0.88</v>
      </c>
      <c r="G557" s="32" t="n">
        <v>6</v>
      </c>
      <c r="H557" s="1220" t="n">
        <v>5.28</v>
      </c>
      <c r="I557" s="1220" t="n">
        <v>5.64</v>
      </c>
      <c r="J557" s="32" t="n">
        <v>104</v>
      </c>
      <c r="K557" s="32" t="inlineStr">
        <is>
          <t>8</t>
        </is>
      </c>
      <c r="L557" s="32" t="n"/>
      <c r="M557" s="33" t="inlineStr">
        <is>
          <t>СК1</t>
        </is>
      </c>
      <c r="N557" s="33" t="n"/>
      <c r="O557" s="32" t="n">
        <v>60</v>
      </c>
      <c r="P557" s="903">
        <f>HYPERLINK("https://abi.ru/products/Охлажденные/Дугушка/Дугушка/Вареные колбасы/P004033/","Вареные колбасы «Молочная ГОСТ» Весовой п/а ТМ «Дугушка»")</f>
        <v/>
      </c>
      <c r="Q557" s="785" t="n"/>
      <c r="R557" s="785" t="n"/>
      <c r="S557" s="785" t="n"/>
      <c r="T557" s="786" t="n"/>
      <c r="U557" s="34" t="n"/>
      <c r="V557" s="34" t="n"/>
      <c r="W557" s="35" t="inlineStr">
        <is>
          <t>кг</t>
        </is>
      </c>
      <c r="X557" s="1221" t="n">
        <v>0</v>
      </c>
      <c r="Y557" s="1222">
        <f>IFERROR(IF(X557="",0,CEILING((X557/$H557),1)*$H557),"")</f>
        <v/>
      </c>
      <c r="Z557" s="36">
        <f>IFERROR(IF(Y557=0,"",ROUNDUP(Y557/H557,0)*0.01196),"")</f>
        <v/>
      </c>
      <c r="AA557" s="56" t="n"/>
      <c r="AB557" s="57" t="n"/>
      <c r="AC557" s="645" t="inlineStr">
        <is>
          <t>ЕАЭС N RU Д-RU.РА10.В.33801/23</t>
        </is>
      </c>
      <c r="AG557" s="64" t="n"/>
      <c r="AJ557" s="68" t="n"/>
      <c r="AK557" s="68" t="n">
        <v>0</v>
      </c>
      <c r="BB557" s="646" t="inlineStr">
        <is>
          <t>КИ</t>
        </is>
      </c>
      <c r="BM557" s="64">
        <f>IFERROR(X557*I557/H557,"0")</f>
        <v/>
      </c>
      <c r="BN557" s="64">
        <f>IFERROR(Y557*I557/H557,"0")</f>
        <v/>
      </c>
      <c r="BO557" s="64">
        <f>IFERROR(1/J557*(X557/H557),"0")</f>
        <v/>
      </c>
      <c r="BP557" s="64">
        <f>IFERROR(1/J557*(Y557/H557),"0")</f>
        <v/>
      </c>
    </row>
    <row r="558" ht="27" customHeight="1">
      <c r="A558" s="54" t="inlineStr">
        <is>
          <t>SU002010</t>
        </is>
      </c>
      <c r="B558" s="54" t="inlineStr">
        <is>
          <t>P004030</t>
        </is>
      </c>
      <c r="C558" s="31" t="n">
        <v>4301011771</v>
      </c>
      <c r="D558" s="782" t="n">
        <v>4607091389104</v>
      </c>
      <c r="E558" s="783" t="n"/>
      <c r="F558" s="1220" t="n">
        <v>0.88</v>
      </c>
      <c r="G558" s="32" t="n">
        <v>6</v>
      </c>
      <c r="H558" s="1220" t="n">
        <v>5.28</v>
      </c>
      <c r="I558" s="1220" t="n">
        <v>5.64</v>
      </c>
      <c r="J558" s="32" t="n">
        <v>104</v>
      </c>
      <c r="K558" s="32" t="inlineStr">
        <is>
          <t>8</t>
        </is>
      </c>
      <c r="L558" s="32" t="n"/>
      <c r="M558" s="33" t="inlineStr">
        <is>
          <t>СК1</t>
        </is>
      </c>
      <c r="N558" s="33" t="n"/>
      <c r="O558" s="32" t="n">
        <v>60</v>
      </c>
      <c r="P558" s="1119">
        <f>HYPERLINK("https://abi.ru/products/Охлажденные/Дугушка/Дугушка/Вареные колбасы/P004030/","Вареные колбасы «Молочная Дугушка» Весовые Вектор ТМ «Дугушка»")</f>
        <v/>
      </c>
      <c r="Q558" s="785" t="n"/>
      <c r="R558" s="785" t="n"/>
      <c r="S558" s="785" t="n"/>
      <c r="T558" s="786" t="n"/>
      <c r="U558" s="34" t="n"/>
      <c r="V558" s="34" t="n"/>
      <c r="W558" s="35" t="inlineStr">
        <is>
          <t>кг</t>
        </is>
      </c>
      <c r="X558" s="1221" t="n">
        <v>2000</v>
      </c>
      <c r="Y558" s="1222">
        <f>IFERROR(IF(X558="",0,CEILING((X558/$H558),1)*$H558),"")</f>
        <v/>
      </c>
      <c r="Z558" s="36">
        <f>IFERROR(IF(Y558=0,"",ROUNDUP(Y558/H558,0)*0.01196),"")</f>
        <v/>
      </c>
      <c r="AA558" s="56" t="n"/>
      <c r="AB558" s="57" t="n"/>
      <c r="AC558" s="647" t="inlineStr">
        <is>
          <t>ЕАЭС N RU Д-RU.РА07.В.78433/22</t>
        </is>
      </c>
      <c r="AG558" s="64" t="n"/>
      <c r="AJ558" s="68" t="n"/>
      <c r="AK558" s="68" t="n">
        <v>0</v>
      </c>
      <c r="BB558" s="648" t="inlineStr">
        <is>
          <t>КИ</t>
        </is>
      </c>
      <c r="BM558" s="64">
        <f>IFERROR(X558*I558/H558,"0")</f>
        <v/>
      </c>
      <c r="BN558" s="64">
        <f>IFERROR(Y558*I558/H558,"0")</f>
        <v/>
      </c>
      <c r="BO558" s="64">
        <f>IFERROR(1/J558*(X558/H558),"0")</f>
        <v/>
      </c>
      <c r="BP558" s="64">
        <f>IFERROR(1/J558*(Y558/H558),"0")</f>
        <v/>
      </c>
    </row>
    <row r="559" ht="16.5" customHeight="1">
      <c r="A559" s="54" t="inlineStr">
        <is>
          <t>SU002999</t>
        </is>
      </c>
      <c r="B559" s="54" t="inlineStr">
        <is>
          <t>P004045</t>
        </is>
      </c>
      <c r="C559" s="31" t="n">
        <v>4301011799</v>
      </c>
      <c r="D559" s="782" t="n">
        <v>4680115884519</v>
      </c>
      <c r="E559" s="783" t="n"/>
      <c r="F559" s="1220" t="n">
        <v>0.88</v>
      </c>
      <c r="G559" s="32" t="n">
        <v>6</v>
      </c>
      <c r="H559" s="1220" t="n">
        <v>5.28</v>
      </c>
      <c r="I559" s="1220" t="n">
        <v>5.64</v>
      </c>
      <c r="J559" s="32" t="n">
        <v>104</v>
      </c>
      <c r="K559" s="32" t="inlineStr">
        <is>
          <t>8</t>
        </is>
      </c>
      <c r="L559" s="32" t="n"/>
      <c r="M559" s="33" t="inlineStr">
        <is>
          <t>СК3</t>
        </is>
      </c>
      <c r="N559" s="33" t="n"/>
      <c r="O559" s="32" t="n">
        <v>60</v>
      </c>
      <c r="P559" s="988">
        <f>HYPERLINK("https://abi.ru/products/Охлажденные/Дугушка/Дугушка/Вареные колбасы/P004045/","Вареные колбасы «Русская ГОСТ» Весовой п/а ТМ «Дугушка»")</f>
        <v/>
      </c>
      <c r="Q559" s="785" t="n"/>
      <c r="R559" s="785" t="n"/>
      <c r="S559" s="785" t="n"/>
      <c r="T559" s="786" t="n"/>
      <c r="U559" s="34" t="n"/>
      <c r="V559" s="34" t="n"/>
      <c r="W559" s="35" t="inlineStr">
        <is>
          <t>кг</t>
        </is>
      </c>
      <c r="X559" s="1221" t="n">
        <v>0</v>
      </c>
      <c r="Y559" s="1222">
        <f>IFERROR(IF(X559="",0,CEILING((X559/$H559),1)*$H559),"")</f>
        <v/>
      </c>
      <c r="Z559" s="36">
        <f>IFERROR(IF(Y559=0,"",ROUNDUP(Y559/H559,0)*0.01196),"")</f>
        <v/>
      </c>
      <c r="AA559" s="56" t="n"/>
      <c r="AB559" s="57" t="n"/>
      <c r="AC559" s="649" t="inlineStr">
        <is>
          <t>ЕАЭС N RU Д-RU.РА10.В.31672/23</t>
        </is>
      </c>
      <c r="AG559" s="64" t="n"/>
      <c r="AJ559" s="68" t="n"/>
      <c r="AK559" s="68" t="n">
        <v>0</v>
      </c>
      <c r="BB559" s="650" t="inlineStr">
        <is>
          <t>КИ</t>
        </is>
      </c>
      <c r="BM559" s="64">
        <f>IFERROR(X559*I559/H559,"0")</f>
        <v/>
      </c>
      <c r="BN559" s="64">
        <f>IFERROR(Y559*I559/H559,"0")</f>
        <v/>
      </c>
      <c r="BO559" s="64">
        <f>IFERROR(1/J559*(X559/H559),"0")</f>
        <v/>
      </c>
      <c r="BP559" s="64">
        <f>IFERROR(1/J559*(Y559/H559),"0")</f>
        <v/>
      </c>
    </row>
    <row r="560" ht="27" customHeight="1">
      <c r="A560" s="54" t="inlineStr">
        <is>
          <t>SU002634</t>
        </is>
      </c>
      <c r="B560" s="54" t="inlineStr">
        <is>
          <t>P002989</t>
        </is>
      </c>
      <c r="C560" s="31" t="n">
        <v>4301011376</v>
      </c>
      <c r="D560" s="782" t="n">
        <v>4680115885226</v>
      </c>
      <c r="E560" s="783" t="n"/>
      <c r="F560" s="1220" t="n">
        <v>0.88</v>
      </c>
      <c r="G560" s="32" t="n">
        <v>6</v>
      </c>
      <c r="H560" s="1220" t="n">
        <v>5.28</v>
      </c>
      <c r="I560" s="1220" t="n">
        <v>5.64</v>
      </c>
      <c r="J560" s="32" t="n">
        <v>104</v>
      </c>
      <c r="K560" s="32" t="inlineStr">
        <is>
          <t>8</t>
        </is>
      </c>
      <c r="L560" s="32" t="n"/>
      <c r="M560" s="33" t="inlineStr">
        <is>
          <t>СК3</t>
        </is>
      </c>
      <c r="N560" s="33" t="n"/>
      <c r="O560" s="32" t="n">
        <v>60</v>
      </c>
      <c r="P560" s="907">
        <f>HYPERLINK("https://abi.ru/products/Охлажденные/Дугушка/Дугушка/Вареные колбасы/P002989/","Вареные колбасы «Дугушка Стародворская» Вес п/а ТМ «Дугушка»")</f>
        <v/>
      </c>
      <c r="Q560" s="785" t="n"/>
      <c r="R560" s="785" t="n"/>
      <c r="S560" s="785" t="n"/>
      <c r="T560" s="786" t="n"/>
      <c r="U560" s="34" t="n"/>
      <c r="V560" s="34" t="n"/>
      <c r="W560" s="35" t="inlineStr">
        <is>
          <t>кг</t>
        </is>
      </c>
      <c r="X560" s="1221" t="n">
        <v>3000</v>
      </c>
      <c r="Y560" s="1222">
        <f>IFERROR(IF(X560="",0,CEILING((X560/$H560),1)*$H560),"")</f>
        <v/>
      </c>
      <c r="Z560" s="36">
        <f>IFERROR(IF(Y560=0,"",ROUNDUP(Y560/H560,0)*0.01196),"")</f>
        <v/>
      </c>
      <c r="AA560" s="56" t="n"/>
      <c r="AB560" s="57" t="n"/>
      <c r="AC560" s="651" t="inlineStr">
        <is>
          <t>ЕАЭС N RU Д-RU.РА03.В.56116/24</t>
        </is>
      </c>
      <c r="AG560" s="64" t="n"/>
      <c r="AJ560" s="68" t="n"/>
      <c r="AK560" s="68" t="n">
        <v>0</v>
      </c>
      <c r="BB560" s="652" t="inlineStr">
        <is>
          <t>КИ</t>
        </is>
      </c>
      <c r="BM560" s="64">
        <f>IFERROR(X560*I560/H560,"0")</f>
        <v/>
      </c>
      <c r="BN560" s="64">
        <f>IFERROR(Y560*I560/H560,"0")</f>
        <v/>
      </c>
      <c r="BO560" s="64">
        <f>IFERROR(1/J560*(X560/H560),"0")</f>
        <v/>
      </c>
      <c r="BP560" s="64">
        <f>IFERROR(1/J560*(Y560/H560),"0")</f>
        <v/>
      </c>
    </row>
    <row r="561" ht="27" customHeight="1">
      <c r="A561" s="54" t="inlineStr">
        <is>
          <t>SU002632</t>
        </is>
      </c>
      <c r="B561" s="54" t="inlineStr">
        <is>
          <t>P004043</t>
        </is>
      </c>
      <c r="C561" s="31" t="n">
        <v>4301011778</v>
      </c>
      <c r="D561" s="782" t="n">
        <v>4680115880603</v>
      </c>
      <c r="E561" s="783" t="n"/>
      <c r="F561" s="1220" t="n">
        <v>0.6</v>
      </c>
      <c r="G561" s="32" t="n">
        <v>6</v>
      </c>
      <c r="H561" s="1220" t="n">
        <v>3.6</v>
      </c>
      <c r="I561" s="1220" t="n">
        <v>3.81</v>
      </c>
      <c r="J561" s="32" t="n">
        <v>132</v>
      </c>
      <c r="K561" s="32" t="inlineStr">
        <is>
          <t>12</t>
        </is>
      </c>
      <c r="L561" s="32" t="n"/>
      <c r="M561" s="33" t="inlineStr">
        <is>
          <t>СК1</t>
        </is>
      </c>
      <c r="N561" s="33" t="n"/>
      <c r="O561" s="32" t="n">
        <v>60</v>
      </c>
      <c r="P561" s="995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/>
      </c>
      <c r="Q561" s="785" t="n"/>
      <c r="R561" s="785" t="n"/>
      <c r="S561" s="785" t="n"/>
      <c r="T561" s="786" t="n"/>
      <c r="U561" s="34" t="n"/>
      <c r="V561" s="34" t="n"/>
      <c r="W561" s="35" t="inlineStr">
        <is>
          <t>кг</t>
        </is>
      </c>
      <c r="X561" s="1221" t="n">
        <v>0</v>
      </c>
      <c r="Y561" s="1222">
        <f>IFERROR(IF(X561="",0,CEILING((X561/$H561),1)*$H561),"")</f>
        <v/>
      </c>
      <c r="Z561" s="36">
        <f>IFERROR(IF(Y561=0,"",ROUNDUP(Y561/H561,0)*0.00902),"")</f>
        <v/>
      </c>
      <c r="AA561" s="56" t="n"/>
      <c r="AB561" s="57" t="n"/>
      <c r="AC561" s="653" t="inlineStr">
        <is>
          <t>ЕАЭС N RU Д-RU.РА02.В.62622/22</t>
        </is>
      </c>
      <c r="AG561" s="64" t="n"/>
      <c r="AJ561" s="68" t="n"/>
      <c r="AK561" s="68" t="n">
        <v>0</v>
      </c>
      <c r="BB561" s="654" t="inlineStr">
        <is>
          <t>КИ</t>
        </is>
      </c>
      <c r="BM561" s="64">
        <f>IFERROR(X561*I561/H561,"0")</f>
        <v/>
      </c>
      <c r="BN561" s="64">
        <f>IFERROR(Y561*I561/H561,"0")</f>
        <v/>
      </c>
      <c r="BO561" s="64">
        <f>IFERROR(1/J561*(X561/H561),"0")</f>
        <v/>
      </c>
      <c r="BP561" s="64">
        <f>IFERROR(1/J561*(Y561/H561),"0")</f>
        <v/>
      </c>
    </row>
    <row r="562" ht="27" customHeight="1">
      <c r="A562" s="54" t="inlineStr">
        <is>
          <t>SU002632</t>
        </is>
      </c>
      <c r="B562" s="54" t="inlineStr">
        <is>
          <t>P004689</t>
        </is>
      </c>
      <c r="C562" s="31" t="n">
        <v>4301012035</v>
      </c>
      <c r="D562" s="782" t="n">
        <v>4680115880603</v>
      </c>
      <c r="E562" s="783" t="n"/>
      <c r="F562" s="1220" t="n">
        <v>0.6</v>
      </c>
      <c r="G562" s="32" t="n">
        <v>8</v>
      </c>
      <c r="H562" s="1220" t="n">
        <v>4.8</v>
      </c>
      <c r="I562" s="1220" t="n">
        <v>6.96</v>
      </c>
      <c r="J562" s="32" t="n">
        <v>120</v>
      </c>
      <c r="K562" s="32" t="inlineStr">
        <is>
          <t>12</t>
        </is>
      </c>
      <c r="L562" s="32" t="n"/>
      <c r="M562" s="33" t="inlineStr">
        <is>
          <t>СК1</t>
        </is>
      </c>
      <c r="N562" s="33" t="n"/>
      <c r="O562" s="32" t="n">
        <v>60</v>
      </c>
      <c r="P562" s="1199">
        <f>HYPERLINK("https://abi.ru/products/Охлажденные/Дугушка/Дугушка/Вареные колбасы/P004689/","Вареные колбасы «Докторская ГОСТ» Фикс.вес 0,6 п/а ТМ «Дугушка»")</f>
        <v/>
      </c>
      <c r="Q562" s="785" t="n"/>
      <c r="R562" s="785" t="n"/>
      <c r="S562" s="785" t="n"/>
      <c r="T562" s="786" t="n"/>
      <c r="U562" s="34" t="n"/>
      <c r="V562" s="34" t="n"/>
      <c r="W562" s="35" t="inlineStr">
        <is>
          <t>кг</t>
        </is>
      </c>
      <c r="X562" s="1221" t="n">
        <v>0</v>
      </c>
      <c r="Y562" s="1222">
        <f>IFERROR(IF(X562="",0,CEILING((X562/$H562),1)*$H562),"")</f>
        <v/>
      </c>
      <c r="Z562" s="36">
        <f>IFERROR(IF(Y562=0,"",ROUNDUP(Y562/H562,0)*0.00937),"")</f>
        <v/>
      </c>
      <c r="AA562" s="56" t="n"/>
      <c r="AB562" s="57" t="n"/>
      <c r="AC562" s="655" t="inlineStr">
        <is>
          <t>ЕАЭС N RU Д-RU.РА02.В.62622/22</t>
        </is>
      </c>
      <c r="AG562" s="64" t="n"/>
      <c r="AJ562" s="68" t="n"/>
      <c r="AK562" s="68" t="n">
        <v>0</v>
      </c>
      <c r="BB562" s="656" t="inlineStr">
        <is>
          <t>КИ</t>
        </is>
      </c>
      <c r="BM562" s="64">
        <f>IFERROR(X562*I562/H562,"0")</f>
        <v/>
      </c>
      <c r="BN562" s="64">
        <f>IFERROR(Y562*I562/H562,"0")</f>
        <v/>
      </c>
      <c r="BO562" s="64">
        <f>IFERROR(1/J562*(X562/H562),"0")</f>
        <v/>
      </c>
      <c r="BP562" s="64">
        <f>IFERROR(1/J562*(Y562/H562),"0")</f>
        <v/>
      </c>
    </row>
    <row r="563" ht="27" customHeight="1">
      <c r="A563" s="54" t="inlineStr">
        <is>
          <t>SU002635</t>
        </is>
      </c>
      <c r="B563" s="54" t="inlineStr">
        <is>
          <t>P004690</t>
        </is>
      </c>
      <c r="C563" s="31" t="n">
        <v>4301012036</v>
      </c>
      <c r="D563" s="782" t="n">
        <v>4680115882782</v>
      </c>
      <c r="E563" s="783" t="n"/>
      <c r="F563" s="1220" t="n">
        <v>0.6</v>
      </c>
      <c r="G563" s="32" t="n">
        <v>8</v>
      </c>
      <c r="H563" s="1220" t="n">
        <v>4.8</v>
      </c>
      <c r="I563" s="1220" t="n">
        <v>6.96</v>
      </c>
      <c r="J563" s="32" t="n">
        <v>120</v>
      </c>
      <c r="K563" s="32" t="inlineStr">
        <is>
          <t>12</t>
        </is>
      </c>
      <c r="L563" s="32" t="n"/>
      <c r="M563" s="33" t="inlineStr">
        <is>
          <t>СК1</t>
        </is>
      </c>
      <c r="N563" s="33" t="n"/>
      <c r="O563" s="32" t="n">
        <v>60</v>
      </c>
      <c r="P563" s="1147">
        <f>HYPERLINK("https://abi.ru/products/Охлажденные/Дугушка/Дугушка/Вареные колбасы/P004690/","Вареные колбасы «Дугушка со шпиком» Фикс.вес 0,6 П/а ТМ «Дугушка»")</f>
        <v/>
      </c>
      <c r="Q563" s="785" t="n"/>
      <c r="R563" s="785" t="n"/>
      <c r="S563" s="785" t="n"/>
      <c r="T563" s="786" t="n"/>
      <c r="U563" s="34" t="n"/>
      <c r="V563" s="34" t="n"/>
      <c r="W563" s="35" t="inlineStr">
        <is>
          <t>кг</t>
        </is>
      </c>
      <c r="X563" s="1221" t="n">
        <v>0</v>
      </c>
      <c r="Y563" s="1222">
        <f>IFERROR(IF(X563="",0,CEILING((X563/$H563),1)*$H563),"")</f>
        <v/>
      </c>
      <c r="Z563" s="36">
        <f>IFERROR(IF(Y563=0,"",ROUNDUP(Y563/H563,0)*0.00937),"")</f>
        <v/>
      </c>
      <c r="AA563" s="56" t="n"/>
      <c r="AB563" s="57" t="n"/>
      <c r="AC563" s="657" t="inlineStr">
        <is>
          <t>ЕАЭС N RU Д-RU.РА02.В.51764/24</t>
        </is>
      </c>
      <c r="AG563" s="64" t="n"/>
      <c r="AJ563" s="68" t="n"/>
      <c r="AK563" s="68" t="n">
        <v>0</v>
      </c>
      <c r="BB563" s="658" t="inlineStr">
        <is>
          <t>КИ</t>
        </is>
      </c>
      <c r="BM563" s="64">
        <f>IFERROR(X563*I563/H563,"0")</f>
        <v/>
      </c>
      <c r="BN563" s="64">
        <f>IFERROR(Y563*I563/H563,"0")</f>
        <v/>
      </c>
      <c r="BO563" s="64">
        <f>IFERROR(1/J563*(X563/H563),"0")</f>
        <v/>
      </c>
      <c r="BP563" s="64">
        <f>IFERROR(1/J563*(Y563/H563),"0")</f>
        <v/>
      </c>
    </row>
    <row r="564" ht="27" customHeight="1">
      <c r="A564" s="54" t="inlineStr">
        <is>
          <t>SU002631</t>
        </is>
      </c>
      <c r="B564" s="54" t="inlineStr">
        <is>
          <t>P004048</t>
        </is>
      </c>
      <c r="C564" s="31" t="n">
        <v>4301011784</v>
      </c>
      <c r="D564" s="782" t="n">
        <v>4607091389982</v>
      </c>
      <c r="E564" s="783" t="n"/>
      <c r="F564" s="1220" t="n">
        <v>0.6</v>
      </c>
      <c r="G564" s="32" t="n">
        <v>6</v>
      </c>
      <c r="H564" s="1220" t="n">
        <v>3.6</v>
      </c>
      <c r="I564" s="1220" t="n">
        <v>3.81</v>
      </c>
      <c r="J564" s="32" t="n">
        <v>132</v>
      </c>
      <c r="K564" s="32" t="inlineStr">
        <is>
          <t>12</t>
        </is>
      </c>
      <c r="L564" s="32" t="n"/>
      <c r="M564" s="33" t="inlineStr">
        <is>
          <t>СК1</t>
        </is>
      </c>
      <c r="N564" s="33" t="n"/>
      <c r="O564" s="32" t="n">
        <v>60</v>
      </c>
      <c r="P564" s="1005">
        <f>HYPERLINK("https://abi.ru/products/Охлажденные/Дугушка/Дугушка/Вареные колбасы/P004048/","Вареные колбасы «Молочная Дугушка» Фикс.вес 0,6 П/а ТМ «Дугушка»")</f>
        <v/>
      </c>
      <c r="Q564" s="785" t="n"/>
      <c r="R564" s="785" t="n"/>
      <c r="S564" s="785" t="n"/>
      <c r="T564" s="786" t="n"/>
      <c r="U564" s="34" t="n"/>
      <c r="V564" s="34" t="n"/>
      <c r="W564" s="35" t="inlineStr">
        <is>
          <t>кг</t>
        </is>
      </c>
      <c r="X564" s="1221" t="n">
        <v>0</v>
      </c>
      <c r="Y564" s="1222">
        <f>IFERROR(IF(X564="",0,CEILING((X564/$H564),1)*$H564),"")</f>
        <v/>
      </c>
      <c r="Z564" s="36">
        <f>IFERROR(IF(Y564=0,"",ROUNDUP(Y564/H564,0)*0.00902),"")</f>
        <v/>
      </c>
      <c r="AA564" s="56" t="n"/>
      <c r="AB564" s="57" t="n"/>
      <c r="AC564" s="659" t="inlineStr">
        <is>
          <t>ЕАЭС N RU Д-RU.РА07.В.78433/22</t>
        </is>
      </c>
      <c r="AG564" s="64" t="n"/>
      <c r="AJ564" s="68" t="n"/>
      <c r="AK564" s="68" t="n">
        <v>0</v>
      </c>
      <c r="BB564" s="660" t="inlineStr">
        <is>
          <t>КИ</t>
        </is>
      </c>
      <c r="BM564" s="64">
        <f>IFERROR(X564*I564/H564,"0")</f>
        <v/>
      </c>
      <c r="BN564" s="64">
        <f>IFERROR(Y564*I564/H564,"0")</f>
        <v/>
      </c>
      <c r="BO564" s="64">
        <f>IFERROR(1/J564*(X564/H564),"0")</f>
        <v/>
      </c>
      <c r="BP564" s="64">
        <f>IFERROR(1/J564*(Y564/H564),"0")</f>
        <v/>
      </c>
    </row>
    <row r="565" ht="27" customHeight="1">
      <c r="A565" s="54" t="inlineStr">
        <is>
          <t>SU002631</t>
        </is>
      </c>
      <c r="B565" s="54" t="inlineStr">
        <is>
          <t>P004688</t>
        </is>
      </c>
      <c r="C565" s="31" t="n">
        <v>4301012034</v>
      </c>
      <c r="D565" s="782" t="n">
        <v>4607091389982</v>
      </c>
      <c r="E565" s="783" t="n"/>
      <c r="F565" s="1220" t="n">
        <v>0.6</v>
      </c>
      <c r="G565" s="32" t="n">
        <v>8</v>
      </c>
      <c r="H565" s="1220" t="n">
        <v>4.8</v>
      </c>
      <c r="I565" s="1220" t="n">
        <v>6.96</v>
      </c>
      <c r="J565" s="32" t="n">
        <v>120</v>
      </c>
      <c r="K565" s="32" t="inlineStr">
        <is>
          <t>12</t>
        </is>
      </c>
      <c r="L565" s="32" t="n"/>
      <c r="M565" s="33" t="inlineStr">
        <is>
          <t>СК1</t>
        </is>
      </c>
      <c r="N565" s="33" t="n"/>
      <c r="O565" s="32" t="n">
        <v>60</v>
      </c>
      <c r="P565" s="1154">
        <f>HYPERLINK("https://abi.ru/products/Охлажденные/Дугушка/Дугушка/Вареные колбасы/P004688/","Вареные колбасы «Молочная Дугушка» Фикс.вес 0,6 П/а ТМ «Дугушка»")</f>
        <v/>
      </c>
      <c r="Q565" s="785" t="n"/>
      <c r="R565" s="785" t="n"/>
      <c r="S565" s="785" t="n"/>
      <c r="T565" s="786" t="n"/>
      <c r="U565" s="34" t="n"/>
      <c r="V565" s="34" t="n"/>
      <c r="W565" s="35" t="inlineStr">
        <is>
          <t>кг</t>
        </is>
      </c>
      <c r="X565" s="1221" t="n">
        <v>0</v>
      </c>
      <c r="Y565" s="1222">
        <f>IFERROR(IF(X565="",0,CEILING((X565/$H565),1)*$H565),"")</f>
        <v/>
      </c>
      <c r="Z565" s="36">
        <f>IFERROR(IF(Y565=0,"",ROUNDUP(Y565/H565,0)*0.00937),"")</f>
        <v/>
      </c>
      <c r="AA565" s="56" t="n"/>
      <c r="AB565" s="57" t="n"/>
      <c r="AC565" s="661" t="inlineStr">
        <is>
          <t>ЕАЭС N RU Д-RU.РА07.В.78433/22</t>
        </is>
      </c>
      <c r="AG565" s="64" t="n"/>
      <c r="AJ565" s="68" t="n"/>
      <c r="AK565" s="68" t="n">
        <v>0</v>
      </c>
      <c r="BB565" s="662" t="inlineStr">
        <is>
          <t>КИ</t>
        </is>
      </c>
      <c r="BM565" s="64">
        <f>IFERROR(X565*I565/H565,"0")</f>
        <v/>
      </c>
      <c r="BN565" s="64">
        <f>IFERROR(Y565*I565/H565,"0")</f>
        <v/>
      </c>
      <c r="BO565" s="64">
        <f>IFERROR(1/J565*(X565/H565),"0")</f>
        <v/>
      </c>
      <c r="BP565" s="64">
        <f>IFERROR(1/J565*(Y565/H565),"0")</f>
        <v/>
      </c>
    </row>
    <row r="566">
      <c r="A566" s="801" t="n"/>
      <c r="B566" s="800" t="n"/>
      <c r="C566" s="800" t="n"/>
      <c r="D566" s="800" t="n"/>
      <c r="E566" s="800" t="n"/>
      <c r="F566" s="800" t="n"/>
      <c r="G566" s="800" t="n"/>
      <c r="H566" s="800" t="n"/>
      <c r="I566" s="800" t="n"/>
      <c r="J566" s="800" t="n"/>
      <c r="K566" s="800" t="n"/>
      <c r="L566" s="800" t="n"/>
      <c r="M566" s="800" t="n"/>
      <c r="N566" s="800" t="n"/>
      <c r="O566" s="802" t="n"/>
      <c r="P566" s="796" t="inlineStr">
        <is>
          <t>Итого</t>
        </is>
      </c>
      <c r="Q566" s="793" t="n"/>
      <c r="R566" s="793" t="n"/>
      <c r="S566" s="793" t="n"/>
      <c r="T566" s="793" t="n"/>
      <c r="U566" s="793" t="n"/>
      <c r="V566" s="794" t="n"/>
      <c r="W566" s="37" t="inlineStr">
        <is>
          <t>кор</t>
        </is>
      </c>
      <c r="X566" s="1223">
        <f>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/>
      </c>
      <c r="Y566" s="1223">
        <f>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/>
      </c>
      <c r="Z566" s="1223">
        <f>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/>
      </c>
      <c r="AA566" s="1224" t="n"/>
      <c r="AB566" s="1224" t="n"/>
      <c r="AC566" s="1224" t="n"/>
    </row>
    <row r="567">
      <c r="A567" s="800" t="n"/>
      <c r="B567" s="800" t="n"/>
      <c r="C567" s="800" t="n"/>
      <c r="D567" s="800" t="n"/>
      <c r="E567" s="800" t="n"/>
      <c r="F567" s="800" t="n"/>
      <c r="G567" s="800" t="n"/>
      <c r="H567" s="800" t="n"/>
      <c r="I567" s="800" t="n"/>
      <c r="J567" s="800" t="n"/>
      <c r="K567" s="800" t="n"/>
      <c r="L567" s="800" t="n"/>
      <c r="M567" s="800" t="n"/>
      <c r="N567" s="800" t="n"/>
      <c r="O567" s="802" t="n"/>
      <c r="P567" s="796" t="inlineStr">
        <is>
          <t>Итого</t>
        </is>
      </c>
      <c r="Q567" s="793" t="n"/>
      <c r="R567" s="793" t="n"/>
      <c r="S567" s="793" t="n"/>
      <c r="T567" s="793" t="n"/>
      <c r="U567" s="793" t="n"/>
      <c r="V567" s="794" t="n"/>
      <c r="W567" s="37" t="inlineStr">
        <is>
          <t>кг</t>
        </is>
      </c>
      <c r="X567" s="1223">
        <f>IFERROR(SUM(X554:X565),"0")</f>
        <v/>
      </c>
      <c r="Y567" s="1223">
        <f>IFERROR(SUM(Y554:Y565),"0")</f>
        <v/>
      </c>
      <c r="Z567" s="37" t="n"/>
      <c r="AA567" s="1224" t="n"/>
      <c r="AB567" s="1224" t="n"/>
      <c r="AC567" s="1224" t="n"/>
    </row>
    <row r="568" ht="14.25" customHeight="1">
      <c r="A568" s="799" t="inlineStr">
        <is>
          <t>Ветчины</t>
        </is>
      </c>
      <c r="B568" s="800" t="n"/>
      <c r="C568" s="800" t="n"/>
      <c r="D568" s="800" t="n"/>
      <c r="E568" s="800" t="n"/>
      <c r="F568" s="800" t="n"/>
      <c r="G568" s="800" t="n"/>
      <c r="H568" s="800" t="n"/>
      <c r="I568" s="800" t="n"/>
      <c r="J568" s="800" t="n"/>
      <c r="K568" s="800" t="n"/>
      <c r="L568" s="800" t="n"/>
      <c r="M568" s="800" t="n"/>
      <c r="N568" s="800" t="n"/>
      <c r="O568" s="800" t="n"/>
      <c r="P568" s="800" t="n"/>
      <c r="Q568" s="800" t="n"/>
      <c r="R568" s="800" t="n"/>
      <c r="S568" s="800" t="n"/>
      <c r="T568" s="800" t="n"/>
      <c r="U568" s="800" t="n"/>
      <c r="V568" s="800" t="n"/>
      <c r="W568" s="800" t="n"/>
      <c r="X568" s="800" t="n"/>
      <c r="Y568" s="800" t="n"/>
      <c r="Z568" s="800" t="n"/>
      <c r="AA568" s="799" t="n"/>
      <c r="AB568" s="799" t="n"/>
      <c r="AC568" s="799" t="n"/>
    </row>
    <row r="569" ht="16.5" customHeight="1">
      <c r="A569" s="54" t="inlineStr">
        <is>
          <t>SU002035</t>
        </is>
      </c>
      <c r="B569" s="54" t="inlineStr">
        <is>
          <t>P003146</t>
        </is>
      </c>
      <c r="C569" s="31" t="n">
        <v>4301020222</v>
      </c>
      <c r="D569" s="782" t="n">
        <v>4607091388930</v>
      </c>
      <c r="E569" s="783" t="n"/>
      <c r="F569" s="1220" t="n">
        <v>0.88</v>
      </c>
      <c r="G569" s="32" t="n">
        <v>6</v>
      </c>
      <c r="H569" s="1220" t="n">
        <v>5.28</v>
      </c>
      <c r="I569" s="1220" t="n">
        <v>5.64</v>
      </c>
      <c r="J569" s="32" t="n">
        <v>104</v>
      </c>
      <c r="K569" s="32" t="inlineStr">
        <is>
          <t>8</t>
        </is>
      </c>
      <c r="L569" s="32" t="n"/>
      <c r="M569" s="33" t="inlineStr">
        <is>
          <t>СК1</t>
        </is>
      </c>
      <c r="N569" s="33" t="n"/>
      <c r="O569" s="32" t="n">
        <v>55</v>
      </c>
      <c r="P569" s="941">
        <f>HYPERLINK("https://abi.ru/products/Охлажденные/Дугушка/Дугушка/Ветчины/P003146/","Ветчины Дугушка Дугушка Вес б/о Дугушка")</f>
        <v/>
      </c>
      <c r="Q569" s="785" t="n"/>
      <c r="R569" s="785" t="n"/>
      <c r="S569" s="785" t="n"/>
      <c r="T569" s="786" t="n"/>
      <c r="U569" s="34" t="n"/>
      <c r="V569" s="34" t="n"/>
      <c r="W569" s="35" t="inlineStr">
        <is>
          <t>кг</t>
        </is>
      </c>
      <c r="X569" s="1221" t="n">
        <v>1500</v>
      </c>
      <c r="Y569" s="1222">
        <f>IFERROR(IF(X569="",0,CEILING((X569/$H569),1)*$H569),"")</f>
        <v/>
      </c>
      <c r="Z569" s="36">
        <f>IFERROR(IF(Y569=0,"",ROUNDUP(Y569/H569,0)*0.01196),"")</f>
        <v/>
      </c>
      <c r="AA569" s="56" t="n"/>
      <c r="AB569" s="57" t="n"/>
      <c r="AC569" s="663" t="inlineStr">
        <is>
          <t>ЕАЭС N RU Д-RU.РА08.В.10027/22</t>
        </is>
      </c>
      <c r="AG569" s="64" t="n"/>
      <c r="AJ569" s="68" t="n"/>
      <c r="AK569" s="68" t="n">
        <v>0</v>
      </c>
      <c r="BB569" s="664" t="inlineStr">
        <is>
          <t>КИ</t>
        </is>
      </c>
      <c r="BM569" s="64">
        <f>IFERROR(X569*I569/H569,"0")</f>
        <v/>
      </c>
      <c r="BN569" s="64">
        <f>IFERROR(Y569*I569/H569,"0")</f>
        <v/>
      </c>
      <c r="BO569" s="64">
        <f>IFERROR(1/J569*(X569/H569),"0")</f>
        <v/>
      </c>
      <c r="BP569" s="64">
        <f>IFERROR(1/J569*(Y569/H569),"0")</f>
        <v/>
      </c>
    </row>
    <row r="570" ht="16.5" customHeight="1">
      <c r="A570" s="54" t="inlineStr">
        <is>
          <t>SU002643</t>
        </is>
      </c>
      <c r="B570" s="54" t="inlineStr">
        <is>
          <t>P004691</t>
        </is>
      </c>
      <c r="C570" s="31" t="n">
        <v>4301020364</v>
      </c>
      <c r="D570" s="782" t="n">
        <v>4680115880054</v>
      </c>
      <c r="E570" s="783" t="n"/>
      <c r="F570" s="1220" t="n">
        <v>0.6</v>
      </c>
      <c r="G570" s="32" t="n">
        <v>8</v>
      </c>
      <c r="H570" s="1220" t="n">
        <v>4.8</v>
      </c>
      <c r="I570" s="1220" t="n">
        <v>6.96</v>
      </c>
      <c r="J570" s="32" t="n">
        <v>120</v>
      </c>
      <c r="K570" s="32" t="inlineStr">
        <is>
          <t>12</t>
        </is>
      </c>
      <c r="L570" s="32" t="n"/>
      <c r="M570" s="33" t="inlineStr">
        <is>
          <t>СК1</t>
        </is>
      </c>
      <c r="N570" s="33" t="n"/>
      <c r="O570" s="32" t="n">
        <v>55</v>
      </c>
      <c r="P570" s="1164">
        <f>HYPERLINK("https://abi.ru/products/Охлажденные/Дугушка/Дугушка/Ветчины/P004691/","Ветчины «Дугушка» Фикс.вес 0,6 П/а ТМ «Дугушка»")</f>
        <v/>
      </c>
      <c r="Q570" s="785" t="n"/>
      <c r="R570" s="785" t="n"/>
      <c r="S570" s="785" t="n"/>
      <c r="T570" s="786" t="n"/>
      <c r="U570" s="34" t="n"/>
      <c r="V570" s="34" t="n"/>
      <c r="W570" s="35" t="inlineStr">
        <is>
          <t>кг</t>
        </is>
      </c>
      <c r="X570" s="1221" t="n">
        <v>0</v>
      </c>
      <c r="Y570" s="1222">
        <f>IFERROR(IF(X570="",0,CEILING((X570/$H570),1)*$H570),"")</f>
        <v/>
      </c>
      <c r="Z570" s="36">
        <f>IFERROR(IF(Y570=0,"",ROUNDUP(Y570/H570,0)*0.00937),"")</f>
        <v/>
      </c>
      <c r="AA570" s="56" t="n"/>
      <c r="AB570" s="57" t="n"/>
      <c r="AC570" s="665" t="inlineStr">
        <is>
          <t>ЕАЭС N RU Д-RU.РА08.В.10027/22</t>
        </is>
      </c>
      <c r="AG570" s="64" t="n"/>
      <c r="AJ570" s="68" t="n"/>
      <c r="AK570" s="68" t="n">
        <v>0</v>
      </c>
      <c r="BB570" s="666" t="inlineStr">
        <is>
          <t>КИ</t>
        </is>
      </c>
      <c r="BM570" s="64">
        <f>IFERROR(X570*I570/H570,"0")</f>
        <v/>
      </c>
      <c r="BN570" s="64">
        <f>IFERROR(Y570*I570/H570,"0")</f>
        <v/>
      </c>
      <c r="BO570" s="64">
        <f>IFERROR(1/J570*(X570/H570),"0")</f>
        <v/>
      </c>
      <c r="BP570" s="64">
        <f>IFERROR(1/J570*(Y570/H570),"0")</f>
        <v/>
      </c>
    </row>
    <row r="571" ht="16.5" customHeight="1">
      <c r="A571" s="54" t="inlineStr">
        <is>
          <t>SU002643</t>
        </is>
      </c>
      <c r="B571" s="54" t="inlineStr">
        <is>
          <t>P002993</t>
        </is>
      </c>
      <c r="C571" s="31" t="n">
        <v>4301020206</v>
      </c>
      <c r="D571" s="782" t="n">
        <v>4680115880054</v>
      </c>
      <c r="E571" s="783" t="n"/>
      <c r="F571" s="1220" t="n">
        <v>0.6</v>
      </c>
      <c r="G571" s="32" t="n">
        <v>6</v>
      </c>
      <c r="H571" s="1220" t="n">
        <v>3.6</v>
      </c>
      <c r="I571" s="1220" t="n">
        <v>3.81</v>
      </c>
      <c r="J571" s="32" t="n">
        <v>132</v>
      </c>
      <c r="K571" s="32" t="inlineStr">
        <is>
          <t>12</t>
        </is>
      </c>
      <c r="L571" s="32" t="n"/>
      <c r="M571" s="33" t="inlineStr">
        <is>
          <t>СК1</t>
        </is>
      </c>
      <c r="N571" s="33" t="n"/>
      <c r="O571" s="32" t="n">
        <v>55</v>
      </c>
      <c r="P571" s="1140">
        <f>HYPERLINK("https://abi.ru/products/Охлажденные/Дугушка/Дугушка/Ветчины/P002993/","Ветчины «Дугушка» Фикс.вес 0,6 П/а ТМ «Дугушка»")</f>
        <v/>
      </c>
      <c r="Q571" s="785" t="n"/>
      <c r="R571" s="785" t="n"/>
      <c r="S571" s="785" t="n"/>
      <c r="T571" s="786" t="n"/>
      <c r="U571" s="34" t="n"/>
      <c r="V571" s="34" t="n"/>
      <c r="W571" s="35" t="inlineStr">
        <is>
          <t>кг</t>
        </is>
      </c>
      <c r="X571" s="1221" t="n">
        <v>0</v>
      </c>
      <c r="Y571" s="1222">
        <f>IFERROR(IF(X571="",0,CEILING((X571/$H571),1)*$H571),"")</f>
        <v/>
      </c>
      <c r="Z571" s="36">
        <f>IFERROR(IF(Y571=0,"",ROUNDUP(Y571/H571,0)*0.00902),"")</f>
        <v/>
      </c>
      <c r="AA571" s="56" t="n"/>
      <c r="AB571" s="57" t="n"/>
      <c r="AC571" s="667" t="inlineStr">
        <is>
          <t>ЕАЭС N RU Д-RU.РА08.В.10027/22</t>
        </is>
      </c>
      <c r="AG571" s="64" t="n"/>
      <c r="AJ571" s="68" t="n"/>
      <c r="AK571" s="68" t="n">
        <v>0</v>
      </c>
      <c r="BB571" s="668" t="inlineStr">
        <is>
          <t>КИ</t>
        </is>
      </c>
      <c r="BM571" s="64">
        <f>IFERROR(X571*I571/H571,"0")</f>
        <v/>
      </c>
      <c r="BN571" s="64">
        <f>IFERROR(Y571*I571/H571,"0")</f>
        <v/>
      </c>
      <c r="BO571" s="64">
        <f>IFERROR(1/J571*(X571/H571),"0")</f>
        <v/>
      </c>
      <c r="BP571" s="64">
        <f>IFERROR(1/J571*(Y571/H571),"0")</f>
        <v/>
      </c>
    </row>
    <row r="572">
      <c r="A572" s="801" t="n"/>
      <c r="B572" s="800" t="n"/>
      <c r="C572" s="800" t="n"/>
      <c r="D572" s="800" t="n"/>
      <c r="E572" s="800" t="n"/>
      <c r="F572" s="800" t="n"/>
      <c r="G572" s="800" t="n"/>
      <c r="H572" s="800" t="n"/>
      <c r="I572" s="800" t="n"/>
      <c r="J572" s="800" t="n"/>
      <c r="K572" s="800" t="n"/>
      <c r="L572" s="800" t="n"/>
      <c r="M572" s="800" t="n"/>
      <c r="N572" s="800" t="n"/>
      <c r="O572" s="802" t="n"/>
      <c r="P572" s="796" t="inlineStr">
        <is>
          <t>Итого</t>
        </is>
      </c>
      <c r="Q572" s="793" t="n"/>
      <c r="R572" s="793" t="n"/>
      <c r="S572" s="793" t="n"/>
      <c r="T572" s="793" t="n"/>
      <c r="U572" s="793" t="n"/>
      <c r="V572" s="794" t="n"/>
      <c r="W572" s="37" t="inlineStr">
        <is>
          <t>кор</t>
        </is>
      </c>
      <c r="X572" s="1223">
        <f>IFERROR(X569/H569,"0")+IFERROR(X570/H570,"0")+IFERROR(X571/H571,"0")</f>
        <v/>
      </c>
      <c r="Y572" s="1223">
        <f>IFERROR(Y569/H569,"0")+IFERROR(Y570/H570,"0")+IFERROR(Y571/H571,"0")</f>
        <v/>
      </c>
      <c r="Z572" s="1223">
        <f>IFERROR(IF(Z569="",0,Z569),"0")+IFERROR(IF(Z570="",0,Z570),"0")+IFERROR(IF(Z571="",0,Z571),"0")</f>
        <v/>
      </c>
      <c r="AA572" s="1224" t="n"/>
      <c r="AB572" s="1224" t="n"/>
      <c r="AC572" s="1224" t="n"/>
    </row>
    <row r="573">
      <c r="A573" s="800" t="n"/>
      <c r="B573" s="800" t="n"/>
      <c r="C573" s="800" t="n"/>
      <c r="D573" s="800" t="n"/>
      <c r="E573" s="800" t="n"/>
      <c r="F573" s="800" t="n"/>
      <c r="G573" s="800" t="n"/>
      <c r="H573" s="800" t="n"/>
      <c r="I573" s="800" t="n"/>
      <c r="J573" s="800" t="n"/>
      <c r="K573" s="800" t="n"/>
      <c r="L573" s="800" t="n"/>
      <c r="M573" s="800" t="n"/>
      <c r="N573" s="800" t="n"/>
      <c r="O573" s="802" t="n"/>
      <c r="P573" s="796" t="inlineStr">
        <is>
          <t>Итого</t>
        </is>
      </c>
      <c r="Q573" s="793" t="n"/>
      <c r="R573" s="793" t="n"/>
      <c r="S573" s="793" t="n"/>
      <c r="T573" s="793" t="n"/>
      <c r="U573" s="793" t="n"/>
      <c r="V573" s="794" t="n"/>
      <c r="W573" s="37" t="inlineStr">
        <is>
          <t>кг</t>
        </is>
      </c>
      <c r="X573" s="1223">
        <f>IFERROR(SUM(X569:X571),"0")</f>
        <v/>
      </c>
      <c r="Y573" s="1223">
        <f>IFERROR(SUM(Y569:Y571),"0")</f>
        <v/>
      </c>
      <c r="Z573" s="37" t="n"/>
      <c r="AA573" s="1224" t="n"/>
      <c r="AB573" s="1224" t="n"/>
      <c r="AC573" s="1224" t="n"/>
    </row>
    <row r="574" ht="14.25" customHeight="1">
      <c r="A574" s="799" t="inlineStr">
        <is>
          <t>Копченые колбасы</t>
        </is>
      </c>
      <c r="B574" s="800" t="n"/>
      <c r="C574" s="800" t="n"/>
      <c r="D574" s="800" t="n"/>
      <c r="E574" s="800" t="n"/>
      <c r="F574" s="800" t="n"/>
      <c r="G574" s="800" t="n"/>
      <c r="H574" s="800" t="n"/>
      <c r="I574" s="800" t="n"/>
      <c r="J574" s="800" t="n"/>
      <c r="K574" s="800" t="n"/>
      <c r="L574" s="800" t="n"/>
      <c r="M574" s="800" t="n"/>
      <c r="N574" s="800" t="n"/>
      <c r="O574" s="800" t="n"/>
      <c r="P574" s="800" t="n"/>
      <c r="Q574" s="800" t="n"/>
      <c r="R574" s="800" t="n"/>
      <c r="S574" s="800" t="n"/>
      <c r="T574" s="800" t="n"/>
      <c r="U574" s="800" t="n"/>
      <c r="V574" s="800" t="n"/>
      <c r="W574" s="800" t="n"/>
      <c r="X574" s="800" t="n"/>
      <c r="Y574" s="800" t="n"/>
      <c r="Z574" s="800" t="n"/>
      <c r="AA574" s="799" t="n"/>
      <c r="AB574" s="799" t="n"/>
      <c r="AC574" s="799" t="n"/>
    </row>
    <row r="575" ht="27" customHeight="1">
      <c r="A575" s="54" t="inlineStr">
        <is>
          <t>SU002150</t>
        </is>
      </c>
      <c r="B575" s="54" t="inlineStr">
        <is>
          <t>P003636</t>
        </is>
      </c>
      <c r="C575" s="31" t="n">
        <v>4301031252</v>
      </c>
      <c r="D575" s="782" t="n">
        <v>4680115883116</v>
      </c>
      <c r="E575" s="783" t="n"/>
      <c r="F575" s="1220" t="n">
        <v>0.88</v>
      </c>
      <c r="G575" s="32" t="n">
        <v>6</v>
      </c>
      <c r="H575" s="1220" t="n">
        <v>5.28</v>
      </c>
      <c r="I575" s="1220" t="n">
        <v>5.64</v>
      </c>
      <c r="J575" s="32" t="n">
        <v>104</v>
      </c>
      <c r="K575" s="32" t="inlineStr">
        <is>
          <t>8</t>
        </is>
      </c>
      <c r="L575" s="32" t="n"/>
      <c r="M575" s="33" t="inlineStr">
        <is>
          <t>СК1</t>
        </is>
      </c>
      <c r="N575" s="33" t="n"/>
      <c r="O575" s="32" t="n">
        <v>60</v>
      </c>
      <c r="P575" s="923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Q575" s="785" t="n"/>
      <c r="R575" s="785" t="n"/>
      <c r="S575" s="785" t="n"/>
      <c r="T575" s="786" t="n"/>
      <c r="U575" s="34" t="n"/>
      <c r="V575" s="34" t="n"/>
      <c r="W575" s="35" t="inlineStr">
        <is>
          <t>кг</t>
        </is>
      </c>
      <c r="X575" s="1221" t="n">
        <v>1000</v>
      </c>
      <c r="Y575" s="1222">
        <f>IFERROR(IF(X575="",0,CEILING((X575/$H575),1)*$H575),"")</f>
        <v/>
      </c>
      <c r="Z575" s="36">
        <f>IFERROR(IF(Y575=0,"",ROUNDUP(Y575/H575,0)*0.01196),"")</f>
        <v/>
      </c>
      <c r="AA575" s="56" t="n"/>
      <c r="AB575" s="57" t="n"/>
      <c r="AC575" s="669" t="inlineStr">
        <is>
          <t>ЕАЭС N RU Д-RU.РА01.В.81855/20</t>
        </is>
      </c>
      <c r="AG575" s="64" t="n"/>
      <c r="AJ575" s="68" t="n"/>
      <c r="AK575" s="68" t="n">
        <v>0</v>
      </c>
      <c r="BB575" s="670" t="inlineStr">
        <is>
          <t>КИ</t>
        </is>
      </c>
      <c r="BM575" s="64">
        <f>IFERROR(X575*I575/H575,"0")</f>
        <v/>
      </c>
      <c r="BN575" s="64">
        <f>IFERROR(Y575*I575/H575,"0")</f>
        <v/>
      </c>
      <c r="BO575" s="64">
        <f>IFERROR(1/J575*(X575/H575),"0")</f>
        <v/>
      </c>
      <c r="BP575" s="64">
        <f>IFERROR(1/J575*(Y575/H575),"0")</f>
        <v/>
      </c>
    </row>
    <row r="576" ht="27" customHeight="1">
      <c r="A576" s="54" t="inlineStr">
        <is>
          <t>SU002158</t>
        </is>
      </c>
      <c r="B576" s="54" t="inlineStr">
        <is>
          <t>P003632</t>
        </is>
      </c>
      <c r="C576" s="31" t="n">
        <v>4301031248</v>
      </c>
      <c r="D576" s="782" t="n">
        <v>4680115883093</v>
      </c>
      <c r="E576" s="783" t="n"/>
      <c r="F576" s="1220" t="n">
        <v>0.88</v>
      </c>
      <c r="G576" s="32" t="n">
        <v>6</v>
      </c>
      <c r="H576" s="1220" t="n">
        <v>5.28</v>
      </c>
      <c r="I576" s="1220" t="n">
        <v>5.64</v>
      </c>
      <c r="J576" s="32" t="n">
        <v>104</v>
      </c>
      <c r="K576" s="32" t="inlineStr">
        <is>
          <t>8</t>
        </is>
      </c>
      <c r="L576" s="32" t="n"/>
      <c r="M576" s="33" t="inlineStr">
        <is>
          <t>СК2</t>
        </is>
      </c>
      <c r="N576" s="33" t="n"/>
      <c r="O576" s="32" t="n">
        <v>60</v>
      </c>
      <c r="P576" s="997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Q576" s="785" t="n"/>
      <c r="R576" s="785" t="n"/>
      <c r="S576" s="785" t="n"/>
      <c r="T576" s="786" t="n"/>
      <c r="U576" s="34" t="n"/>
      <c r="V576" s="34" t="n"/>
      <c r="W576" s="35" t="inlineStr">
        <is>
          <t>кг</t>
        </is>
      </c>
      <c r="X576" s="1221" t="n">
        <v>1000</v>
      </c>
      <c r="Y576" s="1222">
        <f>IFERROR(IF(X576="",0,CEILING((X576/$H576),1)*$H576),"")</f>
        <v/>
      </c>
      <c r="Z576" s="36">
        <f>IFERROR(IF(Y576=0,"",ROUNDUP(Y576/H576,0)*0.01196),"")</f>
        <v/>
      </c>
      <c r="AA576" s="56" t="n"/>
      <c r="AB576" s="57" t="n"/>
      <c r="AC576" s="671" t="inlineStr">
        <is>
          <t>ЕАЭС № RU Д-RU.РА01.В.04512/20</t>
        </is>
      </c>
      <c r="AG576" s="64" t="n"/>
      <c r="AJ576" s="68" t="n"/>
      <c r="AK576" s="68" t="n">
        <v>0</v>
      </c>
      <c r="BB576" s="672" t="inlineStr">
        <is>
          <t>КИ</t>
        </is>
      </c>
      <c r="BM576" s="64">
        <f>IFERROR(X576*I576/H576,"0")</f>
        <v/>
      </c>
      <c r="BN576" s="64">
        <f>IFERROR(Y576*I576/H576,"0")</f>
        <v/>
      </c>
      <c r="BO576" s="64">
        <f>IFERROR(1/J576*(X576/H576),"0")</f>
        <v/>
      </c>
      <c r="BP576" s="64">
        <f>IFERROR(1/J576*(Y576/H576),"0")</f>
        <v/>
      </c>
    </row>
    <row r="577" ht="27" customHeight="1">
      <c r="A577" s="54" t="inlineStr">
        <is>
          <t>SU002151</t>
        </is>
      </c>
      <c r="B577" s="54" t="inlineStr">
        <is>
          <t>P003634</t>
        </is>
      </c>
      <c r="C577" s="31" t="n">
        <v>4301031250</v>
      </c>
      <c r="D577" s="782" t="n">
        <v>4680115883109</v>
      </c>
      <c r="E577" s="783" t="n"/>
      <c r="F577" s="1220" t="n">
        <v>0.88</v>
      </c>
      <c r="G577" s="32" t="n">
        <v>6</v>
      </c>
      <c r="H577" s="1220" t="n">
        <v>5.28</v>
      </c>
      <c r="I577" s="1220" t="n">
        <v>5.64</v>
      </c>
      <c r="J577" s="32" t="n">
        <v>104</v>
      </c>
      <c r="K577" s="32" t="inlineStr">
        <is>
          <t>8</t>
        </is>
      </c>
      <c r="L577" s="32" t="n"/>
      <c r="M577" s="33" t="inlineStr">
        <is>
          <t>СК2</t>
        </is>
      </c>
      <c r="N577" s="33" t="n"/>
      <c r="O577" s="32" t="n">
        <v>60</v>
      </c>
      <c r="P577" s="984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Q577" s="785" t="n"/>
      <c r="R577" s="785" t="n"/>
      <c r="S577" s="785" t="n"/>
      <c r="T577" s="786" t="n"/>
      <c r="U577" s="34" t="n"/>
      <c r="V577" s="34" t="n"/>
      <c r="W577" s="35" t="inlineStr">
        <is>
          <t>кг</t>
        </is>
      </c>
      <c r="X577" s="1221" t="n">
        <v>500</v>
      </c>
      <c r="Y577" s="1222">
        <f>IFERROR(IF(X577="",0,CEILING((X577/$H577),1)*$H577),"")</f>
        <v/>
      </c>
      <c r="Z577" s="36">
        <f>IFERROR(IF(Y577=0,"",ROUNDUP(Y577/H577,0)*0.01196),"")</f>
        <v/>
      </c>
      <c r="AA577" s="56" t="n"/>
      <c r="AB577" s="57" t="n"/>
      <c r="AC577" s="673" t="inlineStr">
        <is>
          <t>ЕАЭС N RU Д-RU.РА01.В.81823/20</t>
        </is>
      </c>
      <c r="AG577" s="64" t="n"/>
      <c r="AJ577" s="68" t="n"/>
      <c r="AK577" s="68" t="n">
        <v>0</v>
      </c>
      <c r="BB577" s="674" t="inlineStr">
        <is>
          <t>КИ</t>
        </is>
      </c>
      <c r="BM577" s="64">
        <f>IFERROR(X577*I577/H577,"0")</f>
        <v/>
      </c>
      <c r="BN577" s="64">
        <f>IFERROR(Y577*I577/H577,"0")</f>
        <v/>
      </c>
      <c r="BO577" s="64">
        <f>IFERROR(1/J577*(X577/H577),"0")</f>
        <v/>
      </c>
      <c r="BP577" s="64">
        <f>IFERROR(1/J577*(Y577/H577),"0")</f>
        <v/>
      </c>
    </row>
    <row r="578" ht="27" customHeight="1">
      <c r="A578" s="54" t="inlineStr">
        <is>
          <t>SU002916</t>
        </is>
      </c>
      <c r="B578" s="54" t="inlineStr">
        <is>
          <t>P003633</t>
        </is>
      </c>
      <c r="C578" s="31" t="n">
        <v>4301031249</v>
      </c>
      <c r="D578" s="782" t="n">
        <v>4680115882072</v>
      </c>
      <c r="E578" s="783" t="n"/>
      <c r="F578" s="1220" t="n">
        <v>0.6</v>
      </c>
      <c r="G578" s="32" t="n">
        <v>6</v>
      </c>
      <c r="H578" s="1220" t="n">
        <v>3.6</v>
      </c>
      <c r="I578" s="1220" t="n">
        <v>3.81</v>
      </c>
      <c r="J578" s="32" t="n">
        <v>132</v>
      </c>
      <c r="K578" s="32" t="inlineStr">
        <is>
          <t>12</t>
        </is>
      </c>
      <c r="L578" s="32" t="n"/>
      <c r="M578" s="33" t="inlineStr">
        <is>
          <t>СК1</t>
        </is>
      </c>
      <c r="N578" s="33" t="n"/>
      <c r="O578" s="32" t="n">
        <v>60</v>
      </c>
      <c r="P578" s="859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/>
      </c>
      <c r="Q578" s="785" t="n"/>
      <c r="R578" s="785" t="n"/>
      <c r="S578" s="785" t="n"/>
      <c r="T578" s="786" t="n"/>
      <c r="U578" s="34" t="n"/>
      <c r="V578" s="34" t="n"/>
      <c r="W578" s="35" t="inlineStr">
        <is>
          <t>кг</t>
        </is>
      </c>
      <c r="X578" s="1221" t="n">
        <v>0</v>
      </c>
      <c r="Y578" s="1222">
        <f>IFERROR(IF(X578="",0,CEILING((X578/$H578),1)*$H578),"")</f>
        <v/>
      </c>
      <c r="Z578" s="36">
        <f>IFERROR(IF(Y578=0,"",ROUNDUP(Y578/H578,0)*0.00902),"")</f>
        <v/>
      </c>
      <c r="AA578" s="56" t="n"/>
      <c r="AB578" s="57" t="n"/>
      <c r="AC578" s="675" t="inlineStr">
        <is>
          <t>ЕАЭС N RU Д-RU.РА05.В.41862/23</t>
        </is>
      </c>
      <c r="AG578" s="64" t="n"/>
      <c r="AJ578" s="68" t="n"/>
      <c r="AK578" s="68" t="n">
        <v>0</v>
      </c>
      <c r="BB578" s="676" t="inlineStr">
        <is>
          <t>КИ</t>
        </is>
      </c>
      <c r="BM578" s="64">
        <f>IFERROR(X578*I578/H578,"0")</f>
        <v/>
      </c>
      <c r="BN578" s="64">
        <f>IFERROR(Y578*I578/H578,"0")</f>
        <v/>
      </c>
      <c r="BO578" s="64">
        <f>IFERROR(1/J578*(X578/H578),"0")</f>
        <v/>
      </c>
      <c r="BP578" s="64">
        <f>IFERROR(1/J578*(Y578/H578),"0")</f>
        <v/>
      </c>
    </row>
    <row r="579" ht="27" customHeight="1">
      <c r="A579" s="54" t="inlineStr">
        <is>
          <t>SU002916</t>
        </is>
      </c>
      <c r="B579" s="54" t="inlineStr">
        <is>
          <t>P004692</t>
        </is>
      </c>
      <c r="C579" s="31" t="n">
        <v>4301031383</v>
      </c>
      <c r="D579" s="782" t="n">
        <v>4680115882072</v>
      </c>
      <c r="E579" s="783" t="n"/>
      <c r="F579" s="1220" t="n">
        <v>0.6</v>
      </c>
      <c r="G579" s="32" t="n">
        <v>8</v>
      </c>
      <c r="H579" s="1220" t="n">
        <v>4.8</v>
      </c>
      <c r="I579" s="1220" t="n">
        <v>6.96</v>
      </c>
      <c r="J579" s="32" t="n">
        <v>120</v>
      </c>
      <c r="K579" s="32" t="inlineStr">
        <is>
          <t>12</t>
        </is>
      </c>
      <c r="L579" s="32" t="n"/>
      <c r="M579" s="33" t="inlineStr">
        <is>
          <t>СК1</t>
        </is>
      </c>
      <c r="N579" s="33" t="n"/>
      <c r="O579" s="32" t="n">
        <v>60</v>
      </c>
      <c r="P579" s="847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/>
      </c>
      <c r="Q579" s="785" t="n"/>
      <c r="R579" s="785" t="n"/>
      <c r="S579" s="785" t="n"/>
      <c r="T579" s="786" t="n"/>
      <c r="U579" s="34" t="n"/>
      <c r="V579" s="34" t="n"/>
      <c r="W579" s="35" t="inlineStr">
        <is>
          <t>кг</t>
        </is>
      </c>
      <c r="X579" s="1221" t="n">
        <v>0</v>
      </c>
      <c r="Y579" s="1222">
        <f>IFERROR(IF(X579="",0,CEILING((X579/$H579),1)*$H579),"")</f>
        <v/>
      </c>
      <c r="Z579" s="36">
        <f>IFERROR(IF(Y579=0,"",ROUNDUP(Y579/H579,0)*0.00937),"")</f>
        <v/>
      </c>
      <c r="AA579" s="56" t="n"/>
      <c r="AB579" s="57" t="n"/>
      <c r="AC579" s="677" t="inlineStr">
        <is>
          <t>ЕАЭС N RU Д-RU.РА05.В.41862/23</t>
        </is>
      </c>
      <c r="AG579" s="64" t="n"/>
      <c r="AJ579" s="68" t="n"/>
      <c r="AK579" s="68" t="n">
        <v>0</v>
      </c>
      <c r="BB579" s="678" t="inlineStr">
        <is>
          <t>КИ</t>
        </is>
      </c>
      <c r="BM579" s="64">
        <f>IFERROR(X579*I579/H579,"0")</f>
        <v/>
      </c>
      <c r="BN579" s="64">
        <f>IFERROR(Y579*I579/H579,"0")</f>
        <v/>
      </c>
      <c r="BO579" s="64">
        <f>IFERROR(1/J579*(X579/H579),"0")</f>
        <v/>
      </c>
      <c r="BP579" s="64">
        <f>IFERROR(1/J579*(Y579/H579),"0")</f>
        <v/>
      </c>
    </row>
    <row r="580" ht="27" customHeight="1">
      <c r="A580" s="54" t="inlineStr">
        <is>
          <t>SU002919</t>
        </is>
      </c>
      <c r="B580" s="54" t="inlineStr">
        <is>
          <t>P003635</t>
        </is>
      </c>
      <c r="C580" s="31" t="n">
        <v>4301031251</v>
      </c>
      <c r="D580" s="782" t="n">
        <v>4680115882102</v>
      </c>
      <c r="E580" s="783" t="n"/>
      <c r="F580" s="1220" t="n">
        <v>0.6</v>
      </c>
      <c r="G580" s="32" t="n">
        <v>6</v>
      </c>
      <c r="H580" s="1220" t="n">
        <v>3.6</v>
      </c>
      <c r="I580" s="1220" t="n">
        <v>3.81</v>
      </c>
      <c r="J580" s="32" t="n">
        <v>132</v>
      </c>
      <c r="K580" s="32" t="inlineStr">
        <is>
          <t>12</t>
        </is>
      </c>
      <c r="L580" s="32" t="n"/>
      <c r="M580" s="33" t="inlineStr">
        <is>
          <t>СК2</t>
        </is>
      </c>
      <c r="N580" s="33" t="n"/>
      <c r="O580" s="32" t="n">
        <v>60</v>
      </c>
      <c r="P580" s="913">
        <f>HYPERLINK("https://abi.ru/products/Охлажденные/Дугушка/Дугушка/Копченые колбасы/P003635/","В/к колбасы «Салями Запеченая» Фикс.вес 0,6 Вектор ТМ «Дугушка»")</f>
        <v/>
      </c>
      <c r="Q580" s="785" t="n"/>
      <c r="R580" s="785" t="n"/>
      <c r="S580" s="785" t="n"/>
      <c r="T580" s="786" t="n"/>
      <c r="U580" s="34" t="n"/>
      <c r="V580" s="34" t="n"/>
      <c r="W580" s="35" t="inlineStr">
        <is>
          <t>кг</t>
        </is>
      </c>
      <c r="X580" s="1221" t="n">
        <v>0</v>
      </c>
      <c r="Y580" s="1222">
        <f>IFERROR(IF(X580="",0,CEILING((X580/$H580),1)*$H580),"")</f>
        <v/>
      </c>
      <c r="Z580" s="36">
        <f>IFERROR(IF(Y580=0,"",ROUNDUP(Y580/H580,0)*0.00902),"")</f>
        <v/>
      </c>
      <c r="AA580" s="56" t="n"/>
      <c r="AB580" s="57" t="n"/>
      <c r="AC580" s="679" t="inlineStr">
        <is>
          <t>ЕАЭС № RU Д-RU.РА01.В.04512/20</t>
        </is>
      </c>
      <c r="AG580" s="64" t="n"/>
      <c r="AJ580" s="68" t="n"/>
      <c r="AK580" s="68" t="n">
        <v>0</v>
      </c>
      <c r="BB580" s="680" t="inlineStr">
        <is>
          <t>КИ</t>
        </is>
      </c>
      <c r="BM580" s="64">
        <f>IFERROR(X580*I580/H580,"0")</f>
        <v/>
      </c>
      <c r="BN580" s="64">
        <f>IFERROR(Y580*I580/H580,"0")</f>
        <v/>
      </c>
      <c r="BO580" s="64">
        <f>IFERROR(1/J580*(X580/H580),"0")</f>
        <v/>
      </c>
      <c r="BP580" s="64">
        <f>IFERROR(1/J580*(Y580/H580),"0")</f>
        <v/>
      </c>
    </row>
    <row r="581" ht="27" customHeight="1">
      <c r="A581" s="54" t="inlineStr">
        <is>
          <t>SU002919</t>
        </is>
      </c>
      <c r="B581" s="54" t="inlineStr">
        <is>
          <t>P004694</t>
        </is>
      </c>
      <c r="C581" s="31" t="n">
        <v>4301031385</v>
      </c>
      <c r="D581" s="782" t="n">
        <v>4680115882102</v>
      </c>
      <c r="E581" s="783" t="n"/>
      <c r="F581" s="1220" t="n">
        <v>0.6</v>
      </c>
      <c r="G581" s="32" t="n">
        <v>8</v>
      </c>
      <c r="H581" s="1220" t="n">
        <v>4.8</v>
      </c>
      <c r="I581" s="1220" t="n">
        <v>6.69</v>
      </c>
      <c r="J581" s="32" t="n">
        <v>120</v>
      </c>
      <c r="K581" s="32" t="inlineStr">
        <is>
          <t>12</t>
        </is>
      </c>
      <c r="L581" s="32" t="n"/>
      <c r="M581" s="33" t="inlineStr">
        <is>
          <t>СК2</t>
        </is>
      </c>
      <c r="N581" s="33" t="n"/>
      <c r="O581" s="32" t="n">
        <v>60</v>
      </c>
      <c r="P581" s="1061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/>
      </c>
      <c r="Q581" s="785" t="n"/>
      <c r="R581" s="785" t="n"/>
      <c r="S581" s="785" t="n"/>
      <c r="T581" s="786" t="n"/>
      <c r="U581" s="34" t="n"/>
      <c r="V581" s="34" t="n"/>
      <c r="W581" s="35" t="inlineStr">
        <is>
          <t>кг</t>
        </is>
      </c>
      <c r="X581" s="1221" t="n">
        <v>0</v>
      </c>
      <c r="Y581" s="1222">
        <f>IFERROR(IF(X581="",0,CEILING((X581/$H581),1)*$H581),"")</f>
        <v/>
      </c>
      <c r="Z581" s="36">
        <f>IFERROR(IF(Y581=0,"",ROUNDUP(Y581/H581,0)*0.00937),"")</f>
        <v/>
      </c>
      <c r="AA581" s="56" t="n"/>
      <c r="AB581" s="57" t="n"/>
      <c r="AC581" s="681" t="inlineStr">
        <is>
          <t>ЕАЭС N RU Д-RU.РА04.В.71173/24</t>
        </is>
      </c>
      <c r="AG581" s="64" t="n"/>
      <c r="AJ581" s="68" t="n"/>
      <c r="AK581" s="68" t="n">
        <v>0</v>
      </c>
      <c r="BB581" s="682" t="inlineStr">
        <is>
          <t>КИ</t>
        </is>
      </c>
      <c r="BM581" s="64">
        <f>IFERROR(X581*I581/H581,"0")</f>
        <v/>
      </c>
      <c r="BN581" s="64">
        <f>IFERROR(Y581*I581/H581,"0")</f>
        <v/>
      </c>
      <c r="BO581" s="64">
        <f>IFERROR(1/J581*(X581/H581),"0")</f>
        <v/>
      </c>
      <c r="BP581" s="64">
        <f>IFERROR(1/J581*(Y581/H581),"0")</f>
        <v/>
      </c>
    </row>
    <row r="582" ht="27" customHeight="1">
      <c r="A582" s="54" t="inlineStr">
        <is>
          <t>SU002918</t>
        </is>
      </c>
      <c r="B582" s="54" t="inlineStr">
        <is>
          <t>P003637</t>
        </is>
      </c>
      <c r="C582" s="31" t="n">
        <v>4301031253</v>
      </c>
      <c r="D582" s="782" t="n">
        <v>4680115882096</v>
      </c>
      <c r="E582" s="783" t="n"/>
      <c r="F582" s="1220" t="n">
        <v>0.6</v>
      </c>
      <c r="G582" s="32" t="n">
        <v>6</v>
      </c>
      <c r="H582" s="1220" t="n">
        <v>3.6</v>
      </c>
      <c r="I582" s="1220" t="n">
        <v>3.81</v>
      </c>
      <c r="J582" s="32" t="n">
        <v>132</v>
      </c>
      <c r="K582" s="32" t="inlineStr">
        <is>
          <t>12</t>
        </is>
      </c>
      <c r="L582" s="32" t="n"/>
      <c r="M582" s="33" t="inlineStr">
        <is>
          <t>СК2</t>
        </is>
      </c>
      <c r="N582" s="33" t="n"/>
      <c r="O582" s="32" t="n">
        <v>60</v>
      </c>
      <c r="P582" s="921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/>
      </c>
      <c r="Q582" s="785" t="n"/>
      <c r="R582" s="785" t="n"/>
      <c r="S582" s="785" t="n"/>
      <c r="T582" s="786" t="n"/>
      <c r="U582" s="34" t="n"/>
      <c r="V582" s="34" t="n"/>
      <c r="W582" s="35" t="inlineStr">
        <is>
          <t>кг</t>
        </is>
      </c>
      <c r="X582" s="1221" t="n">
        <v>0</v>
      </c>
      <c r="Y582" s="1222">
        <f>IFERROR(IF(X582="",0,CEILING((X582/$H582),1)*$H582),"")</f>
        <v/>
      </c>
      <c r="Z582" s="36">
        <f>IFERROR(IF(Y582=0,"",ROUNDUP(Y582/H582,0)*0.00902),"")</f>
        <v/>
      </c>
      <c r="AA582" s="56" t="n"/>
      <c r="AB582" s="57" t="n"/>
      <c r="AC582" s="683" t="inlineStr">
        <is>
          <t>ЕАЭС N RU Д-RU.РА01.В.81823/20</t>
        </is>
      </c>
      <c r="AG582" s="64" t="n"/>
      <c r="AJ582" s="68" t="n"/>
      <c r="AK582" s="68" t="n">
        <v>0</v>
      </c>
      <c r="BB582" s="684" t="inlineStr">
        <is>
          <t>КИ</t>
        </is>
      </c>
      <c r="BM582" s="64">
        <f>IFERROR(X582*I582/H582,"0")</f>
        <v/>
      </c>
      <c r="BN582" s="64">
        <f>IFERROR(Y582*I582/H582,"0")</f>
        <v/>
      </c>
      <c r="BO582" s="64">
        <f>IFERROR(1/J582*(X582/H582),"0")</f>
        <v/>
      </c>
      <c r="BP582" s="64">
        <f>IFERROR(1/J582*(Y582/H582),"0")</f>
        <v/>
      </c>
    </row>
    <row r="583" ht="27" customHeight="1">
      <c r="A583" s="54" t="inlineStr">
        <is>
          <t>SU002918</t>
        </is>
      </c>
      <c r="B583" s="54" t="inlineStr">
        <is>
          <t>P004693</t>
        </is>
      </c>
      <c r="C583" s="31" t="n">
        <v>4301031384</v>
      </c>
      <c r="D583" s="782" t="n">
        <v>4680115882096</v>
      </c>
      <c r="E583" s="783" t="n"/>
      <c r="F583" s="1220" t="n">
        <v>0.6</v>
      </c>
      <c r="G583" s="32" t="n">
        <v>8</v>
      </c>
      <c r="H583" s="1220" t="n">
        <v>4.8</v>
      </c>
      <c r="I583" s="1220" t="n">
        <v>6.69</v>
      </c>
      <c r="J583" s="32" t="n">
        <v>120</v>
      </c>
      <c r="K583" s="32" t="inlineStr">
        <is>
          <t>12</t>
        </is>
      </c>
      <c r="L583" s="32" t="n"/>
      <c r="M583" s="33" t="inlineStr">
        <is>
          <t>СК2</t>
        </is>
      </c>
      <c r="N583" s="33" t="n"/>
      <c r="O583" s="32" t="n">
        <v>60</v>
      </c>
      <c r="P583" s="885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/>
      </c>
      <c r="Q583" s="785" t="n"/>
      <c r="R583" s="785" t="n"/>
      <c r="S583" s="785" t="n"/>
      <c r="T583" s="786" t="n"/>
      <c r="U583" s="34" t="n"/>
      <c r="V583" s="34" t="n"/>
      <c r="W583" s="35" t="inlineStr">
        <is>
          <t>кг</t>
        </is>
      </c>
      <c r="X583" s="1221" t="n">
        <v>0</v>
      </c>
      <c r="Y583" s="1222">
        <f>IFERROR(IF(X583="",0,CEILING((X583/$H583),1)*$H583),"")</f>
        <v/>
      </c>
      <c r="Z583" s="36">
        <f>IFERROR(IF(Y583=0,"",ROUNDUP(Y583/H583,0)*0.00937),"")</f>
        <v/>
      </c>
      <c r="AA583" s="56" t="n"/>
      <c r="AB583" s="57" t="n"/>
      <c r="AC583" s="685" t="inlineStr">
        <is>
          <t>ЕАЭС N RU Д-RU.РА04.В.71301/24</t>
        </is>
      </c>
      <c r="AG583" s="64" t="n"/>
      <c r="AJ583" s="68" t="n"/>
      <c r="AK583" s="68" t="n">
        <v>0</v>
      </c>
      <c r="BB583" s="686" t="inlineStr">
        <is>
          <t>КИ</t>
        </is>
      </c>
      <c r="BM583" s="64">
        <f>IFERROR(X583*I583/H583,"0")</f>
        <v/>
      </c>
      <c r="BN583" s="64">
        <f>IFERROR(Y583*I583/H583,"0")</f>
        <v/>
      </c>
      <c r="BO583" s="64">
        <f>IFERROR(1/J583*(X583/H583),"0")</f>
        <v/>
      </c>
      <c r="BP583" s="64">
        <f>IFERROR(1/J583*(Y583/H583),"0")</f>
        <v/>
      </c>
    </row>
    <row r="584">
      <c r="A584" s="801" t="n"/>
      <c r="B584" s="800" t="n"/>
      <c r="C584" s="800" t="n"/>
      <c r="D584" s="800" t="n"/>
      <c r="E584" s="800" t="n"/>
      <c r="F584" s="800" t="n"/>
      <c r="G584" s="800" t="n"/>
      <c r="H584" s="800" t="n"/>
      <c r="I584" s="800" t="n"/>
      <c r="J584" s="800" t="n"/>
      <c r="K584" s="800" t="n"/>
      <c r="L584" s="800" t="n"/>
      <c r="M584" s="800" t="n"/>
      <c r="N584" s="800" t="n"/>
      <c r="O584" s="802" t="n"/>
      <c r="P584" s="796" t="inlineStr">
        <is>
          <t>Итого</t>
        </is>
      </c>
      <c r="Q584" s="793" t="n"/>
      <c r="R584" s="793" t="n"/>
      <c r="S584" s="793" t="n"/>
      <c r="T584" s="793" t="n"/>
      <c r="U584" s="793" t="n"/>
      <c r="V584" s="794" t="n"/>
      <c r="W584" s="37" t="inlineStr">
        <is>
          <t>кор</t>
        </is>
      </c>
      <c r="X584" s="1223">
        <f>IFERROR(X575/H575,"0")+IFERROR(X576/H576,"0")+IFERROR(X577/H577,"0")+IFERROR(X578/H578,"0")+IFERROR(X579/H579,"0")+IFERROR(X580/H580,"0")+IFERROR(X581/H581,"0")+IFERROR(X582/H582,"0")+IFERROR(X583/H583,"0")</f>
        <v/>
      </c>
      <c r="Y584" s="1223">
        <f>IFERROR(Y575/H575,"0")+IFERROR(Y576/H576,"0")+IFERROR(Y577/H577,"0")+IFERROR(Y578/H578,"0")+IFERROR(Y579/H579,"0")+IFERROR(Y580/H580,"0")+IFERROR(Y581/H581,"0")+IFERROR(Y582/H582,"0")+IFERROR(Y583/H583,"0")</f>
        <v/>
      </c>
      <c r="Z584" s="1223">
        <f>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</f>
        <v/>
      </c>
      <c r="AA584" s="1224" t="n"/>
      <c r="AB584" s="1224" t="n"/>
      <c r="AC584" s="1224" t="n"/>
    </row>
    <row r="585">
      <c r="A585" s="800" t="n"/>
      <c r="B585" s="800" t="n"/>
      <c r="C585" s="800" t="n"/>
      <c r="D585" s="800" t="n"/>
      <c r="E585" s="800" t="n"/>
      <c r="F585" s="800" t="n"/>
      <c r="G585" s="800" t="n"/>
      <c r="H585" s="800" t="n"/>
      <c r="I585" s="800" t="n"/>
      <c r="J585" s="800" t="n"/>
      <c r="K585" s="800" t="n"/>
      <c r="L585" s="800" t="n"/>
      <c r="M585" s="800" t="n"/>
      <c r="N585" s="800" t="n"/>
      <c r="O585" s="802" t="n"/>
      <c r="P585" s="796" t="inlineStr">
        <is>
          <t>Итого</t>
        </is>
      </c>
      <c r="Q585" s="793" t="n"/>
      <c r="R585" s="793" t="n"/>
      <c r="S585" s="793" t="n"/>
      <c r="T585" s="793" t="n"/>
      <c r="U585" s="793" t="n"/>
      <c r="V585" s="794" t="n"/>
      <c r="W585" s="37" t="inlineStr">
        <is>
          <t>кг</t>
        </is>
      </c>
      <c r="X585" s="1223">
        <f>IFERROR(SUM(X575:X583),"0")</f>
        <v/>
      </c>
      <c r="Y585" s="1223">
        <f>IFERROR(SUM(Y575:Y583),"0")</f>
        <v/>
      </c>
      <c r="Z585" s="37" t="n"/>
      <c r="AA585" s="1224" t="n"/>
      <c r="AB585" s="1224" t="n"/>
      <c r="AC585" s="1224" t="n"/>
    </row>
    <row r="586" ht="14.25" customHeight="1">
      <c r="A586" s="799" t="inlineStr">
        <is>
          <t>Сосиски</t>
        </is>
      </c>
      <c r="B586" s="800" t="n"/>
      <c r="C586" s="800" t="n"/>
      <c r="D586" s="800" t="n"/>
      <c r="E586" s="800" t="n"/>
      <c r="F586" s="800" t="n"/>
      <c r="G586" s="800" t="n"/>
      <c r="H586" s="800" t="n"/>
      <c r="I586" s="800" t="n"/>
      <c r="J586" s="800" t="n"/>
      <c r="K586" s="800" t="n"/>
      <c r="L586" s="800" t="n"/>
      <c r="M586" s="800" t="n"/>
      <c r="N586" s="800" t="n"/>
      <c r="O586" s="800" t="n"/>
      <c r="P586" s="800" t="n"/>
      <c r="Q586" s="800" t="n"/>
      <c r="R586" s="800" t="n"/>
      <c r="S586" s="800" t="n"/>
      <c r="T586" s="800" t="n"/>
      <c r="U586" s="800" t="n"/>
      <c r="V586" s="800" t="n"/>
      <c r="W586" s="800" t="n"/>
      <c r="X586" s="800" t="n"/>
      <c r="Y586" s="800" t="n"/>
      <c r="Z586" s="800" t="n"/>
      <c r="AA586" s="799" t="n"/>
      <c r="AB586" s="799" t="n"/>
      <c r="AC586" s="799" t="n"/>
    </row>
    <row r="587" ht="27" customHeight="1">
      <c r="A587" s="54" t="inlineStr">
        <is>
          <t>SU002218</t>
        </is>
      </c>
      <c r="B587" s="54" t="inlineStr">
        <is>
          <t>P002854</t>
        </is>
      </c>
      <c r="C587" s="31" t="n">
        <v>4301051230</v>
      </c>
      <c r="D587" s="782" t="n">
        <v>4607091383409</v>
      </c>
      <c r="E587" s="783" t="n"/>
      <c r="F587" s="1220" t="n">
        <v>1.3</v>
      </c>
      <c r="G587" s="32" t="n">
        <v>6</v>
      </c>
      <c r="H587" s="1220" t="n">
        <v>7.8</v>
      </c>
      <c r="I587" s="1220" t="n">
        <v>8.346</v>
      </c>
      <c r="J587" s="32" t="n">
        <v>56</v>
      </c>
      <c r="K587" s="32" t="inlineStr">
        <is>
          <t>8</t>
        </is>
      </c>
      <c r="L587" s="32" t="n"/>
      <c r="M587" s="33" t="inlineStr">
        <is>
          <t>СК2</t>
        </is>
      </c>
      <c r="N587" s="33" t="n"/>
      <c r="O587" s="32" t="n">
        <v>45</v>
      </c>
      <c r="P587" s="1107">
        <f>HYPERLINK("https://abi.ru/products/Охлажденные/Дугушка/Дугушка/Сосиски/P002854/","Сосиски «Молочные Дугушки» Весовые П/а мгс ТМ «Дугушка»")</f>
        <v/>
      </c>
      <c r="Q587" s="785" t="n"/>
      <c r="R587" s="785" t="n"/>
      <c r="S587" s="785" t="n"/>
      <c r="T587" s="786" t="n"/>
      <c r="U587" s="34" t="n"/>
      <c r="V587" s="34" t="n"/>
      <c r="W587" s="35" t="inlineStr">
        <is>
          <t>кг</t>
        </is>
      </c>
      <c r="X587" s="1221" t="n">
        <v>0</v>
      </c>
      <c r="Y587" s="1222">
        <f>IFERROR(IF(X587="",0,CEILING((X587/$H587),1)*$H587),"")</f>
        <v/>
      </c>
      <c r="Z587" s="36">
        <f>IFERROR(IF(Y587=0,"",ROUNDUP(Y587/H587,0)*0.02175),"")</f>
        <v/>
      </c>
      <c r="AA587" s="56" t="n"/>
      <c r="AB587" s="57" t="n"/>
      <c r="AC587" s="687" t="inlineStr">
        <is>
          <t>ЕАЭС N RU Д-RU.РА11.В.11513/23, ЕАЭС № RU Д-RU.РА01.В.93894/20</t>
        </is>
      </c>
      <c r="AG587" s="64" t="n"/>
      <c r="AJ587" s="68" t="n"/>
      <c r="AK587" s="68" t="n">
        <v>0</v>
      </c>
      <c r="BB587" s="688" t="inlineStr">
        <is>
          <t>КИ</t>
        </is>
      </c>
      <c r="BM587" s="64">
        <f>IFERROR(X587*I587/H587,"0")</f>
        <v/>
      </c>
      <c r="BN587" s="64">
        <f>IFERROR(Y587*I587/H587,"0")</f>
        <v/>
      </c>
      <c r="BO587" s="64">
        <f>IFERROR(1/J587*(X587/H587),"0")</f>
        <v/>
      </c>
      <c r="BP587" s="64">
        <f>IFERROR(1/J587*(Y587/H587),"0")</f>
        <v/>
      </c>
    </row>
    <row r="588" ht="27" customHeight="1">
      <c r="A588" s="54" t="inlineStr">
        <is>
          <t>SU002219</t>
        </is>
      </c>
      <c r="B588" s="54" t="inlineStr">
        <is>
          <t>P002855</t>
        </is>
      </c>
      <c r="C588" s="31" t="n">
        <v>4301051231</v>
      </c>
      <c r="D588" s="782" t="n">
        <v>4607091383416</v>
      </c>
      <c r="E588" s="783" t="n"/>
      <c r="F588" s="1220" t="n">
        <v>1.3</v>
      </c>
      <c r="G588" s="32" t="n">
        <v>6</v>
      </c>
      <c r="H588" s="1220" t="n">
        <v>7.8</v>
      </c>
      <c r="I588" s="1220" t="n">
        <v>8.346</v>
      </c>
      <c r="J588" s="32" t="n">
        <v>56</v>
      </c>
      <c r="K588" s="32" t="inlineStr">
        <is>
          <t>8</t>
        </is>
      </c>
      <c r="L588" s="32" t="n"/>
      <c r="M588" s="33" t="inlineStr">
        <is>
          <t>СК2</t>
        </is>
      </c>
      <c r="N588" s="33" t="n"/>
      <c r="O588" s="32" t="n">
        <v>45</v>
      </c>
      <c r="P588" s="895">
        <f>HYPERLINK("https://abi.ru/products/Охлажденные/Дугушка/Дугушка/Сосиски/P002855/","Сосиски «Сливочные Дугушки» Весовые П/а мгс ТМ «Дугушка»")</f>
        <v/>
      </c>
      <c r="Q588" s="785" t="n"/>
      <c r="R588" s="785" t="n"/>
      <c r="S588" s="785" t="n"/>
      <c r="T588" s="786" t="n"/>
      <c r="U588" s="34" t="n"/>
      <c r="V588" s="34" t="n"/>
      <c r="W588" s="35" t="inlineStr">
        <is>
          <t>кг</t>
        </is>
      </c>
      <c r="X588" s="1221" t="n">
        <v>0</v>
      </c>
      <c r="Y588" s="1222">
        <f>IFERROR(IF(X588="",0,CEILING((X588/$H588),1)*$H588),"")</f>
        <v/>
      </c>
      <c r="Z588" s="36">
        <f>IFERROR(IF(Y588=0,"",ROUNDUP(Y588/H588,0)*0.02175),"")</f>
        <v/>
      </c>
      <c r="AA588" s="56" t="n"/>
      <c r="AB588" s="57" t="n"/>
      <c r="AC588" s="689" t="inlineStr">
        <is>
          <t>ЕАЭС N RU Д-RU.РА10.В.10687/23, ЕАЭС № RU Д-RU.РА01.В.93655/20</t>
        </is>
      </c>
      <c r="AG588" s="64" t="n"/>
      <c r="AJ588" s="68" t="n"/>
      <c r="AK588" s="68" t="n">
        <v>0</v>
      </c>
      <c r="BB588" s="690" t="inlineStr">
        <is>
          <t>КИ</t>
        </is>
      </c>
      <c r="BM588" s="64">
        <f>IFERROR(X588*I588/H588,"0")</f>
        <v/>
      </c>
      <c r="BN588" s="64">
        <f>IFERROR(Y588*I588/H588,"0")</f>
        <v/>
      </c>
      <c r="BO588" s="64">
        <f>IFERROR(1/J588*(X588/H588),"0")</f>
        <v/>
      </c>
      <c r="BP588" s="64">
        <f>IFERROR(1/J588*(Y588/H588),"0")</f>
        <v/>
      </c>
    </row>
    <row r="589" ht="37.5" customHeight="1">
      <c r="A589" s="54" t="inlineStr">
        <is>
          <t>SU002146</t>
        </is>
      </c>
      <c r="B589" s="54" t="inlineStr">
        <is>
          <t>P002319</t>
        </is>
      </c>
      <c r="C589" s="31" t="n">
        <v>4301051058</v>
      </c>
      <c r="D589" s="782" t="n">
        <v>4680115883536</v>
      </c>
      <c r="E589" s="783" t="n"/>
      <c r="F589" s="1220" t="n">
        <v>0.3</v>
      </c>
      <c r="G589" s="32" t="n">
        <v>6</v>
      </c>
      <c r="H589" s="1220" t="n">
        <v>1.8</v>
      </c>
      <c r="I589" s="1220" t="n">
        <v>2.046</v>
      </c>
      <c r="J589" s="32" t="n">
        <v>182</v>
      </c>
      <c r="K589" s="32" t="inlineStr">
        <is>
          <t>14</t>
        </is>
      </c>
      <c r="L589" s="32" t="n"/>
      <c r="M589" s="33" t="inlineStr">
        <is>
          <t>СК2</t>
        </is>
      </c>
      <c r="N589" s="33" t="n"/>
      <c r="O589" s="32" t="n">
        <v>45</v>
      </c>
      <c r="P589" s="835">
        <f>HYPERLINK("https://abi.ru/products/Охлажденные/Дугушка/Дугушка/Сосиски/P002319/","Сосиски «Молочные Дугушки» ф/в 0,3 амицел ТМ «Дугушка»")</f>
        <v/>
      </c>
      <c r="Q589" s="785" t="n"/>
      <c r="R589" s="785" t="n"/>
      <c r="S589" s="785" t="n"/>
      <c r="T589" s="786" t="n"/>
      <c r="U589" s="34" t="n"/>
      <c r="V589" s="34" t="n"/>
      <c r="W589" s="35" t="inlineStr">
        <is>
          <t>кг</t>
        </is>
      </c>
      <c r="X589" s="1221" t="n">
        <v>0</v>
      </c>
      <c r="Y589" s="1222">
        <f>IFERROR(IF(X589="",0,CEILING((X589/$H589),1)*$H589),"")</f>
        <v/>
      </c>
      <c r="Z589" s="36">
        <f>IFERROR(IF(Y589=0,"",ROUNDUP(Y589/H589,0)*0.00651),"")</f>
        <v/>
      </c>
      <c r="AA589" s="56" t="n"/>
      <c r="AB589" s="57" t="n"/>
      <c r="AC589" s="691" t="inlineStr">
        <is>
          <t>ЕАЭС N RU Д-RU.РА04.В.51196/23, ЕАЭС N RU Д-RU.РА04.В.72602/23, ЕАЭС N RU Д-RU.РА10.В.04165/24</t>
        </is>
      </c>
      <c r="AG589" s="64" t="n"/>
      <c r="AJ589" s="68" t="n"/>
      <c r="AK589" s="68" t="n">
        <v>0</v>
      </c>
      <c r="BB589" s="692" t="inlineStr">
        <is>
          <t>КИ</t>
        </is>
      </c>
      <c r="BM589" s="64">
        <f>IFERROR(X589*I589/H589,"0")</f>
        <v/>
      </c>
      <c r="BN589" s="64">
        <f>IFERROR(Y589*I589/H589,"0")</f>
        <v/>
      </c>
      <c r="BO589" s="64">
        <f>IFERROR(1/J589*(X589/H589),"0")</f>
        <v/>
      </c>
      <c r="BP589" s="64">
        <f>IFERROR(1/J589*(Y589/H589),"0")</f>
        <v/>
      </c>
    </row>
    <row r="590">
      <c r="A590" s="801" t="n"/>
      <c r="B590" s="800" t="n"/>
      <c r="C590" s="800" t="n"/>
      <c r="D590" s="800" t="n"/>
      <c r="E590" s="800" t="n"/>
      <c r="F590" s="800" t="n"/>
      <c r="G590" s="800" t="n"/>
      <c r="H590" s="800" t="n"/>
      <c r="I590" s="800" t="n"/>
      <c r="J590" s="800" t="n"/>
      <c r="K590" s="800" t="n"/>
      <c r="L590" s="800" t="n"/>
      <c r="M590" s="800" t="n"/>
      <c r="N590" s="800" t="n"/>
      <c r="O590" s="802" t="n"/>
      <c r="P590" s="796" t="inlineStr">
        <is>
          <t>Итого</t>
        </is>
      </c>
      <c r="Q590" s="793" t="n"/>
      <c r="R590" s="793" t="n"/>
      <c r="S590" s="793" t="n"/>
      <c r="T590" s="793" t="n"/>
      <c r="U590" s="793" t="n"/>
      <c r="V590" s="794" t="n"/>
      <c r="W590" s="37" t="inlineStr">
        <is>
          <t>кор</t>
        </is>
      </c>
      <c r="X590" s="1223">
        <f>IFERROR(X587/H587,"0")+IFERROR(X588/H588,"0")+IFERROR(X589/H589,"0")</f>
        <v/>
      </c>
      <c r="Y590" s="1223">
        <f>IFERROR(Y587/H587,"0")+IFERROR(Y588/H588,"0")+IFERROR(Y589/H589,"0")</f>
        <v/>
      </c>
      <c r="Z590" s="1223">
        <f>IFERROR(IF(Z587="",0,Z587),"0")+IFERROR(IF(Z588="",0,Z588),"0")+IFERROR(IF(Z589="",0,Z589),"0")</f>
        <v/>
      </c>
      <c r="AA590" s="1224" t="n"/>
      <c r="AB590" s="1224" t="n"/>
      <c r="AC590" s="1224" t="n"/>
    </row>
    <row r="591">
      <c r="A591" s="800" t="n"/>
      <c r="B591" s="800" t="n"/>
      <c r="C591" s="800" t="n"/>
      <c r="D591" s="800" t="n"/>
      <c r="E591" s="800" t="n"/>
      <c r="F591" s="800" t="n"/>
      <c r="G591" s="800" t="n"/>
      <c r="H591" s="800" t="n"/>
      <c r="I591" s="800" t="n"/>
      <c r="J591" s="800" t="n"/>
      <c r="K591" s="800" t="n"/>
      <c r="L591" s="800" t="n"/>
      <c r="M591" s="800" t="n"/>
      <c r="N591" s="800" t="n"/>
      <c r="O591" s="802" t="n"/>
      <c r="P591" s="796" t="inlineStr">
        <is>
          <t>Итого</t>
        </is>
      </c>
      <c r="Q591" s="793" t="n"/>
      <c r="R591" s="793" t="n"/>
      <c r="S591" s="793" t="n"/>
      <c r="T591" s="793" t="n"/>
      <c r="U591" s="793" t="n"/>
      <c r="V591" s="794" t="n"/>
      <c r="W591" s="37" t="inlineStr">
        <is>
          <t>кг</t>
        </is>
      </c>
      <c r="X591" s="1223">
        <f>IFERROR(SUM(X587:X589),"0")</f>
        <v/>
      </c>
      <c r="Y591" s="1223">
        <f>IFERROR(SUM(Y587:Y589),"0")</f>
        <v/>
      </c>
      <c r="Z591" s="37" t="n"/>
      <c r="AA591" s="1224" t="n"/>
      <c r="AB591" s="1224" t="n"/>
      <c r="AC591" s="1224" t="n"/>
    </row>
    <row r="592" ht="14.25" customHeight="1">
      <c r="A592" s="799" t="inlineStr">
        <is>
          <t>Сардельки</t>
        </is>
      </c>
      <c r="B592" s="800" t="n"/>
      <c r="C592" s="800" t="n"/>
      <c r="D592" s="800" t="n"/>
      <c r="E592" s="800" t="n"/>
      <c r="F592" s="800" t="n"/>
      <c r="G592" s="800" t="n"/>
      <c r="H592" s="800" t="n"/>
      <c r="I592" s="800" t="n"/>
      <c r="J592" s="800" t="n"/>
      <c r="K592" s="800" t="n"/>
      <c r="L592" s="800" t="n"/>
      <c r="M592" s="800" t="n"/>
      <c r="N592" s="800" t="n"/>
      <c r="O592" s="800" t="n"/>
      <c r="P592" s="800" t="n"/>
      <c r="Q592" s="800" t="n"/>
      <c r="R592" s="800" t="n"/>
      <c r="S592" s="800" t="n"/>
      <c r="T592" s="800" t="n"/>
      <c r="U592" s="800" t="n"/>
      <c r="V592" s="800" t="n"/>
      <c r="W592" s="800" t="n"/>
      <c r="X592" s="800" t="n"/>
      <c r="Y592" s="800" t="n"/>
      <c r="Z592" s="800" t="n"/>
      <c r="AA592" s="799" t="n"/>
      <c r="AB592" s="799" t="n"/>
      <c r="AC592" s="799" t="n"/>
    </row>
    <row r="593" ht="27" customHeight="1">
      <c r="A593" s="54" t="inlineStr">
        <is>
          <t>SU003136</t>
        </is>
      </c>
      <c r="B593" s="54" t="inlineStr">
        <is>
          <t>P003722</t>
        </is>
      </c>
      <c r="C593" s="31" t="n">
        <v>4301060363</v>
      </c>
      <c r="D593" s="782" t="n">
        <v>4680115885035</v>
      </c>
      <c r="E593" s="783" t="n"/>
      <c r="F593" s="1220" t="n">
        <v>1</v>
      </c>
      <c r="G593" s="32" t="n">
        <v>4</v>
      </c>
      <c r="H593" s="1220" t="n">
        <v>4</v>
      </c>
      <c r="I593" s="1220" t="n">
        <v>4.416</v>
      </c>
      <c r="J593" s="32" t="n">
        <v>104</v>
      </c>
      <c r="K593" s="32" t="inlineStr">
        <is>
          <t>8</t>
        </is>
      </c>
      <c r="L593" s="32" t="n"/>
      <c r="M593" s="33" t="inlineStr">
        <is>
          <t>СК2</t>
        </is>
      </c>
      <c r="N593" s="33" t="n"/>
      <c r="O593" s="32" t="n">
        <v>35</v>
      </c>
      <c r="P593" s="1099">
        <f>HYPERLINK("https://abi.ru/products/Охлажденные/Дугушка/Дугушка/Сардельки/P003722/","Сардельки «Дугушки» Весовой н/о ТМ «Дугушка»")</f>
        <v/>
      </c>
      <c r="Q593" s="785" t="n"/>
      <c r="R593" s="785" t="n"/>
      <c r="S593" s="785" t="n"/>
      <c r="T593" s="786" t="n"/>
      <c r="U593" s="34" t="n"/>
      <c r="V593" s="34" t="n"/>
      <c r="W593" s="35" t="inlineStr">
        <is>
          <t>кг</t>
        </is>
      </c>
      <c r="X593" s="1221" t="n">
        <v>0</v>
      </c>
      <c r="Y593" s="1222">
        <f>IFERROR(IF(X593="",0,CEILING((X593/$H593),1)*$H593),"")</f>
        <v/>
      </c>
      <c r="Z593" s="36">
        <f>IFERROR(IF(Y593=0,"",ROUNDUP(Y593/H593,0)*0.01196),"")</f>
        <v/>
      </c>
      <c r="AA593" s="56" t="n"/>
      <c r="AB593" s="57" t="n"/>
      <c r="AC593" s="693" t="inlineStr">
        <is>
          <t>ЕАЭС N RU Д-RU.РА02.В.61682/24, ЕАЭС N RU Д-RU.РА10.В.25236/24</t>
        </is>
      </c>
      <c r="AG593" s="64" t="n"/>
      <c r="AJ593" s="68" t="n"/>
      <c r="AK593" s="68" t="n">
        <v>0</v>
      </c>
      <c r="BB593" s="694" t="inlineStr">
        <is>
          <t>КИ</t>
        </is>
      </c>
      <c r="BM593" s="64">
        <f>IFERROR(X593*I593/H593,"0")</f>
        <v/>
      </c>
      <c r="BN593" s="64">
        <f>IFERROR(Y593*I593/H593,"0")</f>
        <v/>
      </c>
      <c r="BO593" s="64">
        <f>IFERROR(1/J593*(X593/H593),"0")</f>
        <v/>
      </c>
      <c r="BP593" s="64">
        <f>IFERROR(1/J593*(Y593/H593),"0")</f>
        <v/>
      </c>
    </row>
    <row r="594" ht="27" customHeight="1">
      <c r="A594" s="54" t="inlineStr">
        <is>
          <t>SU003687</t>
        </is>
      </c>
      <c r="B594" s="54" t="inlineStr">
        <is>
          <t>P004680</t>
        </is>
      </c>
      <c r="C594" s="31" t="n">
        <v>4301060436</v>
      </c>
      <c r="D594" s="782" t="n">
        <v>4680115885936</v>
      </c>
      <c r="E594" s="783" t="n"/>
      <c r="F594" s="1220" t="n">
        <v>1.3</v>
      </c>
      <c r="G594" s="32" t="n">
        <v>6</v>
      </c>
      <c r="H594" s="1220" t="n">
        <v>7.8</v>
      </c>
      <c r="I594" s="1220" t="n">
        <v>8.279999999999999</v>
      </c>
      <c r="J594" s="32" t="n">
        <v>56</v>
      </c>
      <c r="K594" s="32" t="inlineStr">
        <is>
          <t>8</t>
        </is>
      </c>
      <c r="L594" s="32" t="n"/>
      <c r="M594" s="33" t="inlineStr">
        <is>
          <t>СК2</t>
        </is>
      </c>
      <c r="N594" s="33" t="n"/>
      <c r="O594" s="32" t="n">
        <v>35</v>
      </c>
      <c r="P594" s="1215" t="inlineStr">
        <is>
          <t>Сардельки «Дугушки» Весовой черева ТМ «Стародворье»</t>
        </is>
      </c>
      <c r="Q594" s="785" t="n"/>
      <c r="R594" s="785" t="n"/>
      <c r="S594" s="785" t="n"/>
      <c r="T594" s="786" t="n"/>
      <c r="U594" s="34" t="n"/>
      <c r="V594" s="34" t="n"/>
      <c r="W594" s="35" t="inlineStr">
        <is>
          <t>кг</t>
        </is>
      </c>
      <c r="X594" s="1221" t="n">
        <v>0</v>
      </c>
      <c r="Y594" s="1222">
        <f>IFERROR(IF(X594="",0,CEILING((X594/$H594),1)*$H594),"")</f>
        <v/>
      </c>
      <c r="Z594" s="36">
        <f>IFERROR(IF(Y594=0,"",ROUNDUP(Y594/H594,0)*0.02175),"")</f>
        <v/>
      </c>
      <c r="AA594" s="56" t="n"/>
      <c r="AB594" s="57" t="n"/>
      <c r="AC594" s="695" t="inlineStr">
        <is>
          <t>ЕАЭС N RU Д-RU.РА02.В.61682/24, ЕАЭС N RU Д-RU.РА10.В.25236/24</t>
        </is>
      </c>
      <c r="AG594" s="64" t="n"/>
      <c r="AJ594" s="68" t="n"/>
      <c r="AK594" s="68" t="n">
        <v>0</v>
      </c>
      <c r="BB594" s="696" t="inlineStr">
        <is>
          <t>КИ</t>
        </is>
      </c>
      <c r="BM594" s="64">
        <f>IFERROR(X594*I594/H594,"0")</f>
        <v/>
      </c>
      <c r="BN594" s="64">
        <f>IFERROR(Y594*I594/H594,"0")</f>
        <v/>
      </c>
      <c r="BO594" s="64">
        <f>IFERROR(1/J594*(X594/H594),"0")</f>
        <v/>
      </c>
      <c r="BP594" s="64">
        <f>IFERROR(1/J594*(Y594/H594),"0")</f>
        <v/>
      </c>
    </row>
    <row r="595">
      <c r="A595" s="801" t="n"/>
      <c r="B595" s="800" t="n"/>
      <c r="C595" s="800" t="n"/>
      <c r="D595" s="800" t="n"/>
      <c r="E595" s="800" t="n"/>
      <c r="F595" s="800" t="n"/>
      <c r="G595" s="800" t="n"/>
      <c r="H595" s="800" t="n"/>
      <c r="I595" s="800" t="n"/>
      <c r="J595" s="800" t="n"/>
      <c r="K595" s="800" t="n"/>
      <c r="L595" s="800" t="n"/>
      <c r="M595" s="800" t="n"/>
      <c r="N595" s="800" t="n"/>
      <c r="O595" s="802" t="n"/>
      <c r="P595" s="796" t="inlineStr">
        <is>
          <t>Итого</t>
        </is>
      </c>
      <c r="Q595" s="793" t="n"/>
      <c r="R595" s="793" t="n"/>
      <c r="S595" s="793" t="n"/>
      <c r="T595" s="793" t="n"/>
      <c r="U595" s="793" t="n"/>
      <c r="V595" s="794" t="n"/>
      <c r="W595" s="37" t="inlineStr">
        <is>
          <t>кор</t>
        </is>
      </c>
      <c r="X595" s="1223">
        <f>IFERROR(X593/H593,"0")+IFERROR(X594/H594,"0")</f>
        <v/>
      </c>
      <c r="Y595" s="1223">
        <f>IFERROR(Y593/H593,"0")+IFERROR(Y594/H594,"0")</f>
        <v/>
      </c>
      <c r="Z595" s="1223">
        <f>IFERROR(IF(Z593="",0,Z593),"0")+IFERROR(IF(Z594="",0,Z594),"0")</f>
        <v/>
      </c>
      <c r="AA595" s="1224" t="n"/>
      <c r="AB595" s="1224" t="n"/>
      <c r="AC595" s="1224" t="n"/>
    </row>
    <row r="596">
      <c r="A596" s="800" t="n"/>
      <c r="B596" s="800" t="n"/>
      <c r="C596" s="800" t="n"/>
      <c r="D596" s="800" t="n"/>
      <c r="E596" s="800" t="n"/>
      <c r="F596" s="800" t="n"/>
      <c r="G596" s="800" t="n"/>
      <c r="H596" s="800" t="n"/>
      <c r="I596" s="800" t="n"/>
      <c r="J596" s="800" t="n"/>
      <c r="K596" s="800" t="n"/>
      <c r="L596" s="800" t="n"/>
      <c r="M596" s="800" t="n"/>
      <c r="N596" s="800" t="n"/>
      <c r="O596" s="802" t="n"/>
      <c r="P596" s="796" t="inlineStr">
        <is>
          <t>Итого</t>
        </is>
      </c>
      <c r="Q596" s="793" t="n"/>
      <c r="R596" s="793" t="n"/>
      <c r="S596" s="793" t="n"/>
      <c r="T596" s="793" t="n"/>
      <c r="U596" s="793" t="n"/>
      <c r="V596" s="794" t="n"/>
      <c r="W596" s="37" t="inlineStr">
        <is>
          <t>кг</t>
        </is>
      </c>
      <c r="X596" s="1223">
        <f>IFERROR(SUM(X593:X594),"0")</f>
        <v/>
      </c>
      <c r="Y596" s="1223">
        <f>IFERROR(SUM(Y593:Y594),"0")</f>
        <v/>
      </c>
      <c r="Z596" s="37" t="n"/>
      <c r="AA596" s="1224" t="n"/>
      <c r="AB596" s="1224" t="n"/>
      <c r="AC596" s="1224" t="n"/>
    </row>
    <row r="597" ht="27.75" customHeight="1">
      <c r="A597" s="900" t="inlineStr">
        <is>
          <t>Зареченские продукты</t>
        </is>
      </c>
      <c r="B597" s="901" t="n"/>
      <c r="C597" s="901" t="n"/>
      <c r="D597" s="901" t="n"/>
      <c r="E597" s="901" t="n"/>
      <c r="F597" s="901" t="n"/>
      <c r="G597" s="901" t="n"/>
      <c r="H597" s="901" t="n"/>
      <c r="I597" s="901" t="n"/>
      <c r="J597" s="901" t="n"/>
      <c r="K597" s="901" t="n"/>
      <c r="L597" s="901" t="n"/>
      <c r="M597" s="901" t="n"/>
      <c r="N597" s="901" t="n"/>
      <c r="O597" s="901" t="n"/>
      <c r="P597" s="901" t="n"/>
      <c r="Q597" s="901" t="n"/>
      <c r="R597" s="901" t="n"/>
      <c r="S597" s="901" t="n"/>
      <c r="T597" s="901" t="n"/>
      <c r="U597" s="901" t="n"/>
      <c r="V597" s="901" t="n"/>
      <c r="W597" s="901" t="n"/>
      <c r="X597" s="901" t="n"/>
      <c r="Y597" s="901" t="n"/>
      <c r="Z597" s="901" t="n"/>
      <c r="AA597" s="48" t="n"/>
      <c r="AB597" s="48" t="n"/>
      <c r="AC597" s="48" t="n"/>
    </row>
    <row r="598" ht="16.5" customHeight="1">
      <c r="A598" s="807" t="inlineStr">
        <is>
          <t>Зареченские продукты</t>
        </is>
      </c>
      <c r="B598" s="800" t="n"/>
      <c r="C598" s="800" t="n"/>
      <c r="D598" s="800" t="n"/>
      <c r="E598" s="800" t="n"/>
      <c r="F598" s="800" t="n"/>
      <c r="G598" s="800" t="n"/>
      <c r="H598" s="800" t="n"/>
      <c r="I598" s="800" t="n"/>
      <c r="J598" s="800" t="n"/>
      <c r="K598" s="800" t="n"/>
      <c r="L598" s="800" t="n"/>
      <c r="M598" s="800" t="n"/>
      <c r="N598" s="800" t="n"/>
      <c r="O598" s="800" t="n"/>
      <c r="P598" s="800" t="n"/>
      <c r="Q598" s="800" t="n"/>
      <c r="R598" s="800" t="n"/>
      <c r="S598" s="800" t="n"/>
      <c r="T598" s="800" t="n"/>
      <c r="U598" s="800" t="n"/>
      <c r="V598" s="800" t="n"/>
      <c r="W598" s="800" t="n"/>
      <c r="X598" s="800" t="n"/>
      <c r="Y598" s="800" t="n"/>
      <c r="Z598" s="800" t="n"/>
      <c r="AA598" s="807" t="n"/>
      <c r="AB598" s="807" t="n"/>
      <c r="AC598" s="807" t="n"/>
    </row>
    <row r="599" ht="14.25" customHeight="1">
      <c r="A599" s="799" t="inlineStr">
        <is>
          <t>Вареные колбасы</t>
        </is>
      </c>
      <c r="B599" s="800" t="n"/>
      <c r="C599" s="800" t="n"/>
      <c r="D599" s="800" t="n"/>
      <c r="E599" s="800" t="n"/>
      <c r="F599" s="800" t="n"/>
      <c r="G599" s="800" t="n"/>
      <c r="H599" s="800" t="n"/>
      <c r="I599" s="800" t="n"/>
      <c r="J599" s="800" t="n"/>
      <c r="K599" s="800" t="n"/>
      <c r="L599" s="800" t="n"/>
      <c r="M599" s="800" t="n"/>
      <c r="N599" s="800" t="n"/>
      <c r="O599" s="800" t="n"/>
      <c r="P599" s="800" t="n"/>
      <c r="Q599" s="800" t="n"/>
      <c r="R599" s="800" t="n"/>
      <c r="S599" s="800" t="n"/>
      <c r="T599" s="800" t="n"/>
      <c r="U599" s="800" t="n"/>
      <c r="V599" s="800" t="n"/>
      <c r="W599" s="800" t="n"/>
      <c r="X599" s="800" t="n"/>
      <c r="Y599" s="800" t="n"/>
      <c r="Z599" s="800" t="n"/>
      <c r="AA599" s="799" t="n"/>
      <c r="AB599" s="799" t="n"/>
      <c r="AC599" s="799" t="n"/>
    </row>
    <row r="600" ht="27" customHeight="1">
      <c r="A600" s="54" t="inlineStr">
        <is>
          <t>SU003290</t>
        </is>
      </c>
      <c r="B600" s="54" t="inlineStr">
        <is>
          <t>P004000</t>
        </is>
      </c>
      <c r="C600" s="31" t="n">
        <v>4301011763</v>
      </c>
      <c r="D600" s="782" t="n">
        <v>4640242181011</v>
      </c>
      <c r="E600" s="783" t="n"/>
      <c r="F600" s="1220" t="n">
        <v>1.35</v>
      </c>
      <c r="G600" s="32" t="n">
        <v>8</v>
      </c>
      <c r="H600" s="1220" t="n">
        <v>10.8</v>
      </c>
      <c r="I600" s="1220" t="n">
        <v>11.28</v>
      </c>
      <c r="J600" s="32" t="n">
        <v>56</v>
      </c>
      <c r="K600" s="32" t="inlineStr">
        <is>
          <t>8</t>
        </is>
      </c>
      <c r="L600" s="32" t="n"/>
      <c r="M600" s="33" t="inlineStr">
        <is>
          <t>СК3</t>
        </is>
      </c>
      <c r="N600" s="33" t="n"/>
      <c r="O600" s="32" t="n">
        <v>55</v>
      </c>
      <c r="P600" s="1214" t="inlineStr">
        <is>
          <t>Вареные колбасы «Молочная» Весовой п/а ТМ «Зареченские»</t>
        </is>
      </c>
      <c r="Q600" s="785" t="n"/>
      <c r="R600" s="785" t="n"/>
      <c r="S600" s="785" t="n"/>
      <c r="T600" s="786" t="n"/>
      <c r="U600" s="34" t="n"/>
      <c r="V600" s="34" t="n"/>
      <c r="W600" s="35" t="inlineStr">
        <is>
          <t>кг</t>
        </is>
      </c>
      <c r="X600" s="1221" t="n">
        <v>0</v>
      </c>
      <c r="Y600" s="1222">
        <f>IFERROR(IF(X600="",0,CEILING((X600/$H600),1)*$H600),"")</f>
        <v/>
      </c>
      <c r="Z600" s="36">
        <f>IFERROR(IF(Y600=0,"",ROUNDUP(Y600/H600,0)*0.02175),"")</f>
        <v/>
      </c>
      <c r="AA600" s="56" t="n"/>
      <c r="AB600" s="57" t="n"/>
      <c r="AC600" s="697" t="inlineStr">
        <is>
          <t>ЕАЭС N RU Д-RU.РА10.В.50054/23</t>
        </is>
      </c>
      <c r="AG600" s="64" t="n"/>
      <c r="AJ600" s="68" t="n"/>
      <c r="AK600" s="68" t="n">
        <v>0</v>
      </c>
      <c r="BB600" s="698" t="inlineStr">
        <is>
          <t>КИ</t>
        </is>
      </c>
      <c r="BM600" s="64">
        <f>IFERROR(X600*I600/H600,"0")</f>
        <v/>
      </c>
      <c r="BN600" s="64">
        <f>IFERROR(Y600*I600/H600,"0")</f>
        <v/>
      </c>
      <c r="BO600" s="64">
        <f>IFERROR(1/J600*(X600/H600),"0")</f>
        <v/>
      </c>
      <c r="BP600" s="64">
        <f>IFERROR(1/J600*(Y600/H600),"0")</f>
        <v/>
      </c>
    </row>
    <row r="601" ht="27" customHeight="1">
      <c r="A601" s="54" t="inlineStr">
        <is>
          <t>SU002807</t>
        </is>
      </c>
      <c r="B601" s="54" t="inlineStr">
        <is>
          <t>P003583</t>
        </is>
      </c>
      <c r="C601" s="31" t="n">
        <v>4301011585</v>
      </c>
      <c r="D601" s="782" t="n">
        <v>4640242180441</v>
      </c>
      <c r="E601" s="783" t="n"/>
      <c r="F601" s="1220" t="n">
        <v>1.5</v>
      </c>
      <c r="G601" s="32" t="n">
        <v>8</v>
      </c>
      <c r="H601" s="1220" t="n">
        <v>12</v>
      </c>
      <c r="I601" s="1220" t="n">
        <v>12.48</v>
      </c>
      <c r="J601" s="32" t="n">
        <v>56</v>
      </c>
      <c r="K601" s="32" t="inlineStr">
        <is>
          <t>8</t>
        </is>
      </c>
      <c r="L601" s="32" t="n"/>
      <c r="M601" s="33" t="inlineStr">
        <is>
          <t>СК1</t>
        </is>
      </c>
      <c r="N601" s="33" t="n"/>
      <c r="O601" s="32" t="n">
        <v>50</v>
      </c>
      <c r="P601" s="875" t="inlineStr">
        <is>
          <t>Вареные колбасы «Муромская» Весовой п/а ТМ «Зареченские»</t>
        </is>
      </c>
      <c r="Q601" s="785" t="n"/>
      <c r="R601" s="785" t="n"/>
      <c r="S601" s="785" t="n"/>
      <c r="T601" s="786" t="n"/>
      <c r="U601" s="34" t="n"/>
      <c r="V601" s="34" t="n"/>
      <c r="W601" s="35" t="inlineStr">
        <is>
          <t>кг</t>
        </is>
      </c>
      <c r="X601" s="1221" t="n">
        <v>0</v>
      </c>
      <c r="Y601" s="1222">
        <f>IFERROR(IF(X601="",0,CEILING((X601/$H601),1)*$H601),"")</f>
        <v/>
      </c>
      <c r="Z601" s="36">
        <f>IFERROR(IF(Y601=0,"",ROUNDUP(Y601/H601,0)*0.02175),"")</f>
        <v/>
      </c>
      <c r="AA601" s="56" t="n"/>
      <c r="AB601" s="57" t="n"/>
      <c r="AC601" s="699" t="inlineStr">
        <is>
          <t>ЕАЭС N RU Д-RU.РА05.В.98227/23</t>
        </is>
      </c>
      <c r="AG601" s="64" t="n"/>
      <c r="AJ601" s="68" t="n"/>
      <c r="AK601" s="68" t="n">
        <v>0</v>
      </c>
      <c r="BB601" s="700" t="inlineStr">
        <is>
          <t>КИ</t>
        </is>
      </c>
      <c r="BM601" s="64">
        <f>IFERROR(X601*I601/H601,"0")</f>
        <v/>
      </c>
      <c r="BN601" s="64">
        <f>IFERROR(Y601*I601/H601,"0")</f>
        <v/>
      </c>
      <c r="BO601" s="64">
        <f>IFERROR(1/J601*(X601/H601),"0")</f>
        <v/>
      </c>
      <c r="BP601" s="64">
        <f>IFERROR(1/J601*(Y601/H601),"0")</f>
        <v/>
      </c>
    </row>
    <row r="602" ht="27" customHeight="1">
      <c r="A602" s="54" t="inlineStr">
        <is>
          <t>SU002808</t>
        </is>
      </c>
      <c r="B602" s="54" t="inlineStr">
        <is>
          <t>P003582</t>
        </is>
      </c>
      <c r="C602" s="31" t="n">
        <v>4301011584</v>
      </c>
      <c r="D602" s="782" t="n">
        <v>4640242180564</v>
      </c>
      <c r="E602" s="783" t="n"/>
      <c r="F602" s="1220" t="n">
        <v>1.5</v>
      </c>
      <c r="G602" s="32" t="n">
        <v>8</v>
      </c>
      <c r="H602" s="1220" t="n">
        <v>12</v>
      </c>
      <c r="I602" s="1220" t="n">
        <v>12.48</v>
      </c>
      <c r="J602" s="32" t="n">
        <v>56</v>
      </c>
      <c r="K602" s="32" t="inlineStr">
        <is>
          <t>8</t>
        </is>
      </c>
      <c r="L602" s="32" t="n"/>
      <c r="M602" s="33" t="inlineStr">
        <is>
          <t>СК1</t>
        </is>
      </c>
      <c r="N602" s="33" t="n"/>
      <c r="O602" s="32" t="n">
        <v>50</v>
      </c>
      <c r="P602" s="1019" t="inlineStr">
        <is>
          <t>Вареные колбасы «Нежная» НТУ Весовые П/а ТМ «Зареченские»</t>
        </is>
      </c>
      <c r="Q602" s="785" t="n"/>
      <c r="R602" s="785" t="n"/>
      <c r="S602" s="785" t="n"/>
      <c r="T602" s="786" t="n"/>
      <c r="U602" s="34" t="n"/>
      <c r="V602" s="34" t="n"/>
      <c r="W602" s="35" t="inlineStr">
        <is>
          <t>кг</t>
        </is>
      </c>
      <c r="X602" s="1221" t="n">
        <v>500</v>
      </c>
      <c r="Y602" s="1222">
        <f>IFERROR(IF(X602="",0,CEILING((X602/$H602),1)*$H602),"")</f>
        <v/>
      </c>
      <c r="Z602" s="36">
        <f>IFERROR(IF(Y602=0,"",ROUNDUP(Y602/H602,0)*0.02175),"")</f>
        <v/>
      </c>
      <c r="AA602" s="56" t="n"/>
      <c r="AB602" s="57" t="n"/>
      <c r="AC602" s="701" t="inlineStr">
        <is>
          <t>ЕАЭС N RU Д-RU.РА05.В.95257/23</t>
        </is>
      </c>
      <c r="AG602" s="64" t="n"/>
      <c r="AJ602" s="68" t="n"/>
      <c r="AK602" s="68" t="n">
        <v>0</v>
      </c>
      <c r="BB602" s="702" t="inlineStr">
        <is>
          <t>КИ</t>
        </is>
      </c>
      <c r="BM602" s="64">
        <f>IFERROR(X602*I602/H602,"0")</f>
        <v/>
      </c>
      <c r="BN602" s="64">
        <f>IFERROR(Y602*I602/H602,"0")</f>
        <v/>
      </c>
      <c r="BO602" s="64">
        <f>IFERROR(1/J602*(X602/H602),"0")</f>
        <v/>
      </c>
      <c r="BP602" s="64">
        <f>IFERROR(1/J602*(Y602/H602),"0")</f>
        <v/>
      </c>
    </row>
    <row r="603" ht="27" customHeight="1">
      <c r="A603" s="54" t="inlineStr">
        <is>
          <t>SU003289</t>
        </is>
      </c>
      <c r="B603" s="54" t="inlineStr">
        <is>
          <t>P003999</t>
        </is>
      </c>
      <c r="C603" s="31" t="n">
        <v>4301011762</v>
      </c>
      <c r="D603" s="782" t="n">
        <v>4640242180922</v>
      </c>
      <c r="E603" s="783" t="n"/>
      <c r="F603" s="1220" t="n">
        <v>1.35</v>
      </c>
      <c r="G603" s="32" t="n">
        <v>8</v>
      </c>
      <c r="H603" s="1220" t="n">
        <v>10.8</v>
      </c>
      <c r="I603" s="1220" t="n">
        <v>11.28</v>
      </c>
      <c r="J603" s="32" t="n">
        <v>56</v>
      </c>
      <c r="K603" s="32" t="inlineStr">
        <is>
          <t>8</t>
        </is>
      </c>
      <c r="L603" s="32" t="n"/>
      <c r="M603" s="33" t="inlineStr">
        <is>
          <t>СК1</t>
        </is>
      </c>
      <c r="N603" s="33" t="n"/>
      <c r="O603" s="32" t="n">
        <v>55</v>
      </c>
      <c r="P603" s="855" t="inlineStr">
        <is>
          <t>Вареные колбасы «Нежная со шпиком» Весовой п/а ТМ «Зареченские»</t>
        </is>
      </c>
      <c r="Q603" s="785" t="n"/>
      <c r="R603" s="785" t="n"/>
      <c r="S603" s="785" t="n"/>
      <c r="T603" s="786" t="n"/>
      <c r="U603" s="34" t="n"/>
      <c r="V603" s="34" t="n"/>
      <c r="W603" s="35" t="inlineStr">
        <is>
          <t>кг</t>
        </is>
      </c>
      <c r="X603" s="1221" t="n">
        <v>0</v>
      </c>
      <c r="Y603" s="1222">
        <f>IFERROR(IF(X603="",0,CEILING((X603/$H603),1)*$H603),"")</f>
        <v/>
      </c>
      <c r="Z603" s="36">
        <f>IFERROR(IF(Y603=0,"",ROUNDUP(Y603/H603,0)*0.02175),"")</f>
        <v/>
      </c>
      <c r="AA603" s="56" t="n"/>
      <c r="AB603" s="57" t="n"/>
      <c r="AC603" s="703" t="inlineStr">
        <is>
          <t>ЕАЭС N RU Д-RU.РА10.В.53840/23</t>
        </is>
      </c>
      <c r="AG603" s="64" t="n"/>
      <c r="AJ603" s="68" t="n"/>
      <c r="AK603" s="68" t="n">
        <v>0</v>
      </c>
      <c r="BB603" s="704" t="inlineStr">
        <is>
          <t>КИ</t>
        </is>
      </c>
      <c r="BM603" s="64">
        <f>IFERROR(X603*I603/H603,"0")</f>
        <v/>
      </c>
      <c r="BN603" s="64">
        <f>IFERROR(Y603*I603/H603,"0")</f>
        <v/>
      </c>
      <c r="BO603" s="64">
        <f>IFERROR(1/J603*(X603/H603),"0")</f>
        <v/>
      </c>
      <c r="BP603" s="64">
        <f>IFERROR(1/J603*(Y603/H603),"0")</f>
        <v/>
      </c>
    </row>
    <row r="604" ht="27" customHeight="1">
      <c r="A604" s="54" t="inlineStr">
        <is>
          <t>SU003296</t>
        </is>
      </c>
      <c r="B604" s="54" t="inlineStr">
        <is>
          <t>P004002</t>
        </is>
      </c>
      <c r="C604" s="31" t="n">
        <v>4301011764</v>
      </c>
      <c r="D604" s="782" t="n">
        <v>4640242181189</v>
      </c>
      <c r="E604" s="783" t="n"/>
      <c r="F604" s="1220" t="n">
        <v>0.4</v>
      </c>
      <c r="G604" s="32" t="n">
        <v>10</v>
      </c>
      <c r="H604" s="1220" t="n">
        <v>4</v>
      </c>
      <c r="I604" s="1220" t="n">
        <v>4.21</v>
      </c>
      <c r="J604" s="32" t="n">
        <v>132</v>
      </c>
      <c r="K604" s="32" t="inlineStr">
        <is>
          <t>12</t>
        </is>
      </c>
      <c r="L604" s="32" t="n"/>
      <c r="M604" s="33" t="inlineStr">
        <is>
          <t>СК3</t>
        </is>
      </c>
      <c r="N604" s="33" t="n"/>
      <c r="O604" s="32" t="n">
        <v>55</v>
      </c>
      <c r="P604" s="1003" t="inlineStr">
        <is>
          <t>Вареные колбасы «Молочная» Фикс.вес 0,4 п/а ТМ «Зареченские»</t>
        </is>
      </c>
      <c r="Q604" s="785" t="n"/>
      <c r="R604" s="785" t="n"/>
      <c r="S604" s="785" t="n"/>
      <c r="T604" s="786" t="n"/>
      <c r="U604" s="34" t="n"/>
      <c r="V604" s="34" t="n"/>
      <c r="W604" s="35" t="inlineStr">
        <is>
          <t>кг</t>
        </is>
      </c>
      <c r="X604" s="1221" t="n">
        <v>0</v>
      </c>
      <c r="Y604" s="1222">
        <f>IFERROR(IF(X604="",0,CEILING((X604/$H604),1)*$H604),"")</f>
        <v/>
      </c>
      <c r="Z604" s="36">
        <f>IFERROR(IF(Y604=0,"",ROUNDUP(Y604/H604,0)*0.00902),"")</f>
        <v/>
      </c>
      <c r="AA604" s="56" t="n"/>
      <c r="AB604" s="57" t="n"/>
      <c r="AC604" s="705" t="inlineStr">
        <is>
          <t>ЕАЭС N RU Д-RU.РА10.В.50054/23</t>
        </is>
      </c>
      <c r="AG604" s="64" t="n"/>
      <c r="AJ604" s="68" t="n"/>
      <c r="AK604" s="68" t="n">
        <v>0</v>
      </c>
      <c r="BB604" s="706" t="inlineStr">
        <is>
          <t>КИ</t>
        </is>
      </c>
      <c r="BM604" s="64">
        <f>IFERROR(X604*I604/H604,"0")</f>
        <v/>
      </c>
      <c r="BN604" s="64">
        <f>IFERROR(Y604*I604/H604,"0")</f>
        <v/>
      </c>
      <c r="BO604" s="64">
        <f>IFERROR(1/J604*(X604/H604),"0")</f>
        <v/>
      </c>
      <c r="BP604" s="64">
        <f>IFERROR(1/J604*(Y604/H604),"0")</f>
        <v/>
      </c>
    </row>
    <row r="605" ht="27" customHeight="1">
      <c r="A605" s="54" t="inlineStr">
        <is>
          <t>SU002974</t>
        </is>
      </c>
      <c r="B605" s="54" t="inlineStr">
        <is>
          <t>P003426</t>
        </is>
      </c>
      <c r="C605" s="31" t="n">
        <v>4301011551</v>
      </c>
      <c r="D605" s="782" t="n">
        <v>4640242180038</v>
      </c>
      <c r="E605" s="783" t="n"/>
      <c r="F605" s="1220" t="n">
        <v>0.4</v>
      </c>
      <c r="G605" s="32" t="n">
        <v>10</v>
      </c>
      <c r="H605" s="1220" t="n">
        <v>4</v>
      </c>
      <c r="I605" s="1220" t="n">
        <v>4.21</v>
      </c>
      <c r="J605" s="32" t="n">
        <v>132</v>
      </c>
      <c r="K605" s="32" t="inlineStr">
        <is>
          <t>12</t>
        </is>
      </c>
      <c r="L605" s="32" t="n"/>
      <c r="M605" s="33" t="inlineStr">
        <is>
          <t>СК1</t>
        </is>
      </c>
      <c r="N605" s="33" t="n"/>
      <c r="O605" s="32" t="n">
        <v>50</v>
      </c>
      <c r="P605" s="960" t="inlineStr">
        <is>
          <t>Вареные колбасы «Нежная» ф/в 0,4 п/а ТМ «Зареченские»</t>
        </is>
      </c>
      <c r="Q605" s="785" t="n"/>
      <c r="R605" s="785" t="n"/>
      <c r="S605" s="785" t="n"/>
      <c r="T605" s="786" t="n"/>
      <c r="U605" s="34" t="n"/>
      <c r="V605" s="34" t="n"/>
      <c r="W605" s="35" t="inlineStr">
        <is>
          <t>кг</t>
        </is>
      </c>
      <c r="X605" s="1221" t="n">
        <v>0</v>
      </c>
      <c r="Y605" s="1222">
        <f>IFERROR(IF(X605="",0,CEILING((X605/$H605),1)*$H605),"")</f>
        <v/>
      </c>
      <c r="Z605" s="36">
        <f>IFERROR(IF(Y605=0,"",ROUNDUP(Y605/H605,0)*0.00902),"")</f>
        <v/>
      </c>
      <c r="AA605" s="56" t="n"/>
      <c r="AB605" s="57" t="n"/>
      <c r="AC605" s="707" t="inlineStr">
        <is>
          <t>ЕАЭС N RU Д-RU.РА05.В.95257/23</t>
        </is>
      </c>
      <c r="AG605" s="64" t="n"/>
      <c r="AJ605" s="68" t="n"/>
      <c r="AK605" s="68" t="n">
        <v>0</v>
      </c>
      <c r="BB605" s="708" t="inlineStr">
        <is>
          <t>КИ</t>
        </is>
      </c>
      <c r="BM605" s="64">
        <f>IFERROR(X605*I605/H605,"0")</f>
        <v/>
      </c>
      <c r="BN605" s="64">
        <f>IFERROR(Y605*I605/H605,"0")</f>
        <v/>
      </c>
      <c r="BO605" s="64">
        <f>IFERROR(1/J605*(X605/H605),"0")</f>
        <v/>
      </c>
      <c r="BP605" s="64">
        <f>IFERROR(1/J605*(Y605/H605),"0")</f>
        <v/>
      </c>
    </row>
    <row r="606" ht="27" customHeight="1">
      <c r="A606" s="54" t="inlineStr">
        <is>
          <t>SU003295</t>
        </is>
      </c>
      <c r="B606" s="54" t="inlineStr">
        <is>
          <t>P004004</t>
        </is>
      </c>
      <c r="C606" s="31" t="n">
        <v>4301011765</v>
      </c>
      <c r="D606" s="782" t="n">
        <v>4640242181172</v>
      </c>
      <c r="E606" s="783" t="n"/>
      <c r="F606" s="1220" t="n">
        <v>0.4</v>
      </c>
      <c r="G606" s="32" t="n">
        <v>10</v>
      </c>
      <c r="H606" s="1220" t="n">
        <v>4</v>
      </c>
      <c r="I606" s="1220" t="n">
        <v>4.21</v>
      </c>
      <c r="J606" s="32" t="n">
        <v>132</v>
      </c>
      <c r="K606" s="32" t="inlineStr">
        <is>
          <t>12</t>
        </is>
      </c>
      <c r="L606" s="32" t="n"/>
      <c r="M606" s="33" t="inlineStr">
        <is>
          <t>СК1</t>
        </is>
      </c>
      <c r="N606" s="33" t="n"/>
      <c r="O606" s="32" t="n">
        <v>55</v>
      </c>
      <c r="P606" s="1057" t="inlineStr">
        <is>
          <t>Вареные колбасы «Нежная со шпиком» Фикс.вес 0,4 п/а ТМ «Зареченские»</t>
        </is>
      </c>
      <c r="Q606" s="785" t="n"/>
      <c r="R606" s="785" t="n"/>
      <c r="S606" s="785" t="n"/>
      <c r="T606" s="786" t="n"/>
      <c r="U606" s="34" t="n"/>
      <c r="V606" s="34" t="n"/>
      <c r="W606" s="35" t="inlineStr">
        <is>
          <t>кг</t>
        </is>
      </c>
      <c r="X606" s="1221" t="n">
        <v>0</v>
      </c>
      <c r="Y606" s="1222">
        <f>IFERROR(IF(X606="",0,CEILING((X606/$H606),1)*$H606),"")</f>
        <v/>
      </c>
      <c r="Z606" s="36">
        <f>IFERROR(IF(Y606=0,"",ROUNDUP(Y606/H606,0)*0.00902),"")</f>
        <v/>
      </c>
      <c r="AA606" s="56" t="n"/>
      <c r="AB606" s="57" t="n"/>
      <c r="AC606" s="709" t="inlineStr">
        <is>
          <t>ЕАЭС N RU Д-RU.РА10.В.53840/23</t>
        </is>
      </c>
      <c r="AG606" s="64" t="n"/>
      <c r="AJ606" s="68" t="n"/>
      <c r="AK606" s="68" t="n">
        <v>0</v>
      </c>
      <c r="BB606" s="710" t="inlineStr">
        <is>
          <t>КИ</t>
        </is>
      </c>
      <c r="BM606" s="64">
        <f>IFERROR(X606*I606/H606,"0")</f>
        <v/>
      </c>
      <c r="BN606" s="64">
        <f>IFERROR(Y606*I606/H606,"0")</f>
        <v/>
      </c>
      <c r="BO606" s="64">
        <f>IFERROR(1/J606*(X606/H606),"0")</f>
        <v/>
      </c>
      <c r="BP606" s="64">
        <f>IFERROR(1/J606*(Y606/H606),"0")</f>
        <v/>
      </c>
    </row>
    <row r="607">
      <c r="A607" s="801" t="n"/>
      <c r="B607" s="800" t="n"/>
      <c r="C607" s="800" t="n"/>
      <c r="D607" s="800" t="n"/>
      <c r="E607" s="800" t="n"/>
      <c r="F607" s="800" t="n"/>
      <c r="G607" s="800" t="n"/>
      <c r="H607" s="800" t="n"/>
      <c r="I607" s="800" t="n"/>
      <c r="J607" s="800" t="n"/>
      <c r="K607" s="800" t="n"/>
      <c r="L607" s="800" t="n"/>
      <c r="M607" s="800" t="n"/>
      <c r="N607" s="800" t="n"/>
      <c r="O607" s="802" t="n"/>
      <c r="P607" s="796" t="inlineStr">
        <is>
          <t>Итого</t>
        </is>
      </c>
      <c r="Q607" s="793" t="n"/>
      <c r="R607" s="793" t="n"/>
      <c r="S607" s="793" t="n"/>
      <c r="T607" s="793" t="n"/>
      <c r="U607" s="793" t="n"/>
      <c r="V607" s="794" t="n"/>
      <c r="W607" s="37" t="inlineStr">
        <is>
          <t>кор</t>
        </is>
      </c>
      <c r="X607" s="1223">
        <f>IFERROR(X600/H600,"0")+IFERROR(X601/H601,"0")+IFERROR(X602/H602,"0")+IFERROR(X603/H603,"0")+IFERROR(X604/H604,"0")+IFERROR(X605/H605,"0")+IFERROR(X606/H606,"0")</f>
        <v/>
      </c>
      <c r="Y607" s="1223">
        <f>IFERROR(Y600/H600,"0")+IFERROR(Y601/H601,"0")+IFERROR(Y602/H602,"0")+IFERROR(Y603/H603,"0")+IFERROR(Y604/H604,"0")+IFERROR(Y605/H605,"0")+IFERROR(Y606/H606,"0")</f>
        <v/>
      </c>
      <c r="Z607" s="1223">
        <f>IFERROR(IF(Z600="",0,Z600),"0")+IFERROR(IF(Z601="",0,Z601),"0")+IFERROR(IF(Z602="",0,Z602),"0")+IFERROR(IF(Z603="",0,Z603),"0")+IFERROR(IF(Z604="",0,Z604),"0")+IFERROR(IF(Z605="",0,Z605),"0")+IFERROR(IF(Z606="",0,Z606),"0")</f>
        <v/>
      </c>
      <c r="AA607" s="1224" t="n"/>
      <c r="AB607" s="1224" t="n"/>
      <c r="AC607" s="1224" t="n"/>
    </row>
    <row r="608">
      <c r="A608" s="800" t="n"/>
      <c r="B608" s="800" t="n"/>
      <c r="C608" s="800" t="n"/>
      <c r="D608" s="800" t="n"/>
      <c r="E608" s="800" t="n"/>
      <c r="F608" s="800" t="n"/>
      <c r="G608" s="800" t="n"/>
      <c r="H608" s="800" t="n"/>
      <c r="I608" s="800" t="n"/>
      <c r="J608" s="800" t="n"/>
      <c r="K608" s="800" t="n"/>
      <c r="L608" s="800" t="n"/>
      <c r="M608" s="800" t="n"/>
      <c r="N608" s="800" t="n"/>
      <c r="O608" s="802" t="n"/>
      <c r="P608" s="796" t="inlineStr">
        <is>
          <t>Итого</t>
        </is>
      </c>
      <c r="Q608" s="793" t="n"/>
      <c r="R608" s="793" t="n"/>
      <c r="S608" s="793" t="n"/>
      <c r="T608" s="793" t="n"/>
      <c r="U608" s="793" t="n"/>
      <c r="V608" s="794" t="n"/>
      <c r="W608" s="37" t="inlineStr">
        <is>
          <t>кг</t>
        </is>
      </c>
      <c r="X608" s="1223">
        <f>IFERROR(SUM(X600:X606),"0")</f>
        <v/>
      </c>
      <c r="Y608" s="1223">
        <f>IFERROR(SUM(Y600:Y606),"0")</f>
        <v/>
      </c>
      <c r="Z608" s="37" t="n"/>
      <c r="AA608" s="1224" t="n"/>
      <c r="AB608" s="1224" t="n"/>
      <c r="AC608" s="1224" t="n"/>
    </row>
    <row r="609" ht="14.25" customHeight="1">
      <c r="A609" s="799" t="inlineStr">
        <is>
          <t>Ветчины</t>
        </is>
      </c>
      <c r="B609" s="800" t="n"/>
      <c r="C609" s="800" t="n"/>
      <c r="D609" s="800" t="n"/>
      <c r="E609" s="800" t="n"/>
      <c r="F609" s="800" t="n"/>
      <c r="G609" s="800" t="n"/>
      <c r="H609" s="800" t="n"/>
      <c r="I609" s="800" t="n"/>
      <c r="J609" s="800" t="n"/>
      <c r="K609" s="800" t="n"/>
      <c r="L609" s="800" t="n"/>
      <c r="M609" s="800" t="n"/>
      <c r="N609" s="800" t="n"/>
      <c r="O609" s="800" t="n"/>
      <c r="P609" s="800" t="n"/>
      <c r="Q609" s="800" t="n"/>
      <c r="R609" s="800" t="n"/>
      <c r="S609" s="800" t="n"/>
      <c r="T609" s="800" t="n"/>
      <c r="U609" s="800" t="n"/>
      <c r="V609" s="800" t="n"/>
      <c r="W609" s="800" t="n"/>
      <c r="X609" s="800" t="n"/>
      <c r="Y609" s="800" t="n"/>
      <c r="Z609" s="800" t="n"/>
      <c r="AA609" s="799" t="n"/>
      <c r="AB609" s="799" t="n"/>
      <c r="AC609" s="799" t="n"/>
    </row>
    <row r="610" ht="16.5" customHeight="1">
      <c r="A610" s="54" t="inlineStr">
        <is>
          <t>SU002806</t>
        </is>
      </c>
      <c r="B610" s="54" t="inlineStr">
        <is>
          <t>P003591</t>
        </is>
      </c>
      <c r="C610" s="31" t="n">
        <v>4301020269</v>
      </c>
      <c r="D610" s="782" t="n">
        <v>4640242180519</v>
      </c>
      <c r="E610" s="783" t="n"/>
      <c r="F610" s="1220" t="n">
        <v>1.35</v>
      </c>
      <c r="G610" s="32" t="n">
        <v>8</v>
      </c>
      <c r="H610" s="1220" t="n">
        <v>10.8</v>
      </c>
      <c r="I610" s="1220" t="n">
        <v>11.28</v>
      </c>
      <c r="J610" s="32" t="n">
        <v>56</v>
      </c>
      <c r="K610" s="32" t="inlineStr">
        <is>
          <t>8</t>
        </is>
      </c>
      <c r="L610" s="32" t="n"/>
      <c r="M610" s="33" t="inlineStr">
        <is>
          <t>СК3</t>
        </is>
      </c>
      <c r="N610" s="33" t="n"/>
      <c r="O610" s="32" t="n">
        <v>50</v>
      </c>
      <c r="P610" s="1102" t="inlineStr">
        <is>
          <t>Ветчины «Нежная» Весовой п/а ТМ «Зареченские»</t>
        </is>
      </c>
      <c r="Q610" s="785" t="n"/>
      <c r="R610" s="785" t="n"/>
      <c r="S610" s="785" t="n"/>
      <c r="T610" s="786" t="n"/>
      <c r="U610" s="34" t="n"/>
      <c r="V610" s="34" t="n"/>
      <c r="W610" s="35" t="inlineStr">
        <is>
          <t>кг</t>
        </is>
      </c>
      <c r="X610" s="1221" t="n">
        <v>0</v>
      </c>
      <c r="Y610" s="1222">
        <f>IFERROR(IF(X610="",0,CEILING((X610/$H610),1)*$H610),"")</f>
        <v/>
      </c>
      <c r="Z610" s="36">
        <f>IFERROR(IF(Y610=0,"",ROUNDUP(Y610/H610,0)*0.02175),"")</f>
        <v/>
      </c>
      <c r="AA610" s="56" t="n"/>
      <c r="AB610" s="57" t="n"/>
      <c r="AC610" s="711" t="inlineStr">
        <is>
          <t>ЕАЭС № RU Д-RU.РА01.В.93655/20</t>
        </is>
      </c>
      <c r="AG610" s="64" t="n"/>
      <c r="AJ610" s="68" t="n"/>
      <c r="AK610" s="68" t="n">
        <v>0</v>
      </c>
      <c r="BB610" s="712" t="inlineStr">
        <is>
          <t>КИ</t>
        </is>
      </c>
      <c r="BM610" s="64">
        <f>IFERROR(X610*I610/H610,"0")</f>
        <v/>
      </c>
      <c r="BN610" s="64">
        <f>IFERROR(Y610*I610/H610,"0")</f>
        <v/>
      </c>
      <c r="BO610" s="64">
        <f>IFERROR(1/J610*(X610/H610),"0")</f>
        <v/>
      </c>
      <c r="BP610" s="64">
        <f>IFERROR(1/J610*(Y610/H610),"0")</f>
        <v/>
      </c>
    </row>
    <row r="611" ht="27" customHeight="1">
      <c r="A611" s="54" t="inlineStr">
        <is>
          <t>SU002811</t>
        </is>
      </c>
      <c r="B611" s="54" t="inlineStr">
        <is>
          <t>P003588</t>
        </is>
      </c>
      <c r="C611" s="31" t="n">
        <v>4301020260</v>
      </c>
      <c r="D611" s="782" t="n">
        <v>4640242180526</v>
      </c>
      <c r="E611" s="783" t="n"/>
      <c r="F611" s="1220" t="n">
        <v>1.8</v>
      </c>
      <c r="G611" s="32" t="n">
        <v>6</v>
      </c>
      <c r="H611" s="1220" t="n">
        <v>10.8</v>
      </c>
      <c r="I611" s="1220" t="n">
        <v>11.28</v>
      </c>
      <c r="J611" s="32" t="n">
        <v>56</v>
      </c>
      <c r="K611" s="32" t="inlineStr">
        <is>
          <t>8</t>
        </is>
      </c>
      <c r="L611" s="32" t="n"/>
      <c r="M611" s="33" t="inlineStr">
        <is>
          <t>СК1</t>
        </is>
      </c>
      <c r="N611" s="33" t="n"/>
      <c r="O611" s="32" t="n">
        <v>50</v>
      </c>
      <c r="P611" s="1011" t="inlineStr">
        <is>
          <t>Ветчины «Нежная» Весовой п/а ТМ «Зареченские» большой батон</t>
        </is>
      </c>
      <c r="Q611" s="785" t="n"/>
      <c r="R611" s="785" t="n"/>
      <c r="S611" s="785" t="n"/>
      <c r="T611" s="786" t="n"/>
      <c r="U611" s="34" t="n"/>
      <c r="V611" s="34" t="n"/>
      <c r="W611" s="35" t="inlineStr">
        <is>
          <t>кг</t>
        </is>
      </c>
      <c r="X611" s="1221" t="n">
        <v>0</v>
      </c>
      <c r="Y611" s="1222">
        <f>IFERROR(IF(X611="",0,CEILING((X611/$H611),1)*$H611),"")</f>
        <v/>
      </c>
      <c r="Z611" s="36">
        <f>IFERROR(IF(Y611=0,"",ROUNDUP(Y611/H611,0)*0.02175),"")</f>
        <v/>
      </c>
      <c r="AA611" s="56" t="n"/>
      <c r="AB611" s="57" t="n"/>
      <c r="AC611" s="713" t="inlineStr">
        <is>
          <t>ЕАЭС № RU Д-RU.РА01.В.93655/20</t>
        </is>
      </c>
      <c r="AG611" s="64" t="n"/>
      <c r="AJ611" s="68" t="n"/>
      <c r="AK611" s="68" t="n">
        <v>0</v>
      </c>
      <c r="BB611" s="714" t="inlineStr">
        <is>
          <t>КИ</t>
        </is>
      </c>
      <c r="BM611" s="64">
        <f>IFERROR(X611*I611/H611,"0")</f>
        <v/>
      </c>
      <c r="BN611" s="64">
        <f>IFERROR(Y611*I611/H611,"0")</f>
        <v/>
      </c>
      <c r="BO611" s="64">
        <f>IFERROR(1/J611*(X611/H611),"0")</f>
        <v/>
      </c>
      <c r="BP611" s="64">
        <f>IFERROR(1/J611*(Y611/H611),"0")</f>
        <v/>
      </c>
    </row>
    <row r="612" ht="27" customHeight="1">
      <c r="A612" s="54" t="inlineStr">
        <is>
          <t>SU003398</t>
        </is>
      </c>
      <c r="B612" s="54" t="inlineStr">
        <is>
          <t>P004217</t>
        </is>
      </c>
      <c r="C612" s="31" t="n">
        <v>4301020309</v>
      </c>
      <c r="D612" s="782" t="n">
        <v>4640242180090</v>
      </c>
      <c r="E612" s="783" t="n"/>
      <c r="F612" s="1220" t="n">
        <v>1.35</v>
      </c>
      <c r="G612" s="32" t="n">
        <v>8</v>
      </c>
      <c r="H612" s="1220" t="n">
        <v>10.8</v>
      </c>
      <c r="I612" s="1220" t="n">
        <v>11.28</v>
      </c>
      <c r="J612" s="32" t="n">
        <v>56</v>
      </c>
      <c r="K612" s="32" t="inlineStr">
        <is>
          <t>8</t>
        </is>
      </c>
      <c r="L612" s="32" t="n"/>
      <c r="M612" s="33" t="inlineStr">
        <is>
          <t>СК1</t>
        </is>
      </c>
      <c r="N612" s="33" t="n"/>
      <c r="O612" s="32" t="n">
        <v>50</v>
      </c>
      <c r="P612" s="999" t="inlineStr">
        <is>
          <t>Ветчины «Рубленая» Весовой п/а ТМ «Зареченские»</t>
        </is>
      </c>
      <c r="Q612" s="785" t="n"/>
      <c r="R612" s="785" t="n"/>
      <c r="S612" s="785" t="n"/>
      <c r="T612" s="786" t="n"/>
      <c r="U612" s="34" t="n"/>
      <c r="V612" s="34" t="n"/>
      <c r="W612" s="35" t="inlineStr">
        <is>
          <t>кг</t>
        </is>
      </c>
      <c r="X612" s="1221" t="n">
        <v>0</v>
      </c>
      <c r="Y612" s="1222">
        <f>IFERROR(IF(X612="",0,CEILING((X612/$H612),1)*$H612),"")</f>
        <v/>
      </c>
      <c r="Z612" s="36">
        <f>IFERROR(IF(Y612=0,"",ROUNDUP(Y612/H612,0)*0.02175),"")</f>
        <v/>
      </c>
      <c r="AA612" s="56" t="n"/>
      <c r="AB612" s="57" t="n"/>
      <c r="AC612" s="715" t="inlineStr">
        <is>
          <t>ЕАЭС N RU Д-RU.РА01.В.73138/24</t>
        </is>
      </c>
      <c r="AG612" s="64" t="n"/>
      <c r="AJ612" s="68" t="n"/>
      <c r="AK612" s="68" t="n">
        <v>0</v>
      </c>
      <c r="BB612" s="716" t="inlineStr">
        <is>
          <t>КИ</t>
        </is>
      </c>
      <c r="BM612" s="64">
        <f>IFERROR(X612*I612/H612,"0")</f>
        <v/>
      </c>
      <c r="BN612" s="64">
        <f>IFERROR(Y612*I612/H612,"0")</f>
        <v/>
      </c>
      <c r="BO612" s="64">
        <f>IFERROR(1/J612*(X612/H612),"0")</f>
        <v/>
      </c>
      <c r="BP612" s="64">
        <f>IFERROR(1/J612*(Y612/H612),"0")</f>
        <v/>
      </c>
    </row>
    <row r="613" ht="27" customHeight="1">
      <c r="A613" s="54" t="inlineStr">
        <is>
          <t>SU003298</t>
        </is>
      </c>
      <c r="B613" s="54" t="inlineStr">
        <is>
          <t>P004003</t>
        </is>
      </c>
      <c r="C613" s="31" t="n">
        <v>4301020295</v>
      </c>
      <c r="D613" s="782" t="n">
        <v>4640242181363</v>
      </c>
      <c r="E613" s="783" t="n"/>
      <c r="F613" s="1220" t="n">
        <v>0.4</v>
      </c>
      <c r="G613" s="32" t="n">
        <v>10</v>
      </c>
      <c r="H613" s="1220" t="n">
        <v>4</v>
      </c>
      <c r="I613" s="1220" t="n">
        <v>4.21</v>
      </c>
      <c r="J613" s="32" t="n">
        <v>132</v>
      </c>
      <c r="K613" s="32" t="inlineStr">
        <is>
          <t>12</t>
        </is>
      </c>
      <c r="L613" s="32" t="n"/>
      <c r="M613" s="33" t="inlineStr">
        <is>
          <t>СК1</t>
        </is>
      </c>
      <c r="N613" s="33" t="n"/>
      <c r="O613" s="32" t="n">
        <v>50</v>
      </c>
      <c r="P613" s="1212" t="inlineStr">
        <is>
          <t>Ветчины «Рубленая» Фикс.вес 0,4 п/а ТМ «Зареченские»</t>
        </is>
      </c>
      <c r="Q613" s="785" t="n"/>
      <c r="R613" s="785" t="n"/>
      <c r="S613" s="785" t="n"/>
      <c r="T613" s="786" t="n"/>
      <c r="U613" s="34" t="n"/>
      <c r="V613" s="34" t="n"/>
      <c r="W613" s="35" t="inlineStr">
        <is>
          <t>кг</t>
        </is>
      </c>
      <c r="X613" s="1221" t="n">
        <v>0</v>
      </c>
      <c r="Y613" s="1222">
        <f>IFERROR(IF(X613="",0,CEILING((X613/$H613),1)*$H613),"")</f>
        <v/>
      </c>
      <c r="Z613" s="36">
        <f>IFERROR(IF(Y613=0,"",ROUNDUP(Y613/H613,0)*0.00902),"")</f>
        <v/>
      </c>
      <c r="AA613" s="56" t="n"/>
      <c r="AB613" s="57" t="n"/>
      <c r="AC613" s="717" t="inlineStr">
        <is>
          <t>ЕАЭС N RU Д-RU.РА01.В.73138/24</t>
        </is>
      </c>
      <c r="AG613" s="64" t="n"/>
      <c r="AJ613" s="68" t="n"/>
      <c r="AK613" s="68" t="n">
        <v>0</v>
      </c>
      <c r="BB613" s="718" t="inlineStr">
        <is>
          <t>КИ</t>
        </is>
      </c>
      <c r="BM613" s="64">
        <f>IFERROR(X613*I613/H613,"0")</f>
        <v/>
      </c>
      <c r="BN613" s="64">
        <f>IFERROR(Y613*I613/H613,"0")</f>
        <v/>
      </c>
      <c r="BO613" s="64">
        <f>IFERROR(1/J613*(X613/H613),"0")</f>
        <v/>
      </c>
      <c r="BP613" s="64">
        <f>IFERROR(1/J613*(Y613/H613),"0")</f>
        <v/>
      </c>
    </row>
    <row r="614">
      <c r="A614" s="801" t="n"/>
      <c r="B614" s="800" t="n"/>
      <c r="C614" s="800" t="n"/>
      <c r="D614" s="800" t="n"/>
      <c r="E614" s="800" t="n"/>
      <c r="F614" s="800" t="n"/>
      <c r="G614" s="800" t="n"/>
      <c r="H614" s="800" t="n"/>
      <c r="I614" s="800" t="n"/>
      <c r="J614" s="800" t="n"/>
      <c r="K614" s="800" t="n"/>
      <c r="L614" s="800" t="n"/>
      <c r="M614" s="800" t="n"/>
      <c r="N614" s="800" t="n"/>
      <c r="O614" s="802" t="n"/>
      <c r="P614" s="796" t="inlineStr">
        <is>
          <t>Итого</t>
        </is>
      </c>
      <c r="Q614" s="793" t="n"/>
      <c r="R614" s="793" t="n"/>
      <c r="S614" s="793" t="n"/>
      <c r="T614" s="793" t="n"/>
      <c r="U614" s="793" t="n"/>
      <c r="V614" s="794" t="n"/>
      <c r="W614" s="37" t="inlineStr">
        <is>
          <t>кор</t>
        </is>
      </c>
      <c r="X614" s="1223">
        <f>IFERROR(X610/H610,"0")+IFERROR(X611/H611,"0")+IFERROR(X612/H612,"0")+IFERROR(X613/H613,"0")</f>
        <v/>
      </c>
      <c r="Y614" s="1223">
        <f>IFERROR(Y610/H610,"0")+IFERROR(Y611/H611,"0")+IFERROR(Y612/H612,"0")+IFERROR(Y613/H613,"0")</f>
        <v/>
      </c>
      <c r="Z614" s="1223">
        <f>IFERROR(IF(Z610="",0,Z610),"0")+IFERROR(IF(Z611="",0,Z611),"0")+IFERROR(IF(Z612="",0,Z612),"0")+IFERROR(IF(Z613="",0,Z613),"0")</f>
        <v/>
      </c>
      <c r="AA614" s="1224" t="n"/>
      <c r="AB614" s="1224" t="n"/>
      <c r="AC614" s="1224" t="n"/>
    </row>
    <row r="615">
      <c r="A615" s="800" t="n"/>
      <c r="B615" s="800" t="n"/>
      <c r="C615" s="800" t="n"/>
      <c r="D615" s="800" t="n"/>
      <c r="E615" s="800" t="n"/>
      <c r="F615" s="800" t="n"/>
      <c r="G615" s="800" t="n"/>
      <c r="H615" s="800" t="n"/>
      <c r="I615" s="800" t="n"/>
      <c r="J615" s="800" t="n"/>
      <c r="K615" s="800" t="n"/>
      <c r="L615" s="800" t="n"/>
      <c r="M615" s="800" t="n"/>
      <c r="N615" s="800" t="n"/>
      <c r="O615" s="802" t="n"/>
      <c r="P615" s="796" t="inlineStr">
        <is>
          <t>Итого</t>
        </is>
      </c>
      <c r="Q615" s="793" t="n"/>
      <c r="R615" s="793" t="n"/>
      <c r="S615" s="793" t="n"/>
      <c r="T615" s="793" t="n"/>
      <c r="U615" s="793" t="n"/>
      <c r="V615" s="794" t="n"/>
      <c r="W615" s="37" t="inlineStr">
        <is>
          <t>кг</t>
        </is>
      </c>
      <c r="X615" s="1223">
        <f>IFERROR(SUM(X610:X613),"0")</f>
        <v/>
      </c>
      <c r="Y615" s="1223">
        <f>IFERROR(SUM(Y610:Y613),"0")</f>
        <v/>
      </c>
      <c r="Z615" s="37" t="n"/>
      <c r="AA615" s="1224" t="n"/>
      <c r="AB615" s="1224" t="n"/>
      <c r="AC615" s="1224" t="n"/>
    </row>
    <row r="616" ht="14.25" customHeight="1">
      <c r="A616" s="799" t="inlineStr">
        <is>
          <t>Копченые колбасы</t>
        </is>
      </c>
      <c r="B616" s="800" t="n"/>
      <c r="C616" s="800" t="n"/>
      <c r="D616" s="800" t="n"/>
      <c r="E616" s="800" t="n"/>
      <c r="F616" s="800" t="n"/>
      <c r="G616" s="800" t="n"/>
      <c r="H616" s="800" t="n"/>
      <c r="I616" s="800" t="n"/>
      <c r="J616" s="800" t="n"/>
      <c r="K616" s="800" t="n"/>
      <c r="L616" s="800" t="n"/>
      <c r="M616" s="800" t="n"/>
      <c r="N616" s="800" t="n"/>
      <c r="O616" s="800" t="n"/>
      <c r="P616" s="800" t="n"/>
      <c r="Q616" s="800" t="n"/>
      <c r="R616" s="800" t="n"/>
      <c r="S616" s="800" t="n"/>
      <c r="T616" s="800" t="n"/>
      <c r="U616" s="800" t="n"/>
      <c r="V616" s="800" t="n"/>
      <c r="W616" s="800" t="n"/>
      <c r="X616" s="800" t="n"/>
      <c r="Y616" s="800" t="n"/>
      <c r="Z616" s="800" t="n"/>
      <c r="AA616" s="799" t="n"/>
      <c r="AB616" s="799" t="n"/>
      <c r="AC616" s="799" t="n"/>
    </row>
    <row r="617" ht="27" customHeight="1">
      <c r="A617" s="54" t="inlineStr">
        <is>
          <t>SU002805</t>
        </is>
      </c>
      <c r="B617" s="54" t="inlineStr">
        <is>
          <t>P003584</t>
        </is>
      </c>
      <c r="C617" s="31" t="n">
        <v>4301031280</v>
      </c>
      <c r="D617" s="782" t="n">
        <v>4640242180816</v>
      </c>
      <c r="E617" s="783" t="n"/>
      <c r="F617" s="1220" t="n">
        <v>0.7</v>
      </c>
      <c r="G617" s="32" t="n">
        <v>6</v>
      </c>
      <c r="H617" s="1220" t="n">
        <v>4.2</v>
      </c>
      <c r="I617" s="1220" t="n">
        <v>4.47</v>
      </c>
      <c r="J617" s="32" t="n">
        <v>132</v>
      </c>
      <c r="K617" s="32" t="inlineStr">
        <is>
          <t>12</t>
        </is>
      </c>
      <c r="L617" s="32" t="n"/>
      <c r="M617" s="33" t="inlineStr">
        <is>
          <t>СК2</t>
        </is>
      </c>
      <c r="N617" s="33" t="n"/>
      <c r="O617" s="32" t="n">
        <v>40</v>
      </c>
      <c r="P617" s="992" t="inlineStr">
        <is>
          <t>Копченые колбасы «Сервелат Пражский» Весовой фиброуз ТМ «Зареченские»</t>
        </is>
      </c>
      <c r="Q617" s="785" t="n"/>
      <c r="R617" s="785" t="n"/>
      <c r="S617" s="785" t="n"/>
      <c r="T617" s="786" t="n"/>
      <c r="U617" s="34" t="n"/>
      <c r="V617" s="34" t="n"/>
      <c r="W617" s="35" t="inlineStr">
        <is>
          <t>кг</t>
        </is>
      </c>
      <c r="X617" s="1221" t="n">
        <v>0</v>
      </c>
      <c r="Y617" s="1222">
        <f>IFERROR(IF(X617="",0,CEILING((X617/$H617),1)*$H617),"")</f>
        <v/>
      </c>
      <c r="Z617" s="36">
        <f>IFERROR(IF(Y617=0,"",ROUNDUP(Y617/H617,0)*0.00902),"")</f>
        <v/>
      </c>
      <c r="AA617" s="56" t="n"/>
      <c r="AB617" s="57" t="n"/>
      <c r="AC617" s="719" t="inlineStr">
        <is>
          <t>ЕАЭС N RU Д-RU.РА05.В.95896/23</t>
        </is>
      </c>
      <c r="AG617" s="64" t="n"/>
      <c r="AJ617" s="68" t="n"/>
      <c r="AK617" s="68" t="n">
        <v>0</v>
      </c>
      <c r="BB617" s="720" t="inlineStr">
        <is>
          <t>КИ</t>
        </is>
      </c>
      <c r="BM617" s="64">
        <f>IFERROR(X617*I617/H617,"0")</f>
        <v/>
      </c>
      <c r="BN617" s="64">
        <f>IFERROR(Y617*I617/H617,"0")</f>
        <v/>
      </c>
      <c r="BO617" s="64">
        <f>IFERROR(1/J617*(X617/H617),"0")</f>
        <v/>
      </c>
      <c r="BP617" s="64">
        <f>IFERROR(1/J617*(Y617/H617),"0")</f>
        <v/>
      </c>
    </row>
    <row r="618" ht="27" customHeight="1">
      <c r="A618" s="54" t="inlineStr">
        <is>
          <t>SU002809</t>
        </is>
      </c>
      <c r="B618" s="54" t="inlineStr">
        <is>
          <t>P003586</t>
        </is>
      </c>
      <c r="C618" s="31" t="n">
        <v>4301031244</v>
      </c>
      <c r="D618" s="782" t="n">
        <v>4640242180595</v>
      </c>
      <c r="E618" s="783" t="n"/>
      <c r="F618" s="1220" t="n">
        <v>0.7</v>
      </c>
      <c r="G618" s="32" t="n">
        <v>6</v>
      </c>
      <c r="H618" s="1220" t="n">
        <v>4.2</v>
      </c>
      <c r="I618" s="1220" t="n">
        <v>4.47</v>
      </c>
      <c r="J618" s="32" t="n">
        <v>132</v>
      </c>
      <c r="K618" s="32" t="inlineStr">
        <is>
          <t>12</t>
        </is>
      </c>
      <c r="L618" s="32" t="n"/>
      <c r="M618" s="33" t="inlineStr">
        <is>
          <t>СК2</t>
        </is>
      </c>
      <c r="N618" s="33" t="n"/>
      <c r="O618" s="32" t="n">
        <v>40</v>
      </c>
      <c r="P618" s="959" t="inlineStr">
        <is>
          <t>В/к колбасы «Сервелат Рижский» НТУ Весовые Фиброуз в/у ТМ «Зареченские»</t>
        </is>
      </c>
      <c r="Q618" s="785" t="n"/>
      <c r="R618" s="785" t="n"/>
      <c r="S618" s="785" t="n"/>
      <c r="T618" s="786" t="n"/>
      <c r="U618" s="34" t="n"/>
      <c r="V618" s="34" t="n"/>
      <c r="W618" s="35" t="inlineStr">
        <is>
          <t>кг</t>
        </is>
      </c>
      <c r="X618" s="1221" t="n">
        <v>0</v>
      </c>
      <c r="Y618" s="1222">
        <f>IFERROR(IF(X618="",0,CEILING((X618/$H618),1)*$H618),"")</f>
        <v/>
      </c>
      <c r="Z618" s="36">
        <f>IFERROR(IF(Y618=0,"",ROUNDUP(Y618/H618,0)*0.00902),"")</f>
        <v/>
      </c>
      <c r="AA618" s="56" t="n"/>
      <c r="AB618" s="57" t="n"/>
      <c r="AC618" s="721" t="inlineStr">
        <is>
          <t>ЕАЭС N RU Д-RU.РА05.В.94332/23</t>
        </is>
      </c>
      <c r="AG618" s="64" t="n"/>
      <c r="AJ618" s="68" t="n"/>
      <c r="AK618" s="68" t="n">
        <v>0</v>
      </c>
      <c r="BB618" s="722" t="inlineStr">
        <is>
          <t>КИ</t>
        </is>
      </c>
      <c r="BM618" s="64">
        <f>IFERROR(X618*I618/H618,"0")</f>
        <v/>
      </c>
      <c r="BN618" s="64">
        <f>IFERROR(Y618*I618/H618,"0")</f>
        <v/>
      </c>
      <c r="BO618" s="64">
        <f>IFERROR(1/J618*(X618/H618),"0")</f>
        <v/>
      </c>
      <c r="BP618" s="64">
        <f>IFERROR(1/J618*(Y618/H618),"0")</f>
        <v/>
      </c>
    </row>
    <row r="619" ht="27" customHeight="1">
      <c r="A619" s="54" t="inlineStr">
        <is>
          <t>SU003303</t>
        </is>
      </c>
      <c r="B619" s="54" t="inlineStr">
        <is>
          <t>P004010</t>
        </is>
      </c>
      <c r="C619" s="31" t="n">
        <v>4301031289</v>
      </c>
      <c r="D619" s="782" t="n">
        <v>4640242181615</v>
      </c>
      <c r="E619" s="783" t="n"/>
      <c r="F619" s="1220" t="n">
        <v>0.7</v>
      </c>
      <c r="G619" s="32" t="n">
        <v>6</v>
      </c>
      <c r="H619" s="1220" t="n">
        <v>4.2</v>
      </c>
      <c r="I619" s="1220" t="n">
        <v>4.41</v>
      </c>
      <c r="J619" s="32" t="n">
        <v>132</v>
      </c>
      <c r="K619" s="32" t="inlineStr">
        <is>
          <t>12</t>
        </is>
      </c>
      <c r="L619" s="32" t="n"/>
      <c r="M619" s="33" t="inlineStr">
        <is>
          <t>СК2</t>
        </is>
      </c>
      <c r="N619" s="33" t="n"/>
      <c r="O619" s="32" t="n">
        <v>45</v>
      </c>
      <c r="P619" s="1016" t="inlineStr">
        <is>
          <t>В/к колбасы «Салями Мясная » Весовой Айцел ТМ «Зареченские»</t>
        </is>
      </c>
      <c r="Q619" s="785" t="n"/>
      <c r="R619" s="785" t="n"/>
      <c r="S619" s="785" t="n"/>
      <c r="T619" s="786" t="n"/>
      <c r="U619" s="34" t="n"/>
      <c r="V619" s="34" t="n"/>
      <c r="W619" s="35" t="inlineStr">
        <is>
          <t>кг</t>
        </is>
      </c>
      <c r="X619" s="1221" t="n">
        <v>0</v>
      </c>
      <c r="Y619" s="1222">
        <f>IFERROR(IF(X619="",0,CEILING((X619/$H619),1)*$H619),"")</f>
        <v/>
      </c>
      <c r="Z619" s="36">
        <f>IFERROR(IF(Y619=0,"",ROUNDUP(Y619/H619,0)*0.00902),"")</f>
        <v/>
      </c>
      <c r="AA619" s="56" t="n"/>
      <c r="AB619" s="57" t="n"/>
      <c r="AC619" s="723" t="inlineStr">
        <is>
          <t>ЕАЭС N RU Д-RU.РА04.В.24528/24</t>
        </is>
      </c>
      <c r="AG619" s="64" t="n"/>
      <c r="AJ619" s="68" t="n"/>
      <c r="AK619" s="68" t="n">
        <v>0</v>
      </c>
      <c r="BB619" s="724" t="inlineStr">
        <is>
          <t>КИ</t>
        </is>
      </c>
      <c r="BM619" s="64">
        <f>IFERROR(X619*I619/H619,"0")</f>
        <v/>
      </c>
      <c r="BN619" s="64">
        <f>IFERROR(Y619*I619/H619,"0")</f>
        <v/>
      </c>
      <c r="BO619" s="64">
        <f>IFERROR(1/J619*(X619/H619),"0")</f>
        <v/>
      </c>
      <c r="BP619" s="64">
        <f>IFERROR(1/J619*(Y619/H619),"0")</f>
        <v/>
      </c>
    </row>
    <row r="620" ht="27" customHeight="1">
      <c r="A620" s="54" t="inlineStr">
        <is>
          <t>SU003299</t>
        </is>
      </c>
      <c r="B620" s="54" t="inlineStr">
        <is>
          <t>P004005</t>
        </is>
      </c>
      <c r="C620" s="31" t="n">
        <v>4301031285</v>
      </c>
      <c r="D620" s="782" t="n">
        <v>4640242181639</v>
      </c>
      <c r="E620" s="783" t="n"/>
      <c r="F620" s="1220" t="n">
        <v>0.7</v>
      </c>
      <c r="G620" s="32" t="n">
        <v>6</v>
      </c>
      <c r="H620" s="1220" t="n">
        <v>4.2</v>
      </c>
      <c r="I620" s="1220" t="n">
        <v>4.41</v>
      </c>
      <c r="J620" s="32" t="n">
        <v>132</v>
      </c>
      <c r="K620" s="32" t="inlineStr">
        <is>
          <t>12</t>
        </is>
      </c>
      <c r="L620" s="32" t="n"/>
      <c r="M620" s="33" t="inlineStr">
        <is>
          <t>СК2</t>
        </is>
      </c>
      <c r="N620" s="33" t="n"/>
      <c r="O620" s="32" t="n">
        <v>45</v>
      </c>
      <c r="P620" s="964" t="inlineStr">
        <is>
          <t>В/к колбасы «Сервелат Мясной с ароматными пряностями» Весовой Айцел ТМ «Зареченские»</t>
        </is>
      </c>
      <c r="Q620" s="785" t="n"/>
      <c r="R620" s="785" t="n"/>
      <c r="S620" s="785" t="n"/>
      <c r="T620" s="786" t="n"/>
      <c r="U620" s="34" t="n"/>
      <c r="V620" s="34" t="n"/>
      <c r="W620" s="35" t="inlineStr">
        <is>
          <t>кг</t>
        </is>
      </c>
      <c r="X620" s="1221" t="n">
        <v>0</v>
      </c>
      <c r="Y620" s="1222">
        <f>IFERROR(IF(X620="",0,CEILING((X620/$H620),1)*$H620),"")</f>
        <v/>
      </c>
      <c r="Z620" s="36">
        <f>IFERROR(IF(Y620=0,"",ROUNDUP(Y620/H620,0)*0.00902),"")</f>
        <v/>
      </c>
      <c r="AA620" s="56" t="n"/>
      <c r="AB620" s="57" t="n"/>
      <c r="AC620" s="725" t="inlineStr">
        <is>
          <t>ЕАЭС N RU Д-RU.РА04.В.24720/24</t>
        </is>
      </c>
      <c r="AG620" s="64" t="n"/>
      <c r="AJ620" s="68" t="n"/>
      <c r="AK620" s="68" t="n">
        <v>0</v>
      </c>
      <c r="BB620" s="726" t="inlineStr">
        <is>
          <t>КИ</t>
        </is>
      </c>
      <c r="BM620" s="64">
        <f>IFERROR(X620*I620/H620,"0")</f>
        <v/>
      </c>
      <c r="BN620" s="64">
        <f>IFERROR(Y620*I620/H620,"0")</f>
        <v/>
      </c>
      <c r="BO620" s="64">
        <f>IFERROR(1/J620*(X620/H620),"0")</f>
        <v/>
      </c>
      <c r="BP620" s="64">
        <f>IFERROR(1/J620*(Y620/H620),"0")</f>
        <v/>
      </c>
    </row>
    <row r="621" ht="27" customHeight="1">
      <c r="A621" s="54" t="inlineStr">
        <is>
          <t>SU003301</t>
        </is>
      </c>
      <c r="B621" s="54" t="inlineStr">
        <is>
          <t>P004007</t>
        </is>
      </c>
      <c r="C621" s="31" t="n">
        <v>4301031287</v>
      </c>
      <c r="D621" s="782" t="n">
        <v>4640242181622</v>
      </c>
      <c r="E621" s="783" t="n"/>
      <c r="F621" s="1220" t="n">
        <v>0.7</v>
      </c>
      <c r="G621" s="32" t="n">
        <v>6</v>
      </c>
      <c r="H621" s="1220" t="n">
        <v>4.2</v>
      </c>
      <c r="I621" s="1220" t="n">
        <v>4.41</v>
      </c>
      <c r="J621" s="32" t="n">
        <v>132</v>
      </c>
      <c r="K621" s="32" t="inlineStr">
        <is>
          <t>12</t>
        </is>
      </c>
      <c r="L621" s="32" t="n"/>
      <c r="M621" s="33" t="inlineStr">
        <is>
          <t>СК2</t>
        </is>
      </c>
      <c r="N621" s="33" t="n"/>
      <c r="O621" s="32" t="n">
        <v>45</v>
      </c>
      <c r="P621" s="1184" t="inlineStr">
        <is>
          <t>В/к колбасы «Сервелат Мясной с душистым чесноком» Весовой Айцел ТМ «Зареченские»</t>
        </is>
      </c>
      <c r="Q621" s="785" t="n"/>
      <c r="R621" s="785" t="n"/>
      <c r="S621" s="785" t="n"/>
      <c r="T621" s="786" t="n"/>
      <c r="U621" s="34" t="n"/>
      <c r="V621" s="34" t="n"/>
      <c r="W621" s="35" t="inlineStr">
        <is>
          <t>кг</t>
        </is>
      </c>
      <c r="X621" s="1221" t="n">
        <v>0</v>
      </c>
      <c r="Y621" s="1222">
        <f>IFERROR(IF(X621="",0,CEILING((X621/$H621),1)*$H621),"")</f>
        <v/>
      </c>
      <c r="Z621" s="36">
        <f>IFERROR(IF(Y621=0,"",ROUNDUP(Y621/H621,0)*0.00902),"")</f>
        <v/>
      </c>
      <c r="AA621" s="56" t="n"/>
      <c r="AB621" s="57" t="n"/>
      <c r="AC621" s="727" t="inlineStr">
        <is>
          <t>ЕАЭС N RU Д-RU.РА04.В.24352/24</t>
        </is>
      </c>
      <c r="AG621" s="64" t="n"/>
      <c r="AJ621" s="68" t="n"/>
      <c r="AK621" s="68" t="n">
        <v>0</v>
      </c>
      <c r="BB621" s="728" t="inlineStr">
        <is>
          <t>КИ</t>
        </is>
      </c>
      <c r="BM621" s="64">
        <f>IFERROR(X621*I621/H621,"0")</f>
        <v/>
      </c>
      <c r="BN621" s="64">
        <f>IFERROR(Y621*I621/H621,"0")</f>
        <v/>
      </c>
      <c r="BO621" s="64">
        <f>IFERROR(1/J621*(X621/H621),"0")</f>
        <v/>
      </c>
      <c r="BP621" s="64">
        <f>IFERROR(1/J621*(Y621/H621),"0")</f>
        <v/>
      </c>
    </row>
    <row r="622" ht="27" customHeight="1">
      <c r="A622" s="54" t="inlineStr">
        <is>
          <t>SU002855</t>
        </is>
      </c>
      <c r="B622" s="54" t="inlineStr">
        <is>
          <t>P003261</t>
        </is>
      </c>
      <c r="C622" s="31" t="n">
        <v>4301031203</v>
      </c>
      <c r="D622" s="782" t="n">
        <v>4640242180908</v>
      </c>
      <c r="E622" s="783" t="n"/>
      <c r="F622" s="1220" t="n">
        <v>0.28</v>
      </c>
      <c r="G622" s="32" t="n">
        <v>6</v>
      </c>
      <c r="H622" s="1220" t="n">
        <v>1.68</v>
      </c>
      <c r="I622" s="1220" t="n">
        <v>1.81</v>
      </c>
      <c r="J622" s="32" t="n">
        <v>234</v>
      </c>
      <c r="K622" s="32" t="inlineStr">
        <is>
          <t>18</t>
        </is>
      </c>
      <c r="L622" s="32" t="n"/>
      <c r="M622" s="33" t="inlineStr">
        <is>
          <t>СК2</t>
        </is>
      </c>
      <c r="N622" s="33" t="n"/>
      <c r="O622" s="32" t="n">
        <v>40</v>
      </c>
      <c r="P622" s="1024" t="inlineStr">
        <is>
          <t>Копченые колбасы «Сервелат Пражский» срез Фикс.вес 0,28 фиброуз в/у ТМ «Зареченские»</t>
        </is>
      </c>
      <c r="Q622" s="785" t="n"/>
      <c r="R622" s="785" t="n"/>
      <c r="S622" s="785" t="n"/>
      <c r="T622" s="786" t="n"/>
      <c r="U622" s="34" t="n"/>
      <c r="V622" s="34" t="n"/>
      <c r="W622" s="35" t="inlineStr">
        <is>
          <t>кг</t>
        </is>
      </c>
      <c r="X622" s="1221" t="n">
        <v>0</v>
      </c>
      <c r="Y622" s="1222">
        <f>IFERROR(IF(X622="",0,CEILING((X622/$H622),1)*$H622),"")</f>
        <v/>
      </c>
      <c r="Z622" s="36">
        <f>IFERROR(IF(Y622=0,"",ROUNDUP(Y622/H622,0)*0.00502),"")</f>
        <v/>
      </c>
      <c r="AA622" s="56" t="n"/>
      <c r="AB622" s="57" t="n"/>
      <c r="AC622" s="729" t="inlineStr">
        <is>
          <t>ЕАЭС N RU Д-RU.РА05.В.95896/23</t>
        </is>
      </c>
      <c r="AG622" s="64" t="n"/>
      <c r="AJ622" s="68" t="n"/>
      <c r="AK622" s="68" t="n">
        <v>0</v>
      </c>
      <c r="BB622" s="730" t="inlineStr">
        <is>
          <t>КИ</t>
        </is>
      </c>
      <c r="BM622" s="64">
        <f>IFERROR(X622*I622/H622,"0")</f>
        <v/>
      </c>
      <c r="BN622" s="64">
        <f>IFERROR(Y622*I622/H622,"0")</f>
        <v/>
      </c>
      <c r="BO622" s="64">
        <f>IFERROR(1/J622*(X622/H622),"0")</f>
        <v/>
      </c>
      <c r="BP622" s="64">
        <f>IFERROR(1/J622*(Y622/H622),"0")</f>
        <v/>
      </c>
    </row>
    <row r="623" ht="27" customHeight="1">
      <c r="A623" s="54" t="inlineStr">
        <is>
          <t>SU002856</t>
        </is>
      </c>
      <c r="B623" s="54" t="inlineStr">
        <is>
          <t>P003257</t>
        </is>
      </c>
      <c r="C623" s="31" t="n">
        <v>4301031200</v>
      </c>
      <c r="D623" s="782" t="n">
        <v>4640242180489</v>
      </c>
      <c r="E623" s="783" t="n"/>
      <c r="F623" s="1220" t="n">
        <v>0.28</v>
      </c>
      <c r="G623" s="32" t="n">
        <v>6</v>
      </c>
      <c r="H623" s="1220" t="n">
        <v>1.68</v>
      </c>
      <c r="I623" s="1220" t="n">
        <v>1.84</v>
      </c>
      <c r="J623" s="32" t="n">
        <v>234</v>
      </c>
      <c r="K623" s="32" t="inlineStr">
        <is>
          <t>18</t>
        </is>
      </c>
      <c r="L623" s="32" t="n"/>
      <c r="M623" s="33" t="inlineStr">
        <is>
          <t>СК2</t>
        </is>
      </c>
      <c r="N623" s="33" t="n"/>
      <c r="O623" s="32" t="n">
        <v>40</v>
      </c>
      <c r="P623" s="1041" t="inlineStr">
        <is>
          <t>В/к колбасы «Сервелат Рижский» срез Фикс.вес 0,28 Фиброуз в/у ТМ «Зареченские»</t>
        </is>
      </c>
      <c r="Q623" s="785" t="n"/>
      <c r="R623" s="785" t="n"/>
      <c r="S623" s="785" t="n"/>
      <c r="T623" s="786" t="n"/>
      <c r="U623" s="34" t="n"/>
      <c r="V623" s="34" t="n"/>
      <c r="W623" s="35" t="inlineStr">
        <is>
          <t>кг</t>
        </is>
      </c>
      <c r="X623" s="1221" t="n">
        <v>0</v>
      </c>
      <c r="Y623" s="1222">
        <f>IFERROR(IF(X623="",0,CEILING((X623/$H623),1)*$H623),"")</f>
        <v/>
      </c>
      <c r="Z623" s="36">
        <f>IFERROR(IF(Y623=0,"",ROUNDUP(Y623/H623,0)*0.00502),"")</f>
        <v/>
      </c>
      <c r="AA623" s="56" t="n"/>
      <c r="AB623" s="57" t="n"/>
      <c r="AC623" s="731" t="inlineStr">
        <is>
          <t>ЕАЭС N RU Д-RU.РА05.В.94332/23</t>
        </is>
      </c>
      <c r="AG623" s="64" t="n"/>
      <c r="AJ623" s="68" t="n"/>
      <c r="AK623" s="68" t="n">
        <v>0</v>
      </c>
      <c r="BB623" s="732" t="inlineStr">
        <is>
          <t>КИ</t>
        </is>
      </c>
      <c r="BM623" s="64">
        <f>IFERROR(X623*I623/H623,"0")</f>
        <v/>
      </c>
      <c r="BN623" s="64">
        <f>IFERROR(Y623*I623/H623,"0")</f>
        <v/>
      </c>
      <c r="BO623" s="64">
        <f>IFERROR(1/J623*(X623/H623),"0")</f>
        <v/>
      </c>
      <c r="BP623" s="64">
        <f>IFERROR(1/J623*(Y623/H623),"0")</f>
        <v/>
      </c>
    </row>
    <row r="624">
      <c r="A624" s="801" t="n"/>
      <c r="B624" s="800" t="n"/>
      <c r="C624" s="800" t="n"/>
      <c r="D624" s="800" t="n"/>
      <c r="E624" s="800" t="n"/>
      <c r="F624" s="800" t="n"/>
      <c r="G624" s="800" t="n"/>
      <c r="H624" s="800" t="n"/>
      <c r="I624" s="800" t="n"/>
      <c r="J624" s="800" t="n"/>
      <c r="K624" s="800" t="n"/>
      <c r="L624" s="800" t="n"/>
      <c r="M624" s="800" t="n"/>
      <c r="N624" s="800" t="n"/>
      <c r="O624" s="802" t="n"/>
      <c r="P624" s="796" t="inlineStr">
        <is>
          <t>Итого</t>
        </is>
      </c>
      <c r="Q624" s="793" t="n"/>
      <c r="R624" s="793" t="n"/>
      <c r="S624" s="793" t="n"/>
      <c r="T624" s="793" t="n"/>
      <c r="U624" s="793" t="n"/>
      <c r="V624" s="794" t="n"/>
      <c r="W624" s="37" t="inlineStr">
        <is>
          <t>кор</t>
        </is>
      </c>
      <c r="X624" s="1223">
        <f>IFERROR(X617/H617,"0")+IFERROR(X618/H618,"0")+IFERROR(X619/H619,"0")+IFERROR(X620/H620,"0")+IFERROR(X621/H621,"0")+IFERROR(X622/H622,"0")+IFERROR(X623/H623,"0")</f>
        <v/>
      </c>
      <c r="Y624" s="1223">
        <f>IFERROR(Y617/H617,"0")+IFERROR(Y618/H618,"0")+IFERROR(Y619/H619,"0")+IFERROR(Y620/H620,"0")+IFERROR(Y621/H621,"0")+IFERROR(Y622/H622,"0")+IFERROR(Y623/H623,"0")</f>
        <v/>
      </c>
      <c r="Z624" s="1223">
        <f>IFERROR(IF(Z617="",0,Z617),"0")+IFERROR(IF(Z618="",0,Z618),"0")+IFERROR(IF(Z619="",0,Z619),"0")+IFERROR(IF(Z620="",0,Z620),"0")+IFERROR(IF(Z621="",0,Z621),"0")+IFERROR(IF(Z622="",0,Z622),"0")+IFERROR(IF(Z623="",0,Z623),"0")</f>
        <v/>
      </c>
      <c r="AA624" s="1224" t="n"/>
      <c r="AB624" s="1224" t="n"/>
      <c r="AC624" s="1224" t="n"/>
    </row>
    <row r="625">
      <c r="A625" s="800" t="n"/>
      <c r="B625" s="800" t="n"/>
      <c r="C625" s="800" t="n"/>
      <c r="D625" s="800" t="n"/>
      <c r="E625" s="800" t="n"/>
      <c r="F625" s="800" t="n"/>
      <c r="G625" s="800" t="n"/>
      <c r="H625" s="800" t="n"/>
      <c r="I625" s="800" t="n"/>
      <c r="J625" s="800" t="n"/>
      <c r="K625" s="800" t="n"/>
      <c r="L625" s="800" t="n"/>
      <c r="M625" s="800" t="n"/>
      <c r="N625" s="800" t="n"/>
      <c r="O625" s="802" t="n"/>
      <c r="P625" s="796" t="inlineStr">
        <is>
          <t>Итого</t>
        </is>
      </c>
      <c r="Q625" s="793" t="n"/>
      <c r="R625" s="793" t="n"/>
      <c r="S625" s="793" t="n"/>
      <c r="T625" s="793" t="n"/>
      <c r="U625" s="793" t="n"/>
      <c r="V625" s="794" t="n"/>
      <c r="W625" s="37" t="inlineStr">
        <is>
          <t>кг</t>
        </is>
      </c>
      <c r="X625" s="1223">
        <f>IFERROR(SUM(X617:X623),"0")</f>
        <v/>
      </c>
      <c r="Y625" s="1223">
        <f>IFERROR(SUM(Y617:Y623),"0")</f>
        <v/>
      </c>
      <c r="Z625" s="37" t="n"/>
      <c r="AA625" s="1224" t="n"/>
      <c r="AB625" s="1224" t="n"/>
      <c r="AC625" s="1224" t="n"/>
    </row>
    <row r="626" ht="14.25" customHeight="1">
      <c r="A626" s="799" t="inlineStr">
        <is>
          <t>Сосиски</t>
        </is>
      </c>
      <c r="B626" s="800" t="n"/>
      <c r="C626" s="800" t="n"/>
      <c r="D626" s="800" t="n"/>
      <c r="E626" s="800" t="n"/>
      <c r="F626" s="800" t="n"/>
      <c r="G626" s="800" t="n"/>
      <c r="H626" s="800" t="n"/>
      <c r="I626" s="800" t="n"/>
      <c r="J626" s="800" t="n"/>
      <c r="K626" s="800" t="n"/>
      <c r="L626" s="800" t="n"/>
      <c r="M626" s="800" t="n"/>
      <c r="N626" s="800" t="n"/>
      <c r="O626" s="800" t="n"/>
      <c r="P626" s="800" t="n"/>
      <c r="Q626" s="800" t="n"/>
      <c r="R626" s="800" t="n"/>
      <c r="S626" s="800" t="n"/>
      <c r="T626" s="800" t="n"/>
      <c r="U626" s="800" t="n"/>
      <c r="V626" s="800" t="n"/>
      <c r="W626" s="800" t="n"/>
      <c r="X626" s="800" t="n"/>
      <c r="Y626" s="800" t="n"/>
      <c r="Z626" s="800" t="n"/>
      <c r="AA626" s="799" t="n"/>
      <c r="AB626" s="799" t="n"/>
      <c r="AC626" s="799" t="n"/>
    </row>
    <row r="627" ht="27" customHeight="1">
      <c r="A627" s="54" t="inlineStr">
        <is>
          <t>SU002655</t>
        </is>
      </c>
      <c r="B627" s="54" t="inlineStr">
        <is>
          <t>P004115</t>
        </is>
      </c>
      <c r="C627" s="31" t="n">
        <v>4301051746</v>
      </c>
      <c r="D627" s="782" t="n">
        <v>4640242180533</v>
      </c>
      <c r="E627" s="783" t="n"/>
      <c r="F627" s="1220" t="n">
        <v>1.3</v>
      </c>
      <c r="G627" s="32" t="n">
        <v>6</v>
      </c>
      <c r="H627" s="1220" t="n">
        <v>7.8</v>
      </c>
      <c r="I627" s="1220" t="n">
        <v>8.364000000000001</v>
      </c>
      <c r="J627" s="32" t="n">
        <v>56</v>
      </c>
      <c r="K627" s="32" t="inlineStr">
        <is>
          <t>8</t>
        </is>
      </c>
      <c r="L627" s="32" t="n"/>
      <c r="M627" s="33" t="inlineStr">
        <is>
          <t>СК3</t>
        </is>
      </c>
      <c r="N627" s="33" t="n"/>
      <c r="O627" s="32" t="n">
        <v>40</v>
      </c>
      <c r="P627" s="1066" t="inlineStr">
        <is>
          <t>Сосиски Датские Зареченские продукты Весовые П/а мгс Зареченские</t>
        </is>
      </c>
      <c r="Q627" s="785" t="n"/>
      <c r="R627" s="785" t="n"/>
      <c r="S627" s="785" t="n"/>
      <c r="T627" s="786" t="n"/>
      <c r="U627" s="34" t="n"/>
      <c r="V627" s="34" t="n"/>
      <c r="W627" s="35" t="inlineStr">
        <is>
          <t>кг</t>
        </is>
      </c>
      <c r="X627" s="1221" t="n">
        <v>0</v>
      </c>
      <c r="Y627" s="1222">
        <f>IFERROR(IF(X627="",0,CEILING((X627/$H627),1)*$H627),"")</f>
        <v/>
      </c>
      <c r="Z627" s="36">
        <f>IFERROR(IF(Y627=0,"",ROUNDUP(Y627/H627,0)*0.02175),"")</f>
        <v/>
      </c>
      <c r="AA627" s="56" t="n"/>
      <c r="AB627" s="57" t="n"/>
      <c r="AC627" s="733" t="inlineStr">
        <is>
          <t>ЕАЭС N RU Д-RU.РА05.В.94085/23</t>
        </is>
      </c>
      <c r="AG627" s="64" t="n"/>
      <c r="AJ627" s="68" t="n"/>
      <c r="AK627" s="68" t="n">
        <v>0</v>
      </c>
      <c r="BB627" s="734" t="inlineStr">
        <is>
          <t>КИ</t>
        </is>
      </c>
      <c r="BM627" s="64">
        <f>IFERROR(X627*I627/H627,"0")</f>
        <v/>
      </c>
      <c r="BN627" s="64">
        <f>IFERROR(Y627*I627/H627,"0")</f>
        <v/>
      </c>
      <c r="BO627" s="64">
        <f>IFERROR(1/J627*(X627/H627),"0")</f>
        <v/>
      </c>
      <c r="BP627" s="64">
        <f>IFERROR(1/J627*(Y627/H627),"0")</f>
        <v/>
      </c>
    </row>
    <row r="628" ht="27" customHeight="1">
      <c r="A628" s="54" t="inlineStr">
        <is>
          <t>SU002655</t>
        </is>
      </c>
      <c r="B628" s="54" t="inlineStr">
        <is>
          <t>P004737</t>
        </is>
      </c>
      <c r="C628" s="31" t="n">
        <v>4301051887</v>
      </c>
      <c r="D628" s="782" t="n">
        <v>4640242180533</v>
      </c>
      <c r="E628" s="783" t="n"/>
      <c r="F628" s="1220" t="n">
        <v>1.3</v>
      </c>
      <c r="G628" s="32" t="n">
        <v>6</v>
      </c>
      <c r="H628" s="1220" t="n">
        <v>7.8</v>
      </c>
      <c r="I628" s="1220" t="n">
        <v>8.364000000000001</v>
      </c>
      <c r="J628" s="32" t="n">
        <v>56</v>
      </c>
      <c r="K628" s="32" t="inlineStr">
        <is>
          <t>8</t>
        </is>
      </c>
      <c r="L628" s="32" t="n"/>
      <c r="M628" s="33" t="inlineStr">
        <is>
          <t>СК3</t>
        </is>
      </c>
      <c r="N628" s="33" t="n"/>
      <c r="O628" s="32" t="n">
        <v>45</v>
      </c>
      <c r="P628" s="1193" t="inlineStr">
        <is>
          <t>Сосиски «Датские» Весовой п/а ТМ «Зареченские продукты»</t>
        </is>
      </c>
      <c r="Q628" s="785" t="n"/>
      <c r="R628" s="785" t="n"/>
      <c r="S628" s="785" t="n"/>
      <c r="T628" s="786" t="n"/>
      <c r="U628" s="34" t="n"/>
      <c r="V628" s="34" t="n"/>
      <c r="W628" s="35" t="inlineStr">
        <is>
          <t>кг</t>
        </is>
      </c>
      <c r="X628" s="1221" t="n">
        <v>0</v>
      </c>
      <c r="Y628" s="1222">
        <f>IFERROR(IF(X628="",0,CEILING((X628/$H628),1)*$H628),"")</f>
        <v/>
      </c>
      <c r="Z628" s="36">
        <f>IFERROR(IF(Y628=0,"",ROUNDUP(Y628/H628,0)*0.02175),"")</f>
        <v/>
      </c>
      <c r="AA628" s="56" t="n"/>
      <c r="AB628" s="57" t="n"/>
      <c r="AC628" s="735" t="inlineStr">
        <is>
          <t>ЕАЭС N RU Д-RU.РА05.В.94085/23</t>
        </is>
      </c>
      <c r="AG628" s="64" t="n"/>
      <c r="AJ628" s="68" t="n"/>
      <c r="AK628" s="68" t="n">
        <v>0</v>
      </c>
      <c r="BB628" s="736" t="inlineStr">
        <is>
          <t>КИ</t>
        </is>
      </c>
      <c r="BM628" s="64">
        <f>IFERROR(X628*I628/H628,"0")</f>
        <v/>
      </c>
      <c r="BN628" s="64">
        <f>IFERROR(Y628*I628/H628,"0")</f>
        <v/>
      </c>
      <c r="BO628" s="64">
        <f>IFERROR(1/J628*(X628/H628),"0")</f>
        <v/>
      </c>
      <c r="BP628" s="64">
        <f>IFERROR(1/J628*(Y628/H628),"0")</f>
        <v/>
      </c>
    </row>
    <row r="629" ht="27" customHeight="1">
      <c r="A629" s="54" t="inlineStr">
        <is>
          <t>SU002803</t>
        </is>
      </c>
      <c r="B629" s="54" t="inlineStr">
        <is>
          <t>P003590</t>
        </is>
      </c>
      <c r="C629" s="31" t="n">
        <v>4301051510</v>
      </c>
      <c r="D629" s="782" t="n">
        <v>4640242180540</v>
      </c>
      <c r="E629" s="783" t="n"/>
      <c r="F629" s="1220" t="n">
        <v>1.3</v>
      </c>
      <c r="G629" s="32" t="n">
        <v>6</v>
      </c>
      <c r="H629" s="1220" t="n">
        <v>7.8</v>
      </c>
      <c r="I629" s="1220" t="n">
        <v>8.364000000000001</v>
      </c>
      <c r="J629" s="32" t="n">
        <v>56</v>
      </c>
      <c r="K629" s="32" t="inlineStr">
        <is>
          <t>8</t>
        </is>
      </c>
      <c r="L629" s="32" t="n"/>
      <c r="M629" s="33" t="inlineStr">
        <is>
          <t>СК2</t>
        </is>
      </c>
      <c r="N629" s="33" t="n"/>
      <c r="O629" s="32" t="n">
        <v>30</v>
      </c>
      <c r="P629" s="1007" t="inlineStr">
        <is>
          <t>Сосиски «Сочные» Весовой п/а ТМ «Зареченские»</t>
        </is>
      </c>
      <c r="Q629" s="785" t="n"/>
      <c r="R629" s="785" t="n"/>
      <c r="S629" s="785" t="n"/>
      <c r="T629" s="786" t="n"/>
      <c r="U629" s="34" t="n"/>
      <c r="V629" s="34" t="n"/>
      <c r="W629" s="35" t="inlineStr">
        <is>
          <t>кг</t>
        </is>
      </c>
      <c r="X629" s="1221" t="n">
        <v>0</v>
      </c>
      <c r="Y629" s="1222">
        <f>IFERROR(IF(X629="",0,CEILING((X629/$H629),1)*$H629),"")</f>
        <v/>
      </c>
      <c r="Z629" s="36">
        <f>IFERROR(IF(Y629=0,"",ROUNDUP(Y629/H629,0)*0.02175),"")</f>
        <v/>
      </c>
      <c r="AA629" s="56" t="n"/>
      <c r="AB629" s="57" t="n"/>
      <c r="AC629" s="737" t="inlineStr">
        <is>
          <t>ЕАЭС N RU Д-RU.РА05.В.94245/23</t>
        </is>
      </c>
      <c r="AG629" s="64" t="n"/>
      <c r="AJ629" s="68" t="n"/>
      <c r="AK629" s="68" t="n">
        <v>0</v>
      </c>
      <c r="BB629" s="738" t="inlineStr">
        <is>
          <t>КИ</t>
        </is>
      </c>
      <c r="BM629" s="64">
        <f>IFERROR(X629*I629/H629,"0")</f>
        <v/>
      </c>
      <c r="BN629" s="64">
        <f>IFERROR(Y629*I629/H629,"0")</f>
        <v/>
      </c>
      <c r="BO629" s="64">
        <f>IFERROR(1/J629*(X629/H629),"0")</f>
        <v/>
      </c>
      <c r="BP629" s="64">
        <f>IFERROR(1/J629*(Y629/H629),"0")</f>
        <v/>
      </c>
    </row>
    <row r="630" ht="27" customHeight="1">
      <c r="A630" s="54" t="inlineStr">
        <is>
          <t>SU002803</t>
        </is>
      </c>
      <c r="B630" s="54" t="inlineStr">
        <is>
          <t>P004738</t>
        </is>
      </c>
      <c r="C630" s="31" t="n">
        <v>4301051933</v>
      </c>
      <c r="D630" s="782" t="n">
        <v>4640242180540</v>
      </c>
      <c r="E630" s="783" t="n"/>
      <c r="F630" s="1220" t="n">
        <v>1.3</v>
      </c>
      <c r="G630" s="32" t="n">
        <v>6</v>
      </c>
      <c r="H630" s="1220" t="n">
        <v>7.8</v>
      </c>
      <c r="I630" s="1220" t="n">
        <v>8.364000000000001</v>
      </c>
      <c r="J630" s="32" t="n">
        <v>56</v>
      </c>
      <c r="K630" s="32" t="inlineStr">
        <is>
          <t>8</t>
        </is>
      </c>
      <c r="L630" s="32" t="n"/>
      <c r="M630" s="33" t="inlineStr">
        <is>
          <t>СК3</t>
        </is>
      </c>
      <c r="N630" s="33" t="n"/>
      <c r="O630" s="32" t="n">
        <v>45</v>
      </c>
      <c r="P630" s="990" t="inlineStr">
        <is>
          <t>Сосиски «Сочные» Весовой п/а ТМ «Зареченские продукты»</t>
        </is>
      </c>
      <c r="Q630" s="785" t="n"/>
      <c r="R630" s="785" t="n"/>
      <c r="S630" s="785" t="n"/>
      <c r="T630" s="786" t="n"/>
      <c r="U630" s="34" t="n"/>
      <c r="V630" s="34" t="n"/>
      <c r="W630" s="35" t="inlineStr">
        <is>
          <t>кг</t>
        </is>
      </c>
      <c r="X630" s="1221" t="n">
        <v>0</v>
      </c>
      <c r="Y630" s="1222">
        <f>IFERROR(IF(X630="",0,CEILING((X630/$H630),1)*$H630),"")</f>
        <v/>
      </c>
      <c r="Z630" s="36">
        <f>IFERROR(IF(Y630=0,"",ROUNDUP(Y630/H630,0)*0.02175),"")</f>
        <v/>
      </c>
      <c r="AA630" s="56" t="n"/>
      <c r="AB630" s="57" t="n"/>
      <c r="AC630" s="739" t="inlineStr">
        <is>
          <t>ЕАЭС N RU Д-RU.РА05.В.94245/23</t>
        </is>
      </c>
      <c r="AG630" s="64" t="n"/>
      <c r="AJ630" s="68" t="n"/>
      <c r="AK630" s="68" t="n">
        <v>0</v>
      </c>
      <c r="BB630" s="740" t="inlineStr">
        <is>
          <t>КИ</t>
        </is>
      </c>
      <c r="BM630" s="64">
        <f>IFERROR(X630*I630/H630,"0")</f>
        <v/>
      </c>
      <c r="BN630" s="64">
        <f>IFERROR(Y630*I630/H630,"0")</f>
        <v/>
      </c>
      <c r="BO630" s="64">
        <f>IFERROR(1/J630*(X630/H630),"0")</f>
        <v/>
      </c>
      <c r="BP630" s="64">
        <f>IFERROR(1/J630*(Y630/H630),"0")</f>
        <v/>
      </c>
    </row>
    <row r="631" ht="27" customHeight="1">
      <c r="A631" s="54" t="inlineStr">
        <is>
          <t>SU002812</t>
        </is>
      </c>
      <c r="B631" s="54" t="inlineStr">
        <is>
          <t>P003218</t>
        </is>
      </c>
      <c r="C631" s="31" t="n">
        <v>4301051390</v>
      </c>
      <c r="D631" s="782" t="n">
        <v>4640242181233</v>
      </c>
      <c r="E631" s="783" t="n"/>
      <c r="F631" s="1220" t="n">
        <v>0.3</v>
      </c>
      <c r="G631" s="32" t="n">
        <v>6</v>
      </c>
      <c r="H631" s="1220" t="n">
        <v>1.8</v>
      </c>
      <c r="I631" s="1220" t="n">
        <v>1.984</v>
      </c>
      <c r="J631" s="32" t="n">
        <v>234</v>
      </c>
      <c r="K631" s="32" t="inlineStr">
        <is>
          <t>18</t>
        </is>
      </c>
      <c r="L631" s="32" t="n"/>
      <c r="M631" s="33" t="inlineStr">
        <is>
          <t>СК2</t>
        </is>
      </c>
      <c r="N631" s="33" t="n"/>
      <c r="O631" s="32" t="n">
        <v>40</v>
      </c>
      <c r="P631" s="940" t="inlineStr">
        <is>
          <t>Сосиски «Датские» Фикс.вес 0,3 П/а мгс ТМ «Зареченские»</t>
        </is>
      </c>
      <c r="Q631" s="785" t="n"/>
      <c r="R631" s="785" t="n"/>
      <c r="S631" s="785" t="n"/>
      <c r="T631" s="786" t="n"/>
      <c r="U631" s="34" t="n"/>
      <c r="V631" s="34" t="n"/>
      <c r="W631" s="35" t="inlineStr">
        <is>
          <t>кг</t>
        </is>
      </c>
      <c r="X631" s="1221" t="n">
        <v>0</v>
      </c>
      <c r="Y631" s="1222">
        <f>IFERROR(IF(X631="",0,CEILING((X631/$H631),1)*$H631),"")</f>
        <v/>
      </c>
      <c r="Z631" s="36">
        <f>IFERROR(IF(Y631=0,"",ROUNDUP(Y631/H631,0)*0.00502),"")</f>
        <v/>
      </c>
      <c r="AA631" s="56" t="n"/>
      <c r="AB631" s="57" t="n"/>
      <c r="AC631" s="741" t="inlineStr">
        <is>
          <t>ЕАЭС N RU Д-RU.РА05.В.94085/23</t>
        </is>
      </c>
      <c r="AG631" s="64" t="n"/>
      <c r="AJ631" s="68" t="n"/>
      <c r="AK631" s="68" t="n">
        <v>0</v>
      </c>
      <c r="BB631" s="742" t="inlineStr">
        <is>
          <t>КИ</t>
        </is>
      </c>
      <c r="BM631" s="64">
        <f>IFERROR(X631*I631/H631,"0")</f>
        <v/>
      </c>
      <c r="BN631" s="64">
        <f>IFERROR(Y631*I631/H631,"0")</f>
        <v/>
      </c>
      <c r="BO631" s="64">
        <f>IFERROR(1/J631*(X631/H631),"0")</f>
        <v/>
      </c>
      <c r="BP631" s="64">
        <f>IFERROR(1/J631*(Y631/H631),"0")</f>
        <v/>
      </c>
    </row>
    <row r="632" ht="27" customHeight="1">
      <c r="A632" s="54" t="inlineStr">
        <is>
          <t>SU002812</t>
        </is>
      </c>
      <c r="B632" s="54" t="inlineStr">
        <is>
          <t>P004879</t>
        </is>
      </c>
      <c r="C632" s="31" t="n">
        <v>4301051920</v>
      </c>
      <c r="D632" s="782" t="n">
        <v>4640242181233</v>
      </c>
      <c r="E632" s="783" t="n"/>
      <c r="F632" s="1220" t="n">
        <v>0.3</v>
      </c>
      <c r="G632" s="32" t="n">
        <v>6</v>
      </c>
      <c r="H632" s="1220" t="n">
        <v>1.8</v>
      </c>
      <c r="I632" s="1220" t="n">
        <v>2.064</v>
      </c>
      <c r="J632" s="32" t="n">
        <v>182</v>
      </c>
      <c r="K632" s="32" t="inlineStr">
        <is>
          <t>14</t>
        </is>
      </c>
      <c r="L632" s="32" t="n"/>
      <c r="M632" s="33" t="inlineStr">
        <is>
          <t>СК4</t>
        </is>
      </c>
      <c r="N632" s="33" t="n"/>
      <c r="O632" s="32" t="n">
        <v>45</v>
      </c>
      <c r="P632" s="975" t="inlineStr">
        <is>
          <t>Сосиски «Датские» Фикс.вес 0,3 п/а ТМ «Зареченские продукты»</t>
        </is>
      </c>
      <c r="Q632" s="785" t="n"/>
      <c r="R632" s="785" t="n"/>
      <c r="S632" s="785" t="n"/>
      <c r="T632" s="786" t="n"/>
      <c r="U632" s="34" t="n"/>
      <c r="V632" s="34" t="n"/>
      <c r="W632" s="35" t="inlineStr">
        <is>
          <t>кг</t>
        </is>
      </c>
      <c r="X632" s="1221" t="n">
        <v>0</v>
      </c>
      <c r="Y632" s="1222">
        <f>IFERROR(IF(X632="",0,CEILING((X632/$H632),1)*$H632),"")</f>
        <v/>
      </c>
      <c r="Z632" s="36">
        <f>IFERROR(IF(Y632=0,"",ROUNDUP(Y632/H632,0)*0.00651),"")</f>
        <v/>
      </c>
      <c r="AA632" s="56" t="n"/>
      <c r="AB632" s="57" t="n"/>
      <c r="AC632" s="743" t="inlineStr">
        <is>
          <t>ЕАЭС N RU Д-RU.РА05.В.94085/23</t>
        </is>
      </c>
      <c r="AG632" s="64" t="n"/>
      <c r="AJ632" s="68" t="n"/>
      <c r="AK632" s="68" t="n">
        <v>0</v>
      </c>
      <c r="BB632" s="744" t="inlineStr">
        <is>
          <t>КИ</t>
        </is>
      </c>
      <c r="BM632" s="64">
        <f>IFERROR(X632*I632/H632,"0")</f>
        <v/>
      </c>
      <c r="BN632" s="64">
        <f>IFERROR(Y632*I632/H632,"0")</f>
        <v/>
      </c>
      <c r="BO632" s="64">
        <f>IFERROR(1/J632*(X632/H632),"0")</f>
        <v/>
      </c>
      <c r="BP632" s="64">
        <f>IFERROR(1/J632*(Y632/H632),"0")</f>
        <v/>
      </c>
    </row>
    <row r="633" ht="27" customHeight="1">
      <c r="A633" s="54" t="inlineStr">
        <is>
          <t>SU002922</t>
        </is>
      </c>
      <c r="B633" s="54" t="inlineStr">
        <is>
          <t>P003358</t>
        </is>
      </c>
      <c r="C633" s="31" t="n">
        <v>4301051448</v>
      </c>
      <c r="D633" s="782" t="n">
        <v>4640242181226</v>
      </c>
      <c r="E633" s="783" t="n"/>
      <c r="F633" s="1220" t="n">
        <v>0.3</v>
      </c>
      <c r="G633" s="32" t="n">
        <v>6</v>
      </c>
      <c r="H633" s="1220" t="n">
        <v>1.8</v>
      </c>
      <c r="I633" s="1220" t="n">
        <v>1.972</v>
      </c>
      <c r="J633" s="32" t="n">
        <v>234</v>
      </c>
      <c r="K633" s="32" t="inlineStr">
        <is>
          <t>18</t>
        </is>
      </c>
      <c r="L633" s="32" t="n"/>
      <c r="M633" s="33" t="inlineStr">
        <is>
          <t>СК2</t>
        </is>
      </c>
      <c r="N633" s="33" t="n"/>
      <c r="O633" s="32" t="n">
        <v>30</v>
      </c>
      <c r="P633" s="929" t="inlineStr">
        <is>
          <t>Сосиски «Сочные» Фикс.Вес 0,3 п/а ТМ «Зареченские»</t>
        </is>
      </c>
      <c r="Q633" s="785" t="n"/>
      <c r="R633" s="785" t="n"/>
      <c r="S633" s="785" t="n"/>
      <c r="T633" s="786" t="n"/>
      <c r="U633" s="34" t="n"/>
      <c r="V633" s="34" t="n"/>
      <c r="W633" s="35" t="inlineStr">
        <is>
          <t>кг</t>
        </is>
      </c>
      <c r="X633" s="1221" t="n">
        <v>0</v>
      </c>
      <c r="Y633" s="1222">
        <f>IFERROR(IF(X633="",0,CEILING((X633/$H633),1)*$H633),"")</f>
        <v/>
      </c>
      <c r="Z633" s="36">
        <f>IFERROR(IF(Y633=0,"",ROUNDUP(Y633/H633,0)*0.00502),"")</f>
        <v/>
      </c>
      <c r="AA633" s="56" t="n"/>
      <c r="AB633" s="57" t="n"/>
      <c r="AC633" s="745" t="inlineStr">
        <is>
          <t>ЕАЭС N RU Д-RU.РА05.В.94245/23</t>
        </is>
      </c>
      <c r="AG633" s="64" t="n"/>
      <c r="AJ633" s="68" t="n"/>
      <c r="AK633" s="68" t="n">
        <v>0</v>
      </c>
      <c r="BB633" s="746" t="inlineStr">
        <is>
          <t>КИ</t>
        </is>
      </c>
      <c r="BM633" s="64">
        <f>IFERROR(X633*I633/H633,"0")</f>
        <v/>
      </c>
      <c r="BN633" s="64">
        <f>IFERROR(Y633*I633/H633,"0")</f>
        <v/>
      </c>
      <c r="BO633" s="64">
        <f>IFERROR(1/J633*(X633/H633),"0")</f>
        <v/>
      </c>
      <c r="BP633" s="64">
        <f>IFERROR(1/J633*(Y633/H633),"0")</f>
        <v/>
      </c>
    </row>
    <row r="634" ht="27" customHeight="1">
      <c r="A634" s="54" t="inlineStr">
        <is>
          <t>SU002922</t>
        </is>
      </c>
      <c r="B634" s="54" t="inlineStr">
        <is>
          <t>P004880</t>
        </is>
      </c>
      <c r="C634" s="31" t="n">
        <v>4301051921</v>
      </c>
      <c r="D634" s="782" t="n">
        <v>4640242181226</v>
      </c>
      <c r="E634" s="783" t="n"/>
      <c r="F634" s="1220" t="n">
        <v>0.3</v>
      </c>
      <c r="G634" s="32" t="n">
        <v>6</v>
      </c>
      <c r="H634" s="1220" t="n">
        <v>1.8</v>
      </c>
      <c r="I634" s="1220" t="n">
        <v>2.052</v>
      </c>
      <c r="J634" s="32" t="n">
        <v>182</v>
      </c>
      <c r="K634" s="32" t="inlineStr">
        <is>
          <t>14</t>
        </is>
      </c>
      <c r="L634" s="32" t="n"/>
      <c r="M634" s="33" t="inlineStr">
        <is>
          <t>СК4</t>
        </is>
      </c>
      <c r="N634" s="33" t="n"/>
      <c r="O634" s="32" t="n">
        <v>45</v>
      </c>
      <c r="P634" s="1149" t="inlineStr">
        <is>
          <t>Сосиски «Сочные» Фикс.вес 0,3 п/а ТМ «Зареченские продукты»</t>
        </is>
      </c>
      <c r="Q634" s="785" t="n"/>
      <c r="R634" s="785" t="n"/>
      <c r="S634" s="785" t="n"/>
      <c r="T634" s="786" t="n"/>
      <c r="U634" s="34" t="n"/>
      <c r="V634" s="34" t="n"/>
      <c r="W634" s="35" t="inlineStr">
        <is>
          <t>кг</t>
        </is>
      </c>
      <c r="X634" s="1221" t="n">
        <v>0</v>
      </c>
      <c r="Y634" s="1222">
        <f>IFERROR(IF(X634="",0,CEILING((X634/$H634),1)*$H634),"")</f>
        <v/>
      </c>
      <c r="Z634" s="36">
        <f>IFERROR(IF(Y634=0,"",ROUNDUP(Y634/H634,0)*0.00651),"")</f>
        <v/>
      </c>
      <c r="AA634" s="56" t="n"/>
      <c r="AB634" s="57" t="n"/>
      <c r="AC634" s="747" t="inlineStr">
        <is>
          <t>ЕАЭС N RU Д-RU.РА05.В.94245/23</t>
        </is>
      </c>
      <c r="AG634" s="64" t="n"/>
      <c r="AJ634" s="68" t="n"/>
      <c r="AK634" s="68" t="n">
        <v>0</v>
      </c>
      <c r="BB634" s="748" t="inlineStr">
        <is>
          <t>КИ</t>
        </is>
      </c>
      <c r="BM634" s="64">
        <f>IFERROR(X634*I634/H634,"0")</f>
        <v/>
      </c>
      <c r="BN634" s="64">
        <f>IFERROR(Y634*I634/H634,"0")</f>
        <v/>
      </c>
      <c r="BO634" s="64">
        <f>IFERROR(1/J634*(X634/H634),"0")</f>
        <v/>
      </c>
      <c r="BP634" s="64">
        <f>IFERROR(1/J634*(Y634/H634),"0")</f>
        <v/>
      </c>
    </row>
    <row r="635">
      <c r="A635" s="801" t="n"/>
      <c r="B635" s="800" t="n"/>
      <c r="C635" s="800" t="n"/>
      <c r="D635" s="800" t="n"/>
      <c r="E635" s="800" t="n"/>
      <c r="F635" s="800" t="n"/>
      <c r="G635" s="800" t="n"/>
      <c r="H635" s="800" t="n"/>
      <c r="I635" s="800" t="n"/>
      <c r="J635" s="800" t="n"/>
      <c r="K635" s="800" t="n"/>
      <c r="L635" s="800" t="n"/>
      <c r="M635" s="800" t="n"/>
      <c r="N635" s="800" t="n"/>
      <c r="O635" s="802" t="n"/>
      <c r="P635" s="796" t="inlineStr">
        <is>
          <t>Итого</t>
        </is>
      </c>
      <c r="Q635" s="793" t="n"/>
      <c r="R635" s="793" t="n"/>
      <c r="S635" s="793" t="n"/>
      <c r="T635" s="793" t="n"/>
      <c r="U635" s="793" t="n"/>
      <c r="V635" s="794" t="n"/>
      <c r="W635" s="37" t="inlineStr">
        <is>
          <t>кор</t>
        </is>
      </c>
      <c r="X635" s="1223">
        <f>IFERROR(X627/H627,"0")+IFERROR(X628/H628,"0")+IFERROR(X629/H629,"0")+IFERROR(X630/H630,"0")+IFERROR(X631/H631,"0")+IFERROR(X632/H632,"0")+IFERROR(X633/H633,"0")+IFERROR(X634/H634,"0")</f>
        <v/>
      </c>
      <c r="Y635" s="1223">
        <f>IFERROR(Y627/H627,"0")+IFERROR(Y628/H628,"0")+IFERROR(Y629/H629,"0")+IFERROR(Y630/H630,"0")+IFERROR(Y631/H631,"0")+IFERROR(Y632/H632,"0")+IFERROR(Y633/H633,"0")+IFERROR(Y634/H634,"0")</f>
        <v/>
      </c>
      <c r="Z635" s="1223">
        <f>IFERROR(IF(Z627="",0,Z627),"0")+IFERROR(IF(Z628="",0,Z628),"0")+IFERROR(IF(Z629="",0,Z629),"0")+IFERROR(IF(Z630="",0,Z630),"0")+IFERROR(IF(Z631="",0,Z631),"0")+IFERROR(IF(Z632="",0,Z632),"0")+IFERROR(IF(Z633="",0,Z633),"0")+IFERROR(IF(Z634="",0,Z634),"0")</f>
        <v/>
      </c>
      <c r="AA635" s="1224" t="n"/>
      <c r="AB635" s="1224" t="n"/>
      <c r="AC635" s="1224" t="n"/>
    </row>
    <row r="636">
      <c r="A636" s="800" t="n"/>
      <c r="B636" s="800" t="n"/>
      <c r="C636" s="800" t="n"/>
      <c r="D636" s="800" t="n"/>
      <c r="E636" s="800" t="n"/>
      <c r="F636" s="800" t="n"/>
      <c r="G636" s="800" t="n"/>
      <c r="H636" s="800" t="n"/>
      <c r="I636" s="800" t="n"/>
      <c r="J636" s="800" t="n"/>
      <c r="K636" s="800" t="n"/>
      <c r="L636" s="800" t="n"/>
      <c r="M636" s="800" t="n"/>
      <c r="N636" s="800" t="n"/>
      <c r="O636" s="802" t="n"/>
      <c r="P636" s="796" t="inlineStr">
        <is>
          <t>Итого</t>
        </is>
      </c>
      <c r="Q636" s="793" t="n"/>
      <c r="R636" s="793" t="n"/>
      <c r="S636" s="793" t="n"/>
      <c r="T636" s="793" t="n"/>
      <c r="U636" s="793" t="n"/>
      <c r="V636" s="794" t="n"/>
      <c r="W636" s="37" t="inlineStr">
        <is>
          <t>кг</t>
        </is>
      </c>
      <c r="X636" s="1223">
        <f>IFERROR(SUM(X627:X634),"0")</f>
        <v/>
      </c>
      <c r="Y636" s="1223">
        <f>IFERROR(SUM(Y627:Y634),"0")</f>
        <v/>
      </c>
      <c r="Z636" s="37" t="n"/>
      <c r="AA636" s="1224" t="n"/>
      <c r="AB636" s="1224" t="n"/>
      <c r="AC636" s="1224" t="n"/>
    </row>
    <row r="637" ht="14.25" customHeight="1">
      <c r="A637" s="799" t="inlineStr">
        <is>
          <t>Сардельки</t>
        </is>
      </c>
      <c r="B637" s="800" t="n"/>
      <c r="C637" s="800" t="n"/>
      <c r="D637" s="800" t="n"/>
      <c r="E637" s="800" t="n"/>
      <c r="F637" s="800" t="n"/>
      <c r="G637" s="800" t="n"/>
      <c r="H637" s="800" t="n"/>
      <c r="I637" s="800" t="n"/>
      <c r="J637" s="800" t="n"/>
      <c r="K637" s="800" t="n"/>
      <c r="L637" s="800" t="n"/>
      <c r="M637" s="800" t="n"/>
      <c r="N637" s="800" t="n"/>
      <c r="O637" s="800" t="n"/>
      <c r="P637" s="800" t="n"/>
      <c r="Q637" s="800" t="n"/>
      <c r="R637" s="800" t="n"/>
      <c r="S637" s="800" t="n"/>
      <c r="T637" s="800" t="n"/>
      <c r="U637" s="800" t="n"/>
      <c r="V637" s="800" t="n"/>
      <c r="W637" s="800" t="n"/>
      <c r="X637" s="800" t="n"/>
      <c r="Y637" s="800" t="n"/>
      <c r="Z637" s="800" t="n"/>
      <c r="AA637" s="799" t="n"/>
      <c r="AB637" s="799" t="n"/>
      <c r="AC637" s="799" t="n"/>
    </row>
    <row r="638" ht="27" customHeight="1">
      <c r="A638" s="54" t="inlineStr">
        <is>
          <t>SU002970</t>
        </is>
      </c>
      <c r="B638" s="54" t="inlineStr">
        <is>
          <t>P003422</t>
        </is>
      </c>
      <c r="C638" s="31" t="n">
        <v>4301060354</v>
      </c>
      <c r="D638" s="782" t="n">
        <v>4640242180120</v>
      </c>
      <c r="E638" s="783" t="n"/>
      <c r="F638" s="1220" t="n">
        <v>1.3</v>
      </c>
      <c r="G638" s="32" t="n">
        <v>6</v>
      </c>
      <c r="H638" s="1220" t="n">
        <v>7.8</v>
      </c>
      <c r="I638" s="1220" t="n">
        <v>8.279999999999999</v>
      </c>
      <c r="J638" s="32" t="n">
        <v>56</v>
      </c>
      <c r="K638" s="32" t="inlineStr">
        <is>
          <t>8</t>
        </is>
      </c>
      <c r="L638" s="32" t="n"/>
      <c r="M638" s="33" t="inlineStr">
        <is>
          <t>СК2</t>
        </is>
      </c>
      <c r="N638" s="33" t="n"/>
      <c r="O638" s="32" t="n">
        <v>40</v>
      </c>
      <c r="P638" s="1094" t="inlineStr">
        <is>
          <t>Сардельки Зареченские Весовой NDX ТМ Зареченские</t>
        </is>
      </c>
      <c r="Q638" s="785" t="n"/>
      <c r="R638" s="785" t="n"/>
      <c r="S638" s="785" t="n"/>
      <c r="T638" s="786" t="n"/>
      <c r="U638" s="34" t="n"/>
      <c r="V638" s="34" t="n"/>
      <c r="W638" s="35" t="inlineStr">
        <is>
          <t>кг</t>
        </is>
      </c>
      <c r="X638" s="1221" t="n">
        <v>0</v>
      </c>
      <c r="Y638" s="1222">
        <f>IFERROR(IF(X638="",0,CEILING((X638/$H638),1)*$H638),"")</f>
        <v/>
      </c>
      <c r="Z638" s="36">
        <f>IFERROR(IF(Y638=0,"",ROUNDUP(Y638/H638,0)*0.02175),"")</f>
        <v/>
      </c>
      <c r="AA638" s="56" t="n"/>
      <c r="AB638" s="57" t="n"/>
      <c r="AC638" s="749" t="inlineStr">
        <is>
          <t>ЕАЭС N RU Д-RU.РА05.В.10039/23</t>
        </is>
      </c>
      <c r="AG638" s="64" t="n"/>
      <c r="AJ638" s="68" t="n"/>
      <c r="AK638" s="68" t="n">
        <v>0</v>
      </c>
      <c r="BB638" s="750" t="inlineStr">
        <is>
          <t>КИ</t>
        </is>
      </c>
      <c r="BM638" s="64">
        <f>IFERROR(X638*I638/H638,"0")</f>
        <v/>
      </c>
      <c r="BN638" s="64">
        <f>IFERROR(Y638*I638/H638,"0")</f>
        <v/>
      </c>
      <c r="BO638" s="64">
        <f>IFERROR(1/J638*(X638/H638),"0")</f>
        <v/>
      </c>
      <c r="BP638" s="64">
        <f>IFERROR(1/J638*(Y638/H638),"0")</f>
        <v/>
      </c>
    </row>
    <row r="639" ht="27" customHeight="1">
      <c r="A639" s="54" t="inlineStr">
        <is>
          <t>SU002970</t>
        </is>
      </c>
      <c r="B639" s="54" t="inlineStr">
        <is>
          <t>P004319</t>
        </is>
      </c>
      <c r="C639" s="31" t="n">
        <v>4301060408</v>
      </c>
      <c r="D639" s="782" t="n">
        <v>4640242180120</v>
      </c>
      <c r="E639" s="783" t="n"/>
      <c r="F639" s="1220" t="n">
        <v>1.3</v>
      </c>
      <c r="G639" s="32" t="n">
        <v>6</v>
      </c>
      <c r="H639" s="1220" t="n">
        <v>7.8</v>
      </c>
      <c r="I639" s="1220" t="n">
        <v>8.279999999999999</v>
      </c>
      <c r="J639" s="32" t="n">
        <v>56</v>
      </c>
      <c r="K639" s="32" t="inlineStr">
        <is>
          <t>8</t>
        </is>
      </c>
      <c r="L639" s="32" t="n"/>
      <c r="M639" s="33" t="inlineStr">
        <is>
          <t>СК2</t>
        </is>
      </c>
      <c r="N639" s="33" t="n"/>
      <c r="O639" s="32" t="n">
        <v>40</v>
      </c>
      <c r="P639" s="983" t="inlineStr">
        <is>
          <t>Сардельки «Зареченские» Весовой NDX ТМ «Зареченские» HR</t>
        </is>
      </c>
      <c r="Q639" s="785" t="n"/>
      <c r="R639" s="785" t="n"/>
      <c r="S639" s="785" t="n"/>
      <c r="T639" s="786" t="n"/>
      <c r="U639" s="34" t="n"/>
      <c r="V639" s="34" t="n"/>
      <c r="W639" s="35" t="inlineStr">
        <is>
          <t>кг</t>
        </is>
      </c>
      <c r="X639" s="1221" t="n">
        <v>0</v>
      </c>
      <c r="Y639" s="1222">
        <f>IFERROR(IF(X639="",0,CEILING((X639/$H639),1)*$H639),"")</f>
        <v/>
      </c>
      <c r="Z639" s="36">
        <f>IFERROR(IF(Y639=0,"",ROUNDUP(Y639/H639,0)*0.02175),"")</f>
        <v/>
      </c>
      <c r="AA639" s="56" t="n"/>
      <c r="AB639" s="57" t="n"/>
      <c r="AC639" s="751" t="inlineStr">
        <is>
          <t>ЕАЭС N RU Д-RU.РА05.В.10039/23</t>
        </is>
      </c>
      <c r="AG639" s="64" t="n"/>
      <c r="AJ639" s="68" t="n"/>
      <c r="AK639" s="68" t="n">
        <v>0</v>
      </c>
      <c r="BB639" s="752" t="inlineStr">
        <is>
          <t>КИ</t>
        </is>
      </c>
      <c r="BM639" s="64">
        <f>IFERROR(X639*I639/H639,"0")</f>
        <v/>
      </c>
      <c r="BN639" s="64">
        <f>IFERROR(Y639*I639/H639,"0")</f>
        <v/>
      </c>
      <c r="BO639" s="64">
        <f>IFERROR(1/J639*(X639/H639),"0")</f>
        <v/>
      </c>
      <c r="BP639" s="64">
        <f>IFERROR(1/J639*(Y639/H639),"0")</f>
        <v/>
      </c>
    </row>
    <row r="640" ht="27" customHeight="1">
      <c r="A640" s="54" t="inlineStr">
        <is>
          <t>SU002971</t>
        </is>
      </c>
      <c r="B640" s="54" t="inlineStr">
        <is>
          <t>P003425</t>
        </is>
      </c>
      <c r="C640" s="31" t="n">
        <v>4301060355</v>
      </c>
      <c r="D640" s="782" t="n">
        <v>4640242180137</v>
      </c>
      <c r="E640" s="783" t="n"/>
      <c r="F640" s="1220" t="n">
        <v>1.3</v>
      </c>
      <c r="G640" s="32" t="n">
        <v>6</v>
      </c>
      <c r="H640" s="1220" t="n">
        <v>7.8</v>
      </c>
      <c r="I640" s="1220" t="n">
        <v>8.279999999999999</v>
      </c>
      <c r="J640" s="32" t="n">
        <v>56</v>
      </c>
      <c r="K640" s="32" t="inlineStr">
        <is>
          <t>8</t>
        </is>
      </c>
      <c r="L640" s="32" t="n"/>
      <c r="M640" s="33" t="inlineStr">
        <is>
          <t>СК2</t>
        </is>
      </c>
      <c r="N640" s="33" t="n"/>
      <c r="O640" s="32" t="n">
        <v>40</v>
      </c>
      <c r="P640" s="1095" t="inlineStr">
        <is>
          <t>Сардельки Шпикачки Зареченские Весовой NDX ТМ Зареченские</t>
        </is>
      </c>
      <c r="Q640" s="785" t="n"/>
      <c r="R640" s="785" t="n"/>
      <c r="S640" s="785" t="n"/>
      <c r="T640" s="786" t="n"/>
      <c r="U640" s="34" t="n"/>
      <c r="V640" s="34" t="n"/>
      <c r="W640" s="35" t="inlineStr">
        <is>
          <t>кг</t>
        </is>
      </c>
      <c r="X640" s="1221" t="n">
        <v>0</v>
      </c>
      <c r="Y640" s="1222">
        <f>IFERROR(IF(X640="",0,CEILING((X640/$H640),1)*$H640),"")</f>
        <v/>
      </c>
      <c r="Z640" s="36">
        <f>IFERROR(IF(Y640=0,"",ROUNDUP(Y640/H640,0)*0.02175),"")</f>
        <v/>
      </c>
      <c r="AA640" s="56" t="n"/>
      <c r="AB640" s="57" t="n"/>
      <c r="AC640" s="753" t="inlineStr">
        <is>
          <t>ЕАЭС N RU Д-RU.РА05.В.12010/23</t>
        </is>
      </c>
      <c r="AG640" s="64" t="n"/>
      <c r="AJ640" s="68" t="n"/>
      <c r="AK640" s="68" t="n">
        <v>0</v>
      </c>
      <c r="BB640" s="754" t="inlineStr">
        <is>
          <t>КИ</t>
        </is>
      </c>
      <c r="BM640" s="64">
        <f>IFERROR(X640*I640/H640,"0")</f>
        <v/>
      </c>
      <c r="BN640" s="64">
        <f>IFERROR(Y640*I640/H640,"0")</f>
        <v/>
      </c>
      <c r="BO640" s="64">
        <f>IFERROR(1/J640*(X640/H640),"0")</f>
        <v/>
      </c>
      <c r="BP640" s="64">
        <f>IFERROR(1/J640*(Y640/H640),"0")</f>
        <v/>
      </c>
    </row>
    <row r="641" ht="27" customHeight="1">
      <c r="A641" s="54" t="inlineStr">
        <is>
          <t>SU002971</t>
        </is>
      </c>
      <c r="B641" s="54" t="inlineStr">
        <is>
          <t>P004320</t>
        </is>
      </c>
      <c r="C641" s="31" t="n">
        <v>4301060407</v>
      </c>
      <c r="D641" s="782" t="n">
        <v>4640242180137</v>
      </c>
      <c r="E641" s="783" t="n"/>
      <c r="F641" s="1220" t="n">
        <v>1.3</v>
      </c>
      <c r="G641" s="32" t="n">
        <v>6</v>
      </c>
      <c r="H641" s="1220" t="n">
        <v>7.8</v>
      </c>
      <c r="I641" s="1220" t="n">
        <v>8.279999999999999</v>
      </c>
      <c r="J641" s="32" t="n">
        <v>56</v>
      </c>
      <c r="K641" s="32" t="inlineStr">
        <is>
          <t>8</t>
        </is>
      </c>
      <c r="L641" s="32" t="n"/>
      <c r="M641" s="33" t="inlineStr">
        <is>
          <t>СК2</t>
        </is>
      </c>
      <c r="N641" s="33" t="n"/>
      <c r="O641" s="32" t="n">
        <v>40</v>
      </c>
      <c r="P641" s="892" t="inlineStr">
        <is>
          <t>Сардельки «Шпикачки Зареченские» Весовой NDX ТМ «Зареченские» HR</t>
        </is>
      </c>
      <c r="Q641" s="785" t="n"/>
      <c r="R641" s="785" t="n"/>
      <c r="S641" s="785" t="n"/>
      <c r="T641" s="786" t="n"/>
      <c r="U641" s="34" t="n"/>
      <c r="V641" s="34" t="n"/>
      <c r="W641" s="35" t="inlineStr">
        <is>
          <t>кг</t>
        </is>
      </c>
      <c r="X641" s="1221" t="n">
        <v>0</v>
      </c>
      <c r="Y641" s="1222">
        <f>IFERROR(IF(X641="",0,CEILING((X641/$H641),1)*$H641),"")</f>
        <v/>
      </c>
      <c r="Z641" s="36">
        <f>IFERROR(IF(Y641=0,"",ROUNDUP(Y641/H641,0)*0.02175),"")</f>
        <v/>
      </c>
      <c r="AA641" s="56" t="n"/>
      <c r="AB641" s="57" t="n"/>
      <c r="AC641" s="755" t="inlineStr">
        <is>
          <t>ЕАЭС N RU Д-RU.РА05.В.12010/23</t>
        </is>
      </c>
      <c r="AG641" s="64" t="n"/>
      <c r="AJ641" s="68" t="n"/>
      <c r="AK641" s="68" t="n">
        <v>0</v>
      </c>
      <c r="BB641" s="756" t="inlineStr">
        <is>
          <t>КИ</t>
        </is>
      </c>
      <c r="BM641" s="64">
        <f>IFERROR(X641*I641/H641,"0")</f>
        <v/>
      </c>
      <c r="BN641" s="64">
        <f>IFERROR(Y641*I641/H641,"0")</f>
        <v/>
      </c>
      <c r="BO641" s="64">
        <f>IFERROR(1/J641*(X641/H641),"0")</f>
        <v/>
      </c>
      <c r="BP641" s="64">
        <f>IFERROR(1/J641*(Y641/H641),"0")</f>
        <v/>
      </c>
    </row>
    <row r="642">
      <c r="A642" s="801" t="n"/>
      <c r="B642" s="800" t="n"/>
      <c r="C642" s="800" t="n"/>
      <c r="D642" s="800" t="n"/>
      <c r="E642" s="800" t="n"/>
      <c r="F642" s="800" t="n"/>
      <c r="G642" s="800" t="n"/>
      <c r="H642" s="800" t="n"/>
      <c r="I642" s="800" t="n"/>
      <c r="J642" s="800" t="n"/>
      <c r="K642" s="800" t="n"/>
      <c r="L642" s="800" t="n"/>
      <c r="M642" s="800" t="n"/>
      <c r="N642" s="800" t="n"/>
      <c r="O642" s="802" t="n"/>
      <c r="P642" s="796" t="inlineStr">
        <is>
          <t>Итого</t>
        </is>
      </c>
      <c r="Q642" s="793" t="n"/>
      <c r="R642" s="793" t="n"/>
      <c r="S642" s="793" t="n"/>
      <c r="T642" s="793" t="n"/>
      <c r="U642" s="793" t="n"/>
      <c r="V642" s="794" t="n"/>
      <c r="W642" s="37" t="inlineStr">
        <is>
          <t>кор</t>
        </is>
      </c>
      <c r="X642" s="1223">
        <f>IFERROR(X638/H638,"0")+IFERROR(X639/H639,"0")+IFERROR(X640/H640,"0")+IFERROR(X641/H641,"0")</f>
        <v/>
      </c>
      <c r="Y642" s="1223">
        <f>IFERROR(Y638/H638,"0")+IFERROR(Y639/H639,"0")+IFERROR(Y640/H640,"0")+IFERROR(Y641/H641,"0")</f>
        <v/>
      </c>
      <c r="Z642" s="1223">
        <f>IFERROR(IF(Z638="",0,Z638),"0")+IFERROR(IF(Z639="",0,Z639),"0")+IFERROR(IF(Z640="",0,Z640),"0")+IFERROR(IF(Z641="",0,Z641),"0")</f>
        <v/>
      </c>
      <c r="AA642" s="1224" t="n"/>
      <c r="AB642" s="1224" t="n"/>
      <c r="AC642" s="1224" t="n"/>
    </row>
    <row r="643">
      <c r="A643" s="800" t="n"/>
      <c r="B643" s="800" t="n"/>
      <c r="C643" s="800" t="n"/>
      <c r="D643" s="800" t="n"/>
      <c r="E643" s="800" t="n"/>
      <c r="F643" s="800" t="n"/>
      <c r="G643" s="800" t="n"/>
      <c r="H643" s="800" t="n"/>
      <c r="I643" s="800" t="n"/>
      <c r="J643" s="800" t="n"/>
      <c r="K643" s="800" t="n"/>
      <c r="L643" s="800" t="n"/>
      <c r="M643" s="800" t="n"/>
      <c r="N643" s="800" t="n"/>
      <c r="O643" s="802" t="n"/>
      <c r="P643" s="796" t="inlineStr">
        <is>
          <t>Итого</t>
        </is>
      </c>
      <c r="Q643" s="793" t="n"/>
      <c r="R643" s="793" t="n"/>
      <c r="S643" s="793" t="n"/>
      <c r="T643" s="793" t="n"/>
      <c r="U643" s="793" t="n"/>
      <c r="V643" s="794" t="n"/>
      <c r="W643" s="37" t="inlineStr">
        <is>
          <t>кг</t>
        </is>
      </c>
      <c r="X643" s="1223">
        <f>IFERROR(SUM(X638:X641),"0")</f>
        <v/>
      </c>
      <c r="Y643" s="1223">
        <f>IFERROR(SUM(Y638:Y641),"0")</f>
        <v/>
      </c>
      <c r="Z643" s="37" t="n"/>
      <c r="AA643" s="1224" t="n"/>
      <c r="AB643" s="1224" t="n"/>
      <c r="AC643" s="1224" t="n"/>
    </row>
    <row r="644" ht="16.5" customHeight="1">
      <c r="A644" s="807" t="inlineStr">
        <is>
          <t>Зареченские продукты Светофор</t>
        </is>
      </c>
      <c r="B644" s="800" t="n"/>
      <c r="C644" s="800" t="n"/>
      <c r="D644" s="800" t="n"/>
      <c r="E644" s="800" t="n"/>
      <c r="F644" s="800" t="n"/>
      <c r="G644" s="800" t="n"/>
      <c r="H644" s="800" t="n"/>
      <c r="I644" s="800" t="n"/>
      <c r="J644" s="800" t="n"/>
      <c r="K644" s="800" t="n"/>
      <c r="L644" s="800" t="n"/>
      <c r="M644" s="800" t="n"/>
      <c r="N644" s="800" t="n"/>
      <c r="O644" s="800" t="n"/>
      <c r="P644" s="800" t="n"/>
      <c r="Q644" s="800" t="n"/>
      <c r="R644" s="800" t="n"/>
      <c r="S644" s="800" t="n"/>
      <c r="T644" s="800" t="n"/>
      <c r="U644" s="800" t="n"/>
      <c r="V644" s="800" t="n"/>
      <c r="W644" s="800" t="n"/>
      <c r="X644" s="800" t="n"/>
      <c r="Y644" s="800" t="n"/>
      <c r="Z644" s="800" t="n"/>
      <c r="AA644" s="807" t="n"/>
      <c r="AB644" s="807" t="n"/>
      <c r="AC644" s="807" t="n"/>
    </row>
    <row r="645" ht="14.25" customHeight="1">
      <c r="A645" s="799" t="inlineStr">
        <is>
          <t>Вареные колбасы</t>
        </is>
      </c>
      <c r="B645" s="800" t="n"/>
      <c r="C645" s="800" t="n"/>
      <c r="D645" s="800" t="n"/>
      <c r="E645" s="800" t="n"/>
      <c r="F645" s="800" t="n"/>
      <c r="G645" s="800" t="n"/>
      <c r="H645" s="800" t="n"/>
      <c r="I645" s="800" t="n"/>
      <c r="J645" s="800" t="n"/>
      <c r="K645" s="800" t="n"/>
      <c r="L645" s="800" t="n"/>
      <c r="M645" s="800" t="n"/>
      <c r="N645" s="800" t="n"/>
      <c r="O645" s="800" t="n"/>
      <c r="P645" s="800" t="n"/>
      <c r="Q645" s="800" t="n"/>
      <c r="R645" s="800" t="n"/>
      <c r="S645" s="800" t="n"/>
      <c r="T645" s="800" t="n"/>
      <c r="U645" s="800" t="n"/>
      <c r="V645" s="800" t="n"/>
      <c r="W645" s="800" t="n"/>
      <c r="X645" s="800" t="n"/>
      <c r="Y645" s="800" t="n"/>
      <c r="Z645" s="800" t="n"/>
      <c r="AA645" s="799" t="n"/>
      <c r="AB645" s="799" t="n"/>
      <c r="AC645" s="799" t="n"/>
    </row>
    <row r="646" ht="27" customHeight="1">
      <c r="A646" s="54" t="inlineStr">
        <is>
          <t>SU002963</t>
        </is>
      </c>
      <c r="B646" s="54" t="inlineStr">
        <is>
          <t>P004322</t>
        </is>
      </c>
      <c r="C646" s="31" t="n">
        <v>4301011951</v>
      </c>
      <c r="D646" s="782" t="n">
        <v>4640242180045</v>
      </c>
      <c r="E646" s="783" t="n"/>
      <c r="F646" s="1220" t="n">
        <v>1.5</v>
      </c>
      <c r="G646" s="32" t="n">
        <v>8</v>
      </c>
      <c r="H646" s="1220" t="n">
        <v>12</v>
      </c>
      <c r="I646" s="1220" t="n">
        <v>12.48</v>
      </c>
      <c r="J646" s="32" t="n">
        <v>56</v>
      </c>
      <c r="K646" s="32" t="inlineStr">
        <is>
          <t>8</t>
        </is>
      </c>
      <c r="L646" s="32" t="n"/>
      <c r="M646" s="33" t="inlineStr">
        <is>
          <t>СК1</t>
        </is>
      </c>
      <c r="N646" s="33" t="n"/>
      <c r="O646" s="32" t="n">
        <v>55</v>
      </c>
      <c r="P646" s="904" t="inlineStr">
        <is>
          <t>Вареные колбасы «Молочная классическая» Весовой п/а ТМ «Зареченские» HR</t>
        </is>
      </c>
      <c r="Q646" s="785" t="n"/>
      <c r="R646" s="785" t="n"/>
      <c r="S646" s="785" t="n"/>
      <c r="T646" s="786" t="n"/>
      <c r="U646" s="34" t="n"/>
      <c r="V646" s="34" t="n"/>
      <c r="W646" s="35" t="inlineStr">
        <is>
          <t>кг</t>
        </is>
      </c>
      <c r="X646" s="1221" t="n">
        <v>0</v>
      </c>
      <c r="Y646" s="1222">
        <f>IFERROR(IF(X646="",0,CEILING((X646/$H646),1)*$H646),"")</f>
        <v/>
      </c>
      <c r="Z646" s="36">
        <f>IFERROR(IF(Y646=0,"",ROUNDUP(Y646/H646,0)*0.02175),"")</f>
        <v/>
      </c>
      <c r="AA646" s="56" t="n"/>
      <c r="AB646" s="57" t="n"/>
      <c r="AC646" s="757" t="inlineStr">
        <is>
          <t>ЕАЭС N RU Д-RU.РА05.В.10282/23</t>
        </is>
      </c>
      <c r="AG646" s="64" t="n"/>
      <c r="AJ646" s="68" t="n"/>
      <c r="AK646" s="68" t="n">
        <v>0</v>
      </c>
      <c r="BB646" s="758" t="inlineStr">
        <is>
          <t>КИ</t>
        </is>
      </c>
      <c r="BM646" s="64">
        <f>IFERROR(X646*I646/H646,"0")</f>
        <v/>
      </c>
      <c r="BN646" s="64">
        <f>IFERROR(Y646*I646/H646,"0")</f>
        <v/>
      </c>
      <c r="BO646" s="64">
        <f>IFERROR(1/J646*(X646/H646),"0")</f>
        <v/>
      </c>
      <c r="BP646" s="64">
        <f>IFERROR(1/J646*(Y646/H646),"0")</f>
        <v/>
      </c>
    </row>
    <row r="647" ht="27" customHeight="1">
      <c r="A647" s="54" t="inlineStr">
        <is>
          <t>SU003055</t>
        </is>
      </c>
      <c r="B647" s="54" t="inlineStr">
        <is>
          <t>P004323</t>
        </is>
      </c>
      <c r="C647" s="31" t="n">
        <v>4301011950</v>
      </c>
      <c r="D647" s="782" t="n">
        <v>4640242180601</v>
      </c>
      <c r="E647" s="783" t="n"/>
      <c r="F647" s="1220" t="n">
        <v>1.5</v>
      </c>
      <c r="G647" s="32" t="n">
        <v>8</v>
      </c>
      <c r="H647" s="1220" t="n">
        <v>12</v>
      </c>
      <c r="I647" s="1220" t="n">
        <v>12.48</v>
      </c>
      <c r="J647" s="32" t="n">
        <v>56</v>
      </c>
      <c r="K647" s="32" t="inlineStr">
        <is>
          <t>8</t>
        </is>
      </c>
      <c r="L647" s="32" t="n"/>
      <c r="M647" s="33" t="inlineStr">
        <is>
          <t>СК1</t>
        </is>
      </c>
      <c r="N647" s="33" t="n"/>
      <c r="O647" s="32" t="n">
        <v>55</v>
      </c>
      <c r="P647" s="1143" t="inlineStr">
        <is>
          <t>Вареные колбасы «Мясная со шпиком» Весовой п/а ТМ «Зареченские» HR</t>
        </is>
      </c>
      <c r="Q647" s="785" t="n"/>
      <c r="R647" s="785" t="n"/>
      <c r="S647" s="785" t="n"/>
      <c r="T647" s="786" t="n"/>
      <c r="U647" s="34" t="n"/>
      <c r="V647" s="34" t="n"/>
      <c r="W647" s="35" t="inlineStr">
        <is>
          <t>кг</t>
        </is>
      </c>
      <c r="X647" s="1221" t="n">
        <v>0</v>
      </c>
      <c r="Y647" s="1222">
        <f>IFERROR(IF(X647="",0,CEILING((X647/$H647),1)*$H647),"")</f>
        <v/>
      </c>
      <c r="Z647" s="36">
        <f>IFERROR(IF(Y647=0,"",ROUNDUP(Y647/H647,0)*0.02175),"")</f>
        <v/>
      </c>
      <c r="AA647" s="56" t="n"/>
      <c r="AB647" s="57" t="n"/>
      <c r="AC647" s="759" t="inlineStr">
        <is>
          <t>ЕАЭС N RU Д-RU.РА06.В.29400/23</t>
        </is>
      </c>
      <c r="AG647" s="64" t="n"/>
      <c r="AJ647" s="68" t="n"/>
      <c r="AK647" s="68" t="n">
        <v>0</v>
      </c>
      <c r="BB647" s="760" t="inlineStr">
        <is>
          <t>КИ</t>
        </is>
      </c>
      <c r="BM647" s="64">
        <f>IFERROR(X647*I647/H647,"0")</f>
        <v/>
      </c>
      <c r="BN647" s="64">
        <f>IFERROR(Y647*I647/H647,"0")</f>
        <v/>
      </c>
      <c r="BO647" s="64">
        <f>IFERROR(1/J647*(X647/H647),"0")</f>
        <v/>
      </c>
      <c r="BP647" s="64">
        <f>IFERROR(1/J647*(Y647/H647),"0")</f>
        <v/>
      </c>
    </row>
    <row r="648">
      <c r="A648" s="801" t="n"/>
      <c r="B648" s="800" t="n"/>
      <c r="C648" s="800" t="n"/>
      <c r="D648" s="800" t="n"/>
      <c r="E648" s="800" t="n"/>
      <c r="F648" s="800" t="n"/>
      <c r="G648" s="800" t="n"/>
      <c r="H648" s="800" t="n"/>
      <c r="I648" s="800" t="n"/>
      <c r="J648" s="800" t="n"/>
      <c r="K648" s="800" t="n"/>
      <c r="L648" s="800" t="n"/>
      <c r="M648" s="800" t="n"/>
      <c r="N648" s="800" t="n"/>
      <c r="O648" s="802" t="n"/>
      <c r="P648" s="796" t="inlineStr">
        <is>
          <t>Итого</t>
        </is>
      </c>
      <c r="Q648" s="793" t="n"/>
      <c r="R648" s="793" t="n"/>
      <c r="S648" s="793" t="n"/>
      <c r="T648" s="793" t="n"/>
      <c r="U648" s="793" t="n"/>
      <c r="V648" s="794" t="n"/>
      <c r="W648" s="37" t="inlineStr">
        <is>
          <t>кор</t>
        </is>
      </c>
      <c r="X648" s="1223">
        <f>IFERROR(X646/H646,"0")+IFERROR(X647/H647,"0")</f>
        <v/>
      </c>
      <c r="Y648" s="1223">
        <f>IFERROR(Y646/H646,"0")+IFERROR(Y647/H647,"0")</f>
        <v/>
      </c>
      <c r="Z648" s="1223">
        <f>IFERROR(IF(Z646="",0,Z646),"0")+IFERROR(IF(Z647="",0,Z647),"0")</f>
        <v/>
      </c>
      <c r="AA648" s="1224" t="n"/>
      <c r="AB648" s="1224" t="n"/>
      <c r="AC648" s="1224" t="n"/>
    </row>
    <row r="649">
      <c r="A649" s="800" t="n"/>
      <c r="B649" s="800" t="n"/>
      <c r="C649" s="800" t="n"/>
      <c r="D649" s="800" t="n"/>
      <c r="E649" s="800" t="n"/>
      <c r="F649" s="800" t="n"/>
      <c r="G649" s="800" t="n"/>
      <c r="H649" s="800" t="n"/>
      <c r="I649" s="800" t="n"/>
      <c r="J649" s="800" t="n"/>
      <c r="K649" s="800" t="n"/>
      <c r="L649" s="800" t="n"/>
      <c r="M649" s="800" t="n"/>
      <c r="N649" s="800" t="n"/>
      <c r="O649" s="802" t="n"/>
      <c r="P649" s="796" t="inlineStr">
        <is>
          <t>Итого</t>
        </is>
      </c>
      <c r="Q649" s="793" t="n"/>
      <c r="R649" s="793" t="n"/>
      <c r="S649" s="793" t="n"/>
      <c r="T649" s="793" t="n"/>
      <c r="U649" s="793" t="n"/>
      <c r="V649" s="794" t="n"/>
      <c r="W649" s="37" t="inlineStr">
        <is>
          <t>кг</t>
        </is>
      </c>
      <c r="X649" s="1223">
        <f>IFERROR(SUM(X646:X647),"0")</f>
        <v/>
      </c>
      <c r="Y649" s="1223">
        <f>IFERROR(SUM(Y646:Y647),"0")</f>
        <v/>
      </c>
      <c r="Z649" s="37" t="n"/>
      <c r="AA649" s="1224" t="n"/>
      <c r="AB649" s="1224" t="n"/>
      <c r="AC649" s="1224" t="n"/>
    </row>
    <row r="650" ht="14.25" customHeight="1">
      <c r="A650" s="799" t="inlineStr">
        <is>
          <t>Ветчины</t>
        </is>
      </c>
      <c r="B650" s="800" t="n"/>
      <c r="C650" s="800" t="n"/>
      <c r="D650" s="800" t="n"/>
      <c r="E650" s="800" t="n"/>
      <c r="F650" s="800" t="n"/>
      <c r="G650" s="800" t="n"/>
      <c r="H650" s="800" t="n"/>
      <c r="I650" s="800" t="n"/>
      <c r="J650" s="800" t="n"/>
      <c r="K650" s="800" t="n"/>
      <c r="L650" s="800" t="n"/>
      <c r="M650" s="800" t="n"/>
      <c r="N650" s="800" t="n"/>
      <c r="O650" s="800" t="n"/>
      <c r="P650" s="800" t="n"/>
      <c r="Q650" s="800" t="n"/>
      <c r="R650" s="800" t="n"/>
      <c r="S650" s="800" t="n"/>
      <c r="T650" s="800" t="n"/>
      <c r="U650" s="800" t="n"/>
      <c r="V650" s="800" t="n"/>
      <c r="W650" s="800" t="n"/>
      <c r="X650" s="800" t="n"/>
      <c r="Y650" s="800" t="n"/>
      <c r="Z650" s="800" t="n"/>
      <c r="AA650" s="799" t="n"/>
      <c r="AB650" s="799" t="n"/>
      <c r="AC650" s="799" t="n"/>
    </row>
    <row r="651" ht="27" customHeight="1">
      <c r="A651" s="54" t="inlineStr">
        <is>
          <t>SU002967</t>
        </is>
      </c>
      <c r="B651" s="54" t="inlineStr">
        <is>
          <t>P004317</t>
        </is>
      </c>
      <c r="C651" s="31" t="n">
        <v>4301020314</v>
      </c>
      <c r="D651" s="782" t="n">
        <v>4640242180090</v>
      </c>
      <c r="E651" s="783" t="n"/>
      <c r="F651" s="1220" t="n">
        <v>1.5</v>
      </c>
      <c r="G651" s="32" t="n">
        <v>8</v>
      </c>
      <c r="H651" s="1220" t="n">
        <v>12</v>
      </c>
      <c r="I651" s="1220" t="n">
        <v>12.48</v>
      </c>
      <c r="J651" s="32" t="n">
        <v>56</v>
      </c>
      <c r="K651" s="32" t="inlineStr">
        <is>
          <t>8</t>
        </is>
      </c>
      <c r="L651" s="32" t="n"/>
      <c r="M651" s="33" t="inlineStr">
        <is>
          <t>СК1</t>
        </is>
      </c>
      <c r="N651" s="33" t="n"/>
      <c r="O651" s="32" t="n">
        <v>50</v>
      </c>
      <c r="P651" s="914" t="inlineStr">
        <is>
          <t>Ветчины «Рубленая» Весовой п/а ТМ «Зареченские» НТУ HR</t>
        </is>
      </c>
      <c r="Q651" s="785" t="n"/>
      <c r="R651" s="785" t="n"/>
      <c r="S651" s="785" t="n"/>
      <c r="T651" s="786" t="n"/>
      <c r="U651" s="34" t="n"/>
      <c r="V651" s="34" t="n"/>
      <c r="W651" s="35" t="inlineStr">
        <is>
          <t>кг</t>
        </is>
      </c>
      <c r="X651" s="1221" t="n">
        <v>0</v>
      </c>
      <c r="Y651" s="1222">
        <f>IFERROR(IF(X651="",0,CEILING((X651/$H651),1)*$H651),"")</f>
        <v/>
      </c>
      <c r="Z651" s="36">
        <f>IFERROR(IF(Y651=0,"",ROUNDUP(Y651/H651,0)*0.02175),"")</f>
        <v/>
      </c>
      <c r="AA651" s="56" t="n"/>
      <c r="AB651" s="57" t="n"/>
      <c r="AC651" s="761" t="inlineStr">
        <is>
          <t>ЕАЭС N RU Д-RU.РА05.В.11990/23</t>
        </is>
      </c>
      <c r="AG651" s="64" t="n"/>
      <c r="AJ651" s="68" t="n"/>
      <c r="AK651" s="68" t="n">
        <v>0</v>
      </c>
      <c r="BB651" s="762" t="inlineStr">
        <is>
          <t>КИ</t>
        </is>
      </c>
      <c r="BM651" s="64">
        <f>IFERROR(X651*I651/H651,"0")</f>
        <v/>
      </c>
      <c r="BN651" s="64">
        <f>IFERROR(Y651*I651/H651,"0")</f>
        <v/>
      </c>
      <c r="BO651" s="64">
        <f>IFERROR(1/J651*(X651/H651),"0")</f>
        <v/>
      </c>
      <c r="BP651" s="64">
        <f>IFERROR(1/J651*(Y651/H651),"0")</f>
        <v/>
      </c>
    </row>
    <row r="652">
      <c r="A652" s="801" t="n"/>
      <c r="B652" s="800" t="n"/>
      <c r="C652" s="800" t="n"/>
      <c r="D652" s="800" t="n"/>
      <c r="E652" s="800" t="n"/>
      <c r="F652" s="800" t="n"/>
      <c r="G652" s="800" t="n"/>
      <c r="H652" s="800" t="n"/>
      <c r="I652" s="800" t="n"/>
      <c r="J652" s="800" t="n"/>
      <c r="K652" s="800" t="n"/>
      <c r="L652" s="800" t="n"/>
      <c r="M652" s="800" t="n"/>
      <c r="N652" s="800" t="n"/>
      <c r="O652" s="802" t="n"/>
      <c r="P652" s="796" t="inlineStr">
        <is>
          <t>Итого</t>
        </is>
      </c>
      <c r="Q652" s="793" t="n"/>
      <c r="R652" s="793" t="n"/>
      <c r="S652" s="793" t="n"/>
      <c r="T652" s="793" t="n"/>
      <c r="U652" s="793" t="n"/>
      <c r="V652" s="794" t="n"/>
      <c r="W652" s="37" t="inlineStr">
        <is>
          <t>кор</t>
        </is>
      </c>
      <c r="X652" s="1223">
        <f>IFERROR(X651/H651,"0")</f>
        <v/>
      </c>
      <c r="Y652" s="1223">
        <f>IFERROR(Y651/H651,"0")</f>
        <v/>
      </c>
      <c r="Z652" s="1223">
        <f>IFERROR(IF(Z651="",0,Z651),"0")</f>
        <v/>
      </c>
      <c r="AA652" s="1224" t="n"/>
      <c r="AB652" s="1224" t="n"/>
      <c r="AC652" s="1224" t="n"/>
    </row>
    <row r="653">
      <c r="A653" s="800" t="n"/>
      <c r="B653" s="800" t="n"/>
      <c r="C653" s="800" t="n"/>
      <c r="D653" s="800" t="n"/>
      <c r="E653" s="800" t="n"/>
      <c r="F653" s="800" t="n"/>
      <c r="G653" s="800" t="n"/>
      <c r="H653" s="800" t="n"/>
      <c r="I653" s="800" t="n"/>
      <c r="J653" s="800" t="n"/>
      <c r="K653" s="800" t="n"/>
      <c r="L653" s="800" t="n"/>
      <c r="M653" s="800" t="n"/>
      <c r="N653" s="800" t="n"/>
      <c r="O653" s="802" t="n"/>
      <c r="P653" s="796" t="inlineStr">
        <is>
          <t>Итого</t>
        </is>
      </c>
      <c r="Q653" s="793" t="n"/>
      <c r="R653" s="793" t="n"/>
      <c r="S653" s="793" t="n"/>
      <c r="T653" s="793" t="n"/>
      <c r="U653" s="793" t="n"/>
      <c r="V653" s="794" t="n"/>
      <c r="W653" s="37" t="inlineStr">
        <is>
          <t>кг</t>
        </is>
      </c>
      <c r="X653" s="1223">
        <f>IFERROR(SUM(X651:X651),"0")</f>
        <v/>
      </c>
      <c r="Y653" s="1223">
        <f>IFERROR(SUM(Y651:Y651),"0")</f>
        <v/>
      </c>
      <c r="Z653" s="37" t="n"/>
      <c r="AA653" s="1224" t="n"/>
      <c r="AB653" s="1224" t="n"/>
      <c r="AC653" s="1224" t="n"/>
    </row>
    <row r="654" ht="14.25" customHeight="1">
      <c r="A654" s="799" t="inlineStr">
        <is>
          <t>Копченые колбасы</t>
        </is>
      </c>
      <c r="B654" s="800" t="n"/>
      <c r="C654" s="800" t="n"/>
      <c r="D654" s="800" t="n"/>
      <c r="E654" s="800" t="n"/>
      <c r="F654" s="800" t="n"/>
      <c r="G654" s="800" t="n"/>
      <c r="H654" s="800" t="n"/>
      <c r="I654" s="800" t="n"/>
      <c r="J654" s="800" t="n"/>
      <c r="K654" s="800" t="n"/>
      <c r="L654" s="800" t="n"/>
      <c r="M654" s="800" t="n"/>
      <c r="N654" s="800" t="n"/>
      <c r="O654" s="800" t="n"/>
      <c r="P654" s="800" t="n"/>
      <c r="Q654" s="800" t="n"/>
      <c r="R654" s="800" t="n"/>
      <c r="S654" s="800" t="n"/>
      <c r="T654" s="800" t="n"/>
      <c r="U654" s="800" t="n"/>
      <c r="V654" s="800" t="n"/>
      <c r="W654" s="800" t="n"/>
      <c r="X654" s="800" t="n"/>
      <c r="Y654" s="800" t="n"/>
      <c r="Z654" s="800" t="n"/>
      <c r="AA654" s="799" t="n"/>
      <c r="AB654" s="799" t="n"/>
      <c r="AC654" s="799" t="n"/>
    </row>
    <row r="655" ht="27" customHeight="1">
      <c r="A655" s="54" t="inlineStr">
        <is>
          <t>SU002965</t>
        </is>
      </c>
      <c r="B655" s="54" t="inlineStr">
        <is>
          <t>P004318</t>
        </is>
      </c>
      <c r="C655" s="31" t="n">
        <v>4301031321</v>
      </c>
      <c r="D655" s="782" t="n">
        <v>4640242180076</v>
      </c>
      <c r="E655" s="783" t="n"/>
      <c r="F655" s="1220" t="n">
        <v>0.7</v>
      </c>
      <c r="G655" s="32" t="n">
        <v>6</v>
      </c>
      <c r="H655" s="1220" t="n">
        <v>4.2</v>
      </c>
      <c r="I655" s="1220" t="n">
        <v>4.41</v>
      </c>
      <c r="J655" s="32" t="n">
        <v>132</v>
      </c>
      <c r="K655" s="32" t="inlineStr">
        <is>
          <t>12</t>
        </is>
      </c>
      <c r="L655" s="32" t="n"/>
      <c r="M655" s="33" t="inlineStr">
        <is>
          <t>СК2</t>
        </is>
      </c>
      <c r="N655" s="33" t="n"/>
      <c r="O655" s="32" t="n">
        <v>40</v>
      </c>
      <c r="P655" s="834" t="inlineStr">
        <is>
          <t>В/к колбасы «Сервелат Зернистый» Весовой фиброуз ТМ «Зареченские» HR</t>
        </is>
      </c>
      <c r="Q655" s="785" t="n"/>
      <c r="R655" s="785" t="n"/>
      <c r="S655" s="785" t="n"/>
      <c r="T655" s="786" t="n"/>
      <c r="U655" s="34" t="n"/>
      <c r="V655" s="34" t="n"/>
      <c r="W655" s="35" t="inlineStr">
        <is>
          <t>кг</t>
        </is>
      </c>
      <c r="X655" s="1221" t="n">
        <v>0</v>
      </c>
      <c r="Y655" s="1222">
        <f>IFERROR(IF(X655="",0,CEILING((X655/$H655),1)*$H655),"")</f>
        <v/>
      </c>
      <c r="Z655" s="36">
        <f>IFERROR(IF(Y655=0,"",ROUNDUP(Y655/H655,0)*0.00902),"")</f>
        <v/>
      </c>
      <c r="AA655" s="56" t="n"/>
      <c r="AB655" s="57" t="n"/>
      <c r="AC655" s="763" t="inlineStr">
        <is>
          <t>ЕАЭС N RU Д-RU.РА05.В.12077/23</t>
        </is>
      </c>
      <c r="AG655" s="64" t="n"/>
      <c r="AJ655" s="68" t="n"/>
      <c r="AK655" s="68" t="n">
        <v>0</v>
      </c>
      <c r="BB655" s="764" t="inlineStr">
        <is>
          <t>КИ</t>
        </is>
      </c>
      <c r="BM655" s="64">
        <f>IFERROR(X655*I655/H655,"0")</f>
        <v/>
      </c>
      <c r="BN655" s="64">
        <f>IFERROR(Y655*I655/H655,"0")</f>
        <v/>
      </c>
      <c r="BO655" s="64">
        <f>IFERROR(1/J655*(X655/H655),"0")</f>
        <v/>
      </c>
      <c r="BP655" s="64">
        <f>IFERROR(1/J655*(Y655/H655),"0")</f>
        <v/>
      </c>
    </row>
    <row r="656">
      <c r="A656" s="801" t="n"/>
      <c r="B656" s="800" t="n"/>
      <c r="C656" s="800" t="n"/>
      <c r="D656" s="800" t="n"/>
      <c r="E656" s="800" t="n"/>
      <c r="F656" s="800" t="n"/>
      <c r="G656" s="800" t="n"/>
      <c r="H656" s="800" t="n"/>
      <c r="I656" s="800" t="n"/>
      <c r="J656" s="800" t="n"/>
      <c r="K656" s="800" t="n"/>
      <c r="L656" s="800" t="n"/>
      <c r="M656" s="800" t="n"/>
      <c r="N656" s="800" t="n"/>
      <c r="O656" s="802" t="n"/>
      <c r="P656" s="796" t="inlineStr">
        <is>
          <t>Итого</t>
        </is>
      </c>
      <c r="Q656" s="793" t="n"/>
      <c r="R656" s="793" t="n"/>
      <c r="S656" s="793" t="n"/>
      <c r="T656" s="793" t="n"/>
      <c r="U656" s="793" t="n"/>
      <c r="V656" s="794" t="n"/>
      <c r="W656" s="37" t="inlineStr">
        <is>
          <t>кор</t>
        </is>
      </c>
      <c r="X656" s="1223">
        <f>IFERROR(X655/H655,"0")</f>
        <v/>
      </c>
      <c r="Y656" s="1223">
        <f>IFERROR(Y655/H655,"0")</f>
        <v/>
      </c>
      <c r="Z656" s="1223">
        <f>IFERROR(IF(Z655="",0,Z655),"0")</f>
        <v/>
      </c>
      <c r="AA656" s="1224" t="n"/>
      <c r="AB656" s="1224" t="n"/>
      <c r="AC656" s="1224" t="n"/>
    </row>
    <row r="657">
      <c r="A657" s="800" t="n"/>
      <c r="B657" s="800" t="n"/>
      <c r="C657" s="800" t="n"/>
      <c r="D657" s="800" t="n"/>
      <c r="E657" s="800" t="n"/>
      <c r="F657" s="800" t="n"/>
      <c r="G657" s="800" t="n"/>
      <c r="H657" s="800" t="n"/>
      <c r="I657" s="800" t="n"/>
      <c r="J657" s="800" t="n"/>
      <c r="K657" s="800" t="n"/>
      <c r="L657" s="800" t="n"/>
      <c r="M657" s="800" t="n"/>
      <c r="N657" s="800" t="n"/>
      <c r="O657" s="802" t="n"/>
      <c r="P657" s="796" t="inlineStr">
        <is>
          <t>Итого</t>
        </is>
      </c>
      <c r="Q657" s="793" t="n"/>
      <c r="R657" s="793" t="n"/>
      <c r="S657" s="793" t="n"/>
      <c r="T657" s="793" t="n"/>
      <c r="U657" s="793" t="n"/>
      <c r="V657" s="794" t="n"/>
      <c r="W657" s="37" t="inlineStr">
        <is>
          <t>кг</t>
        </is>
      </c>
      <c r="X657" s="1223">
        <f>IFERROR(SUM(X655:X655),"0")</f>
        <v/>
      </c>
      <c r="Y657" s="1223">
        <f>IFERROR(SUM(Y655:Y655),"0")</f>
        <v/>
      </c>
      <c r="Z657" s="37" t="n"/>
      <c r="AA657" s="1224" t="n"/>
      <c r="AB657" s="1224" t="n"/>
      <c r="AC657" s="1224" t="n"/>
    </row>
    <row r="658" ht="14.25" customHeight="1">
      <c r="A658" s="799" t="inlineStr">
        <is>
          <t>Сосиски</t>
        </is>
      </c>
      <c r="B658" s="800" t="n"/>
      <c r="C658" s="800" t="n"/>
      <c r="D658" s="800" t="n"/>
      <c r="E658" s="800" t="n"/>
      <c r="F658" s="800" t="n"/>
      <c r="G658" s="800" t="n"/>
      <c r="H658" s="800" t="n"/>
      <c r="I658" s="800" t="n"/>
      <c r="J658" s="800" t="n"/>
      <c r="K658" s="800" t="n"/>
      <c r="L658" s="800" t="n"/>
      <c r="M658" s="800" t="n"/>
      <c r="N658" s="800" t="n"/>
      <c r="O658" s="800" t="n"/>
      <c r="P658" s="800" t="n"/>
      <c r="Q658" s="800" t="n"/>
      <c r="R658" s="800" t="n"/>
      <c r="S658" s="800" t="n"/>
      <c r="T658" s="800" t="n"/>
      <c r="U658" s="800" t="n"/>
      <c r="V658" s="800" t="n"/>
      <c r="W658" s="800" t="n"/>
      <c r="X658" s="800" t="n"/>
      <c r="Y658" s="800" t="n"/>
      <c r="Z658" s="800" t="n"/>
      <c r="AA658" s="799" t="n"/>
      <c r="AB658" s="799" t="n"/>
      <c r="AC658" s="799" t="n"/>
    </row>
    <row r="659" ht="27" customHeight="1">
      <c r="A659" s="54" t="inlineStr">
        <is>
          <t>SU002968</t>
        </is>
      </c>
      <c r="B659" s="54" t="inlineStr">
        <is>
          <t>P004321</t>
        </is>
      </c>
      <c r="C659" s="31" t="n">
        <v>4301051780</v>
      </c>
      <c r="D659" s="782" t="n">
        <v>4640242180106</v>
      </c>
      <c r="E659" s="783" t="n"/>
      <c r="F659" s="1220" t="n">
        <v>1.3</v>
      </c>
      <c r="G659" s="32" t="n">
        <v>6</v>
      </c>
      <c r="H659" s="1220" t="n">
        <v>7.8</v>
      </c>
      <c r="I659" s="1220" t="n">
        <v>8.279999999999999</v>
      </c>
      <c r="J659" s="32" t="n">
        <v>56</v>
      </c>
      <c r="K659" s="32" t="inlineStr">
        <is>
          <t>8</t>
        </is>
      </c>
      <c r="L659" s="32" t="n"/>
      <c r="M659" s="33" t="inlineStr">
        <is>
          <t>СК2</t>
        </is>
      </c>
      <c r="N659" s="33" t="n"/>
      <c r="O659" s="32" t="n">
        <v>45</v>
      </c>
      <c r="P659" s="1065" t="inlineStr">
        <is>
          <t>Сосиски «Молочные классические» Весовой п/а ТМ «Зареченские» HR</t>
        </is>
      </c>
      <c r="Q659" s="785" t="n"/>
      <c r="R659" s="785" t="n"/>
      <c r="S659" s="785" t="n"/>
      <c r="T659" s="786" t="n"/>
      <c r="U659" s="34" t="n"/>
      <c r="V659" s="34" t="n"/>
      <c r="W659" s="35" t="inlineStr">
        <is>
          <t>кг</t>
        </is>
      </c>
      <c r="X659" s="1221" t="n">
        <v>0</v>
      </c>
      <c r="Y659" s="1222">
        <f>IFERROR(IF(X659="",0,CEILING((X659/$H659),1)*$H659),"")</f>
        <v/>
      </c>
      <c r="Z659" s="36">
        <f>IFERROR(IF(Y659=0,"",ROUNDUP(Y659/H659,0)*0.02175),"")</f>
        <v/>
      </c>
      <c r="AA659" s="56" t="n"/>
      <c r="AB659" s="57" t="n"/>
      <c r="AC659" s="765" t="inlineStr">
        <is>
          <t>ЕАЭС N RU Д-RU.РА05.В.10146/23</t>
        </is>
      </c>
      <c r="AG659" s="64" t="n"/>
      <c r="AJ659" s="68" t="n"/>
      <c r="AK659" s="68" t="n">
        <v>0</v>
      </c>
      <c r="BB659" s="766" t="inlineStr">
        <is>
          <t>КИ</t>
        </is>
      </c>
      <c r="BM659" s="64">
        <f>IFERROR(X659*I659/H659,"0")</f>
        <v/>
      </c>
      <c r="BN659" s="64">
        <f>IFERROR(Y659*I659/H659,"0")</f>
        <v/>
      </c>
      <c r="BO659" s="64">
        <f>IFERROR(1/J659*(X659/H659),"0")</f>
        <v/>
      </c>
      <c r="BP659" s="64">
        <f>IFERROR(1/J659*(Y659/H659),"0")</f>
        <v/>
      </c>
    </row>
    <row r="660">
      <c r="A660" s="801" t="n"/>
      <c r="B660" s="800" t="n"/>
      <c r="C660" s="800" t="n"/>
      <c r="D660" s="800" t="n"/>
      <c r="E660" s="800" t="n"/>
      <c r="F660" s="800" t="n"/>
      <c r="G660" s="800" t="n"/>
      <c r="H660" s="800" t="n"/>
      <c r="I660" s="800" t="n"/>
      <c r="J660" s="800" t="n"/>
      <c r="K660" s="800" t="n"/>
      <c r="L660" s="800" t="n"/>
      <c r="M660" s="800" t="n"/>
      <c r="N660" s="800" t="n"/>
      <c r="O660" s="802" t="n"/>
      <c r="P660" s="796" t="inlineStr">
        <is>
          <t>Итого</t>
        </is>
      </c>
      <c r="Q660" s="793" t="n"/>
      <c r="R660" s="793" t="n"/>
      <c r="S660" s="793" t="n"/>
      <c r="T660" s="793" t="n"/>
      <c r="U660" s="793" t="n"/>
      <c r="V660" s="794" t="n"/>
      <c r="W660" s="37" t="inlineStr">
        <is>
          <t>кор</t>
        </is>
      </c>
      <c r="X660" s="1223">
        <f>IFERROR(X659/H659,"0")</f>
        <v/>
      </c>
      <c r="Y660" s="1223">
        <f>IFERROR(Y659/H659,"0")</f>
        <v/>
      </c>
      <c r="Z660" s="1223">
        <f>IFERROR(IF(Z659="",0,Z659),"0")</f>
        <v/>
      </c>
      <c r="AA660" s="1224" t="n"/>
      <c r="AB660" s="1224" t="n"/>
      <c r="AC660" s="1224" t="n"/>
    </row>
    <row r="661">
      <c r="A661" s="800" t="n"/>
      <c r="B661" s="800" t="n"/>
      <c r="C661" s="800" t="n"/>
      <c r="D661" s="800" t="n"/>
      <c r="E661" s="800" t="n"/>
      <c r="F661" s="800" t="n"/>
      <c r="G661" s="800" t="n"/>
      <c r="H661" s="800" t="n"/>
      <c r="I661" s="800" t="n"/>
      <c r="J661" s="800" t="n"/>
      <c r="K661" s="800" t="n"/>
      <c r="L661" s="800" t="n"/>
      <c r="M661" s="800" t="n"/>
      <c r="N661" s="800" t="n"/>
      <c r="O661" s="802" t="n"/>
      <c r="P661" s="796" t="inlineStr">
        <is>
          <t>Итого</t>
        </is>
      </c>
      <c r="Q661" s="793" t="n"/>
      <c r="R661" s="793" t="n"/>
      <c r="S661" s="793" t="n"/>
      <c r="T661" s="793" t="n"/>
      <c r="U661" s="793" t="n"/>
      <c r="V661" s="794" t="n"/>
      <c r="W661" s="37" t="inlineStr">
        <is>
          <t>кг</t>
        </is>
      </c>
      <c r="X661" s="1223">
        <f>IFERROR(SUM(X659:X659),"0")</f>
        <v/>
      </c>
      <c r="Y661" s="1223">
        <f>IFERROR(SUM(Y659:Y659),"0")</f>
        <v/>
      </c>
      <c r="Z661" s="37" t="n"/>
      <c r="AA661" s="1224" t="n"/>
      <c r="AB661" s="1224" t="n"/>
      <c r="AC661" s="1224" t="n"/>
    </row>
    <row r="662" ht="15" customHeight="1">
      <c r="A662" s="814" t="n"/>
      <c r="B662" s="800" t="n"/>
      <c r="C662" s="800" t="n"/>
      <c r="D662" s="800" t="n"/>
      <c r="E662" s="800" t="n"/>
      <c r="F662" s="800" t="n"/>
      <c r="G662" s="800" t="n"/>
      <c r="H662" s="800" t="n"/>
      <c r="I662" s="800" t="n"/>
      <c r="J662" s="800" t="n"/>
      <c r="K662" s="800" t="n"/>
      <c r="L662" s="800" t="n"/>
      <c r="M662" s="800" t="n"/>
      <c r="N662" s="800" t="n"/>
      <c r="O662" s="815" t="n"/>
      <c r="P662" s="871" t="inlineStr">
        <is>
          <t>ИТОГО НЕТТО</t>
        </is>
      </c>
      <c r="Q662" s="872" t="n"/>
      <c r="R662" s="872" t="n"/>
      <c r="S662" s="872" t="n"/>
      <c r="T662" s="872" t="n"/>
      <c r="U662" s="872" t="n"/>
      <c r="V662" s="819" t="n"/>
      <c r="W662" s="37" t="inlineStr">
        <is>
          <t>кг</t>
        </is>
      </c>
      <c r="X662" s="1223">
        <f>IFERROR(X24+X36+X40+X44+X55+X60+X73+X80+X89+X98+X104+X111+X120+X129+X136+X146+X151+X157+X162+X167+X172+X180+X185+X191+X202+X208+X213+X224+X238+X247+X259+X272+X276+X290+X295+X302+X312+X317+X321+X325+X330+X334+X339+X344+X349+X353+X366+X373+X382+X389+X396+X402+X407+X413+X429+X434+X439+X443+X455+X460+X468+X472+X478+X506+X511+X516+X521+X529+X533+X537+X545+X550+X567+X573+X585+X591+X596+X608+X615+X625+X636+X643+X649+X653+X657+X661,"0")</f>
        <v/>
      </c>
      <c r="Y662" s="1223">
        <f>IFERROR(Y24+Y36+Y40+Y44+Y55+Y60+Y73+Y80+Y89+Y98+Y104+Y111+Y120+Y129+Y136+Y146+Y151+Y157+Y162+Y167+Y172+Y180+Y185+Y191+Y202+Y208+Y213+Y224+Y238+Y247+Y259+Y272+Y276+Y290+Y295+Y302+Y312+Y317+Y321+Y325+Y330+Y334+Y339+Y344+Y349+Y353+Y366+Y373+Y382+Y389+Y396+Y402+Y407+Y413+Y429+Y434+Y439+Y443+Y455+Y460+Y468+Y472+Y478+Y506+Y511+Y516+Y521+Y529+Y533+Y537+Y545+Y550+Y567+Y573+Y585+Y591+Y596+Y608+Y615+Y625+Y636+Y643+Y649+Y653+Y657+Y661,"0")</f>
        <v/>
      </c>
      <c r="Z662" s="37" t="n"/>
      <c r="AA662" s="1224" t="n"/>
      <c r="AB662" s="1224" t="n"/>
      <c r="AC662" s="1224" t="n"/>
    </row>
    <row r="663">
      <c r="A663" s="800" t="n"/>
      <c r="B663" s="800" t="n"/>
      <c r="C663" s="800" t="n"/>
      <c r="D663" s="800" t="n"/>
      <c r="E663" s="800" t="n"/>
      <c r="F663" s="800" t="n"/>
      <c r="G663" s="800" t="n"/>
      <c r="H663" s="800" t="n"/>
      <c r="I663" s="800" t="n"/>
      <c r="J663" s="800" t="n"/>
      <c r="K663" s="800" t="n"/>
      <c r="L663" s="800" t="n"/>
      <c r="M663" s="800" t="n"/>
      <c r="N663" s="800" t="n"/>
      <c r="O663" s="815" t="n"/>
      <c r="P663" s="871" t="inlineStr">
        <is>
          <t>ИТОГО БРУТТО</t>
        </is>
      </c>
      <c r="Q663" s="872" t="n"/>
      <c r="R663" s="872" t="n"/>
      <c r="S663" s="872" t="n"/>
      <c r="T663" s="872" t="n"/>
      <c r="U663" s="872" t="n"/>
      <c r="V663" s="819" t="n"/>
      <c r="W663" s="37" t="inlineStr">
        <is>
          <t>кг</t>
        </is>
      </c>
      <c r="X663" s="1223">
        <f>IFERROR(SUM(BM22:BM659),"0")</f>
        <v/>
      </c>
      <c r="Y663" s="1223">
        <f>IFERROR(SUM(BN22:BN659),"0")</f>
        <v/>
      </c>
      <c r="Z663" s="37" t="n"/>
      <c r="AA663" s="1224" t="n"/>
      <c r="AB663" s="1224" t="n"/>
      <c r="AC663" s="1224" t="n"/>
    </row>
    <row r="664">
      <c r="A664" s="800" t="n"/>
      <c r="B664" s="800" t="n"/>
      <c r="C664" s="800" t="n"/>
      <c r="D664" s="800" t="n"/>
      <c r="E664" s="800" t="n"/>
      <c r="F664" s="800" t="n"/>
      <c r="G664" s="800" t="n"/>
      <c r="H664" s="800" t="n"/>
      <c r="I664" s="800" t="n"/>
      <c r="J664" s="800" t="n"/>
      <c r="K664" s="800" t="n"/>
      <c r="L664" s="800" t="n"/>
      <c r="M664" s="800" t="n"/>
      <c r="N664" s="800" t="n"/>
      <c r="O664" s="815" t="n"/>
      <c r="P664" s="871" t="inlineStr">
        <is>
          <t>Кол-во паллет</t>
        </is>
      </c>
      <c r="Q664" s="872" t="n"/>
      <c r="R664" s="872" t="n"/>
      <c r="S664" s="872" t="n"/>
      <c r="T664" s="872" t="n"/>
      <c r="U664" s="872" t="n"/>
      <c r="V664" s="819" t="n"/>
      <c r="W664" s="37" t="inlineStr">
        <is>
          <t>шт</t>
        </is>
      </c>
      <c r="X664" s="38">
        <f>ROUNDUP(SUM(BO22:BO659),0)</f>
        <v/>
      </c>
      <c r="Y664" s="38">
        <f>ROUNDUP(SUM(BP22:BP659),0)</f>
        <v/>
      </c>
      <c r="Z664" s="37" t="n"/>
      <c r="AA664" s="1224" t="n"/>
      <c r="AB664" s="1224" t="n"/>
      <c r="AC664" s="1224" t="n"/>
    </row>
    <row r="665">
      <c r="A665" s="800" t="n"/>
      <c r="B665" s="800" t="n"/>
      <c r="C665" s="800" t="n"/>
      <c r="D665" s="800" t="n"/>
      <c r="E665" s="800" t="n"/>
      <c r="F665" s="800" t="n"/>
      <c r="G665" s="800" t="n"/>
      <c r="H665" s="800" t="n"/>
      <c r="I665" s="800" t="n"/>
      <c r="J665" s="800" t="n"/>
      <c r="K665" s="800" t="n"/>
      <c r="L665" s="800" t="n"/>
      <c r="M665" s="800" t="n"/>
      <c r="N665" s="800" t="n"/>
      <c r="O665" s="815" t="n"/>
      <c r="P665" s="871" t="inlineStr">
        <is>
          <t>Вес брутто  с паллетами</t>
        </is>
      </c>
      <c r="Q665" s="872" t="n"/>
      <c r="R665" s="872" t="n"/>
      <c r="S665" s="872" t="n"/>
      <c r="T665" s="872" t="n"/>
      <c r="U665" s="872" t="n"/>
      <c r="V665" s="819" t="n"/>
      <c r="W665" s="37" t="inlineStr">
        <is>
          <t>кг</t>
        </is>
      </c>
      <c r="X665" s="1223">
        <f>GrossWeightTotal+PalletQtyTotal*25</f>
        <v/>
      </c>
      <c r="Y665" s="1223">
        <f>GrossWeightTotalR+PalletQtyTotalR*25</f>
        <v/>
      </c>
      <c r="Z665" s="37" t="n"/>
      <c r="AA665" s="1224" t="n"/>
      <c r="AB665" s="1224" t="n"/>
      <c r="AC665" s="1224" t="n"/>
    </row>
    <row r="666">
      <c r="A666" s="800" t="n"/>
      <c r="B666" s="800" t="n"/>
      <c r="C666" s="800" t="n"/>
      <c r="D666" s="800" t="n"/>
      <c r="E666" s="800" t="n"/>
      <c r="F666" s="800" t="n"/>
      <c r="G666" s="800" t="n"/>
      <c r="H666" s="800" t="n"/>
      <c r="I666" s="800" t="n"/>
      <c r="J666" s="800" t="n"/>
      <c r="K666" s="800" t="n"/>
      <c r="L666" s="800" t="n"/>
      <c r="M666" s="800" t="n"/>
      <c r="N666" s="800" t="n"/>
      <c r="O666" s="815" t="n"/>
      <c r="P666" s="871" t="inlineStr">
        <is>
          <t>Кол-во коробок</t>
        </is>
      </c>
      <c r="Q666" s="872" t="n"/>
      <c r="R666" s="872" t="n"/>
      <c r="S666" s="872" t="n"/>
      <c r="T666" s="872" t="n"/>
      <c r="U666" s="872" t="n"/>
      <c r="V666" s="819" t="n"/>
      <c r="W666" s="37" t="inlineStr">
        <is>
          <t>шт</t>
        </is>
      </c>
      <c r="X666" s="1223">
        <f>IFERROR(X23+X35+X39+X43+X54+X59+X72+X79+X88+X97+X103+X110+X119+X128+X135+X145+X150+X156+X161+X166+X171+X179+X184+X190+X201+X207+X212+X223+X237+X246+X258+X271+X275+X289+X294+X301+X311+X316+X320+X324+X329+X333+X338+X343+X348+X352+X365+X372+X381+X388+X395+X401+X406+X412+X428+X433+X438+X442+X454+X459+X467+X471+X477+X505+X510+X515+X520+X528+X532+X536+X544+X549+X566+X572+X584+X590+X595+X607+X614+X624+X635+X642+X648+X652+X656+X660,"0")</f>
        <v/>
      </c>
      <c r="Y666" s="1223">
        <f>IFERROR(Y23+Y35+Y39+Y43+Y54+Y59+Y72+Y79+Y88+Y97+Y103+Y110+Y119+Y128+Y135+Y145+Y150+Y156+Y161+Y166+Y171+Y179+Y184+Y190+Y201+Y207+Y212+Y223+Y237+Y246+Y258+Y271+Y275+Y289+Y294+Y301+Y311+Y316+Y320+Y324+Y329+Y333+Y338+Y343+Y348+Y352+Y365+Y372+Y381+Y388+Y395+Y401+Y406+Y412+Y428+Y433+Y438+Y442+Y454+Y459+Y467+Y471+Y477+Y505+Y510+Y515+Y520+Y528+Y532+Y536+Y544+Y549+Y566+Y572+Y584+Y590+Y595+Y607+Y614+Y624+Y635+Y642+Y648+Y652+Y656+Y660,"0")</f>
        <v/>
      </c>
      <c r="Z666" s="37" t="n"/>
      <c r="AA666" s="1224" t="n"/>
      <c r="AB666" s="1224" t="n"/>
      <c r="AC666" s="1224" t="n"/>
    </row>
    <row r="667" ht="14.25" customHeight="1">
      <c r="A667" s="800" t="n"/>
      <c r="B667" s="800" t="n"/>
      <c r="C667" s="800" t="n"/>
      <c r="D667" s="800" t="n"/>
      <c r="E667" s="800" t="n"/>
      <c r="F667" s="800" t="n"/>
      <c r="G667" s="800" t="n"/>
      <c r="H667" s="800" t="n"/>
      <c r="I667" s="800" t="n"/>
      <c r="J667" s="800" t="n"/>
      <c r="K667" s="800" t="n"/>
      <c r="L667" s="800" t="n"/>
      <c r="M667" s="800" t="n"/>
      <c r="N667" s="800" t="n"/>
      <c r="O667" s="815" t="n"/>
      <c r="P667" s="871" t="inlineStr">
        <is>
          <t>Объем заказа</t>
        </is>
      </c>
      <c r="Q667" s="872" t="n"/>
      <c r="R667" s="872" t="n"/>
      <c r="S667" s="872" t="n"/>
      <c r="T667" s="872" t="n"/>
      <c r="U667" s="872" t="n"/>
      <c r="V667" s="819" t="n"/>
      <c r="W667" s="39" t="inlineStr">
        <is>
          <t>м3</t>
        </is>
      </c>
      <c r="X667" s="37" t="n"/>
      <c r="Y667" s="37" t="n"/>
      <c r="Z667" s="37">
        <f>IFERROR(Z23+Z35+Z39+Z43+Z54+Z59+Z72+Z79+Z88+Z97+Z103+Z110+Z119+Z128+Z135+Z145+Z150+Z156+Z161+Z166+Z171+Z179+Z184+Z190+Z201+Z207+Z212+Z223+Z237+Z246+Z258+Z271+Z275+Z289+Z294+Z301+Z311+Z316+Z320+Z324+Z329+Z333+Z338+Z343+Z348+Z352+Z365+Z372+Z381+Z388+Z395+Z401+Z406+Z412+Z428+Z433+Z438+Z442+Z454+Z459+Z467+Z471+Z477+Z505+Z510+Z515+Z520+Z528+Z532+Z536+Z544+Z549+Z566+Z572+Z584+Z590+Z595+Z607+Z614+Z624+Z635+Z642+Z648+Z652+Z656+Z660,"0")</f>
        <v/>
      </c>
      <c r="AA667" s="1224" t="n"/>
      <c r="AB667" s="1224" t="n"/>
      <c r="AC667" s="1224" t="n"/>
    </row>
    <row r="668" ht="13.5" customHeight="1" thickBot="1"/>
    <row r="669" ht="27" customHeight="1" thickBot="1" thickTop="1">
      <c r="A669" s="40" t="inlineStr">
        <is>
          <t>ТОРГОВАЯ МАРКА</t>
        </is>
      </c>
      <c r="B669" s="779" t="inlineStr">
        <is>
          <t>Ядрена копоть</t>
        </is>
      </c>
      <c r="C669" s="779" t="inlineStr">
        <is>
          <t>Вязанка</t>
        </is>
      </c>
      <c r="D669" s="780" t="n"/>
      <c r="E669" s="780" t="n"/>
      <c r="F669" s="780" t="n"/>
      <c r="G669" s="780" t="n"/>
      <c r="H669" s="781" t="n"/>
      <c r="I669" s="779" t="inlineStr">
        <is>
          <t>Стародворье</t>
        </is>
      </c>
      <c r="J669" s="780" t="n"/>
      <c r="K669" s="780" t="n"/>
      <c r="L669" s="780" t="n"/>
      <c r="M669" s="780" t="n"/>
      <c r="N669" s="780" t="n"/>
      <c r="O669" s="780" t="n"/>
      <c r="P669" s="780" t="n"/>
      <c r="Q669" s="780" t="n"/>
      <c r="R669" s="780" t="n"/>
      <c r="S669" s="780" t="n"/>
      <c r="T669" s="780" t="n"/>
      <c r="U669" s="780" t="n"/>
      <c r="V669" s="781" t="n"/>
      <c r="W669" s="779" t="inlineStr">
        <is>
          <t>Особый рецепт</t>
        </is>
      </c>
      <c r="X669" s="781" t="n"/>
      <c r="Y669" s="779" t="inlineStr">
        <is>
          <t>Баварушка</t>
        </is>
      </c>
      <c r="Z669" s="780" t="n"/>
      <c r="AA669" s="780" t="n"/>
      <c r="AB669" s="781" t="n"/>
      <c r="AC669" s="779" t="inlineStr">
        <is>
          <t>Дугушка</t>
        </is>
      </c>
      <c r="AD669" s="779" t="inlineStr">
        <is>
          <t>Зареченские продукты</t>
        </is>
      </c>
      <c r="AE669" s="781" t="n"/>
      <c r="AF669" s="800" t="n"/>
    </row>
    <row r="670" ht="14.25" customHeight="1" thickTop="1">
      <c r="A670" s="832" t="inlineStr">
        <is>
          <t>СЕРИЯ</t>
        </is>
      </c>
      <c r="B670" s="779" t="inlineStr">
        <is>
          <t>Ядрена копоть</t>
        </is>
      </c>
      <c r="C670" s="779" t="inlineStr">
        <is>
          <t>ГОСТ</t>
        </is>
      </c>
      <c r="D670" s="779" t="inlineStr">
        <is>
          <t>Филейская</t>
        </is>
      </c>
      <c r="E670" s="779" t="inlineStr">
        <is>
          <t>Молокуша</t>
        </is>
      </c>
      <c r="F670" s="779" t="inlineStr">
        <is>
          <t>Сливушка</t>
        </is>
      </c>
      <c r="G670" s="779" t="inlineStr">
        <is>
          <t>Халяль</t>
        </is>
      </c>
      <c r="H670" s="779" t="inlineStr">
        <is>
          <t>Вязанка</t>
        </is>
      </c>
      <c r="I670" s="779" t="inlineStr">
        <is>
          <t>Мясорубская</t>
        </is>
      </c>
      <c r="J670" s="779" t="inlineStr">
        <is>
          <t>Сочинка</t>
        </is>
      </c>
      <c r="K670" s="779" t="inlineStr">
        <is>
          <t>Филедворская</t>
        </is>
      </c>
      <c r="L670" s="779" t="inlineStr">
        <is>
          <t>Стародворская</t>
        </is>
      </c>
      <c r="M670" s="779" t="inlineStr">
        <is>
          <t>Филедворская по-стародворски</t>
        </is>
      </c>
      <c r="N670" s="800" t="n"/>
      <c r="O670" s="779" t="inlineStr">
        <is>
          <t>Филедворская Золоченная в печи</t>
        </is>
      </c>
      <c r="P670" s="779" t="inlineStr">
        <is>
          <t>Стародворская Золоченная в печи</t>
        </is>
      </c>
      <c r="Q670" s="779" t="inlineStr">
        <is>
          <t>Сочинка по-баварски</t>
        </is>
      </c>
      <c r="R670" s="779" t="inlineStr">
        <is>
          <t>Стародворская EDLP/EDPP</t>
        </is>
      </c>
      <c r="S670" s="779" t="inlineStr">
        <is>
          <t>Царедворская EDLP/EDPP</t>
        </is>
      </c>
      <c r="T670" s="779" t="inlineStr">
        <is>
          <t>Филедворская EDLP/EDPP</t>
        </is>
      </c>
      <c r="U670" s="779" t="inlineStr">
        <is>
          <t>Бордо</t>
        </is>
      </c>
      <c r="V670" s="779" t="inlineStr">
        <is>
          <t>Бавария</t>
        </is>
      </c>
      <c r="W670" s="779" t="inlineStr">
        <is>
          <t>Особая</t>
        </is>
      </c>
      <c r="X670" s="779" t="inlineStr">
        <is>
          <t>Особая Без свинины</t>
        </is>
      </c>
      <c r="Y670" s="779" t="inlineStr">
        <is>
          <t>Филейбургская</t>
        </is>
      </c>
      <c r="Z670" s="779" t="inlineStr">
        <is>
          <t>Балыкбургская</t>
        </is>
      </c>
      <c r="AA670" s="779" t="inlineStr">
        <is>
          <t>Краковюрст</t>
        </is>
      </c>
      <c r="AB670" s="779" t="inlineStr">
        <is>
          <t>Бюргерсы</t>
        </is>
      </c>
      <c r="AC670" s="779" t="inlineStr">
        <is>
          <t>Дугушка</t>
        </is>
      </c>
      <c r="AD670" s="779" t="inlineStr">
        <is>
          <t>Зареченские продукты</t>
        </is>
      </c>
      <c r="AE670" s="779" t="inlineStr">
        <is>
          <t>Зареченские продукты Светофор</t>
        </is>
      </c>
      <c r="AF670" s="800" t="n"/>
    </row>
    <row r="671" ht="13.5" customHeight="1" thickBot="1">
      <c r="A671" s="833" t="n"/>
      <c r="B671" s="787" t="n"/>
      <c r="C671" s="787" t="n"/>
      <c r="D671" s="787" t="n"/>
      <c r="E671" s="787" t="n"/>
      <c r="F671" s="787" t="n"/>
      <c r="G671" s="787" t="n"/>
      <c r="H671" s="787" t="n"/>
      <c r="I671" s="787" t="n"/>
      <c r="J671" s="787" t="n"/>
      <c r="K671" s="787" t="n"/>
      <c r="L671" s="787" t="n"/>
      <c r="M671" s="787" t="n"/>
      <c r="N671" s="800" t="n"/>
      <c r="O671" s="787" t="n"/>
      <c r="P671" s="787" t="n"/>
      <c r="Q671" s="787" t="n"/>
      <c r="R671" s="787" t="n"/>
      <c r="S671" s="787" t="n"/>
      <c r="T671" s="787" t="n"/>
      <c r="U671" s="787" t="n"/>
      <c r="V671" s="787" t="n"/>
      <c r="W671" s="787" t="n"/>
      <c r="X671" s="787" t="n"/>
      <c r="Y671" s="787" t="n"/>
      <c r="Z671" s="787" t="n"/>
      <c r="AA671" s="787" t="n"/>
      <c r="AB671" s="787" t="n"/>
      <c r="AC671" s="787" t="n"/>
      <c r="AD671" s="787" t="n"/>
      <c r="AE671" s="787" t="n"/>
      <c r="AF671" s="800" t="n"/>
    </row>
    <row r="672" ht="18" customHeight="1" thickBot="1" thickTop="1">
      <c r="A672" s="40" t="inlineStr">
        <is>
          <t>ИТОГО, кг</t>
        </is>
      </c>
      <c r="B672" s="46">
        <f>IFERROR(Y22*1,"0")+IFERROR(Y26*1,"0")+IFERROR(Y27*1,"0")+IFERROR(Y28*1,"0")+IFERROR(Y29*1,"0")+IFERROR(Y30*1,"0")+IFERROR(Y31*1,"0")+IFERROR(Y32*1,"0")+IFERROR(Y33*1,"0")+IFERROR(Y34*1,"0")+IFERROR(Y38*1,"0")+IFERROR(Y42*1,"0")</f>
        <v/>
      </c>
      <c r="C672" s="46">
        <f>IFERROR(Y48*1,"0")+IFERROR(Y49*1,"0")+IFERROR(Y50*1,"0")+IFERROR(Y51*1,"0")+IFERROR(Y52*1,"0")+IFERROR(Y53*1,"0")+IFERROR(Y57*1,"0")+IFERROR(Y58*1,"0")</f>
        <v/>
      </c>
      <c r="D672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/>
      </c>
      <c r="E672" s="46">
        <f>IFERROR(Y107*1,"0")+IFERROR(Y108*1,"0")+IFERROR(Y109*1,"0")+IFERROR(Y113*1,"0")+IFERROR(Y114*1,"0")+IFERROR(Y115*1,"0")+IFERROR(Y116*1,"0")+IFERROR(Y117*1,"0")+IFERROR(Y118*1,"0")</f>
        <v/>
      </c>
      <c r="F672" s="46">
        <f>IFERROR(Y123*1,"0")+IFERROR(Y124*1,"0")+IFERROR(Y125*1,"0")+IFERROR(Y126*1,"0")+IFERROR(Y127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/>
      </c>
      <c r="G672" s="46">
        <f>IFERROR(Y154*1,"0")+IFERROR(Y155*1,"0")+IFERROR(Y159*1,"0")+IFERROR(Y160*1,"0")+IFERROR(Y164*1,"0")+IFERROR(Y165*1,"0")</f>
        <v/>
      </c>
      <c r="H672" s="46">
        <f>IFERROR(Y170*1,"0")+IFERROR(Y174*1,"0")+IFERROR(Y175*1,"0")+IFERROR(Y176*1,"0")+IFERROR(Y177*1,"0")+IFERROR(Y178*1,"0")+IFERROR(Y182*1,"0")+IFERROR(Y183*1,"0")</f>
        <v/>
      </c>
      <c r="I672" s="46">
        <f>IFERROR(Y189*1,"0")+IFERROR(Y193*1,"0")+IFERROR(Y194*1,"0")+IFERROR(Y195*1,"0")+IFERROR(Y196*1,"0")+IFERROR(Y197*1,"0")+IFERROR(Y198*1,"0")+IFERROR(Y199*1,"0")+IFERROR(Y200*1,"0")</f>
        <v/>
      </c>
      <c r="J672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/>
      </c>
      <c r="K672" s="46">
        <f>IFERROR(Y250*1,"0")+IFERROR(Y251*1,"0")+IFERROR(Y252*1,"0")+IFERROR(Y253*1,"0")+IFERROR(Y254*1,"0")+IFERROR(Y255*1,"0")+IFERROR(Y256*1,"0")+IFERROR(Y257*1,"0")</f>
        <v/>
      </c>
      <c r="L672" s="46">
        <f>IFERROR(Y262*1,"0")+IFERROR(Y263*1,"0")+IFERROR(Y264*1,"0")+IFERROR(Y265*1,"0")+IFERROR(Y266*1,"0")+IFERROR(Y267*1,"0")+IFERROR(Y268*1,"0")+IFERROR(Y269*1,"0")+IFERROR(Y270*1,"0")+IFERROR(Y274*1,"0")</f>
        <v/>
      </c>
      <c r="M672" s="46">
        <f>IFERROR(Y279*1,"0")+IFERROR(Y280*1,"0")+IFERROR(Y281*1,"0")+IFERROR(Y282*1,"0")+IFERROR(Y283*1,"0")+IFERROR(Y284*1,"0")+IFERROR(Y285*1,"0")+IFERROR(Y286*1,"0")+IFERROR(Y287*1,"0")+IFERROR(Y288*1,"0")</f>
        <v/>
      </c>
      <c r="N672" s="800" t="n"/>
      <c r="O672" s="46">
        <f>IFERROR(Y293*1,"0")</f>
        <v/>
      </c>
      <c r="P672" s="46">
        <f>IFERROR(Y298*1,"0")+IFERROR(Y299*1,"0")+IFERROR(Y300*1,"0")</f>
        <v/>
      </c>
      <c r="Q672" s="46">
        <f>IFERROR(Y305*1,"0")+IFERROR(Y306*1,"0")+IFERROR(Y307*1,"0")+IFERROR(Y308*1,"0")+IFERROR(Y309*1,"0")+IFERROR(Y310*1,"0")</f>
        <v/>
      </c>
      <c r="R672" s="46">
        <f>IFERROR(Y315*1,"0")+IFERROR(Y319*1,"0")+IFERROR(Y323*1,"0")</f>
        <v/>
      </c>
      <c r="S672" s="46">
        <f>IFERROR(Y328*1,"0")+IFERROR(Y332*1,"0")+IFERROR(Y336*1,"0")+IFERROR(Y337*1,"0")</f>
        <v/>
      </c>
      <c r="T672" s="46">
        <f>IFERROR(Y342*1,"0")+IFERROR(Y346*1,"0")+IFERROR(Y347*1,"0")+IFERROR(Y351*1,"0")</f>
        <v/>
      </c>
      <c r="U672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387*1,"0")+IFERROR(Y391*1,"0")+IFERROR(Y392*1,"0")+IFERROR(Y393*1,"0")+IFERROR(Y394*1,"0")+IFERROR(Y398*1,"0")+IFERROR(Y399*1,"0")+IFERROR(Y400*1,"0")</f>
        <v/>
      </c>
      <c r="V672" s="46">
        <f>IFERROR(Y405*1,"0")+IFERROR(Y409*1,"0")+IFERROR(Y410*1,"0")+IFERROR(Y411*1,"0")</f>
        <v/>
      </c>
      <c r="W672" s="46">
        <f>IFERROR(Y417*1,"0")+IFERROR(Y418*1,"0")+IFERROR(Y419*1,"0")+IFERROR(Y420*1,"0")+IFERROR(Y421*1,"0")+IFERROR(Y422*1,"0")+IFERROR(Y423*1,"0")+IFERROR(Y424*1,"0")+IFERROR(Y425*1,"0")+IFERROR(Y426*1,"0")+IFERROR(Y427*1,"0")+IFERROR(Y431*1,"0")+IFERROR(Y432*1,"0")+IFERROR(Y436*1,"0")+IFERROR(Y437*1,"0")+IFERROR(Y441*1,"0")</f>
        <v/>
      </c>
      <c r="X672" s="46">
        <f>IFERROR(Y446*1,"0")+IFERROR(Y447*1,"0")+IFERROR(Y448*1,"0")+IFERROR(Y449*1,"0")+IFERROR(Y450*1,"0")+IFERROR(Y451*1,"0")+IFERROR(Y452*1,"0")+IFERROR(Y453*1,"0")+IFERROR(Y457*1,"0")+IFERROR(Y458*1,"0")+IFERROR(Y462*1,"0")+IFERROR(Y463*1,"0")+IFERROR(Y464*1,"0")+IFERROR(Y465*1,"0")+IFERROR(Y466*1,"0")+IFERROR(Y470*1,"0")</f>
        <v/>
      </c>
      <c r="Y672" s="46">
        <f>IFERROR(Y476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+IFERROR(Y513*1,"0")+IFERROR(Y514*1,"0")</f>
        <v/>
      </c>
      <c r="Z672" s="46">
        <f>IFERROR(Y519*1,"0")+IFERROR(Y523*1,"0")+IFERROR(Y524*1,"0")+IFERROR(Y525*1,"0")+IFERROR(Y526*1,"0")+IFERROR(Y527*1,"0")+IFERROR(Y531*1,"0")+IFERROR(Y535*1,"0")</f>
        <v/>
      </c>
      <c r="AA672" s="46">
        <f>IFERROR(Y540*1,"0")+IFERROR(Y541*1,"0")+IFERROR(Y542*1,"0")+IFERROR(Y543*1,"0")</f>
        <v/>
      </c>
      <c r="AB672" s="46">
        <f>IFERROR(Y548*1,"0")</f>
        <v/>
      </c>
      <c r="AC672" s="46">
        <f>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575*1,"0")+IFERROR(Y576*1,"0")+IFERROR(Y577*1,"0")+IFERROR(Y578*1,"0")+IFERROR(Y579*1,"0")+IFERROR(Y580*1,"0")+IFERROR(Y581*1,"0")+IFERROR(Y582*1,"0")+IFERROR(Y583*1,"0")+IFERROR(Y587*1,"0")+IFERROR(Y588*1,"0")+IFERROR(Y589*1,"0")+IFERROR(Y593*1,"0")+IFERROR(Y594*1,"0")</f>
        <v/>
      </c>
      <c r="AD672" s="46">
        <f>IFERROR(Y600*1,"0")+IFERROR(Y601*1,"0")+IFERROR(Y602*1,"0")+IFERROR(Y603*1,"0")+IFERROR(Y604*1,"0")+IFERROR(Y605*1,"0")+IFERROR(Y606*1,"0")+IFERROR(Y610*1,"0")+IFERROR(Y611*1,"0")+IFERROR(Y612*1,"0")+IFERROR(Y613*1,"0")+IFERROR(Y617*1,"0")+IFERROR(Y618*1,"0")+IFERROR(Y619*1,"0")+IFERROR(Y620*1,"0")+IFERROR(Y621*1,"0")+IFERROR(Y622*1,"0")+IFERROR(Y623*1,"0")+IFERROR(Y627*1,"0")+IFERROR(Y628*1,"0")+IFERROR(Y629*1,"0")+IFERROR(Y630*1,"0")+IFERROR(Y631*1,"0")+IFERROR(Y632*1,"0")+IFERROR(Y633*1,"0")+IFERROR(Y634*1,"0")+IFERROR(Y638*1,"0")+IFERROR(Y639*1,"0")+IFERROR(Y640*1,"0")+IFERROR(Y641*1,"0")</f>
        <v/>
      </c>
      <c r="AE672" s="46">
        <f>IFERROR(Y646*1,"0")+IFERROR(Y647*1,"0")+IFERROR(Y651*1,"0")+IFERROR(Y655*1,"0")+IFERROR(Y659*1,"0")</f>
        <v/>
      </c>
      <c r="AF672" s="800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udgfadYcyHnDP+6PNCwRhA==" formatRows="1" sort="0" spinCount="100000" hashValue="V8ZBScR4uI5V9kqumJ5dL5ZGy/+ogH7WGB7tr29+nKvFLVTu7wNEZetbU9/z3s/UdGy8wzuO2YLWYb1QHfXqXg=="/>
  <autoFilter ref="A18:AF18">
    <filterColumn colId="3" hiddenButton="0" showButton="0"/>
    <filterColumn colId="15" hiddenButton="0" showButton="0"/>
    <filterColumn colId="16" hiddenButton="0" showButton="0"/>
    <filterColumn colId="17" hiddenButton="0" showButton="0"/>
    <filterColumn colId="18" hiddenButton="0" showButton="0"/>
    <filterColumn colId="29" hiddenButton="0" showButton="0"/>
    <filterColumn colId="30" hiddenButton="0" showButton="0"/>
  </autoFilter>
  <mergeCells count="1186">
    <mergeCell ref="D535:E535"/>
    <mergeCell ref="P244:T244"/>
    <mergeCell ref="P315:T315"/>
    <mergeCell ref="P144:T144"/>
    <mergeCell ref="P437:T437"/>
    <mergeCell ref="A190:O191"/>
    <mergeCell ref="P231:T231"/>
    <mergeCell ref="D423:E423"/>
    <mergeCell ref="D174:E174"/>
    <mergeCell ref="P613:T613"/>
    <mergeCell ref="D619:E619"/>
    <mergeCell ref="P600:T600"/>
    <mergeCell ref="D410:E410"/>
    <mergeCell ref="P594:T594"/>
    <mergeCell ref="P516:V516"/>
    <mergeCell ref="A568:Z568"/>
    <mergeCell ref="P614:V614"/>
    <mergeCell ref="H9:I9"/>
    <mergeCell ref="P224:V224"/>
    <mergeCell ref="P24:V24"/>
    <mergeCell ref="D281:E281"/>
    <mergeCell ref="P89:V89"/>
    <mergeCell ref="A383:Z383"/>
    <mergeCell ref="P545:V545"/>
    <mergeCell ref="P259:V259"/>
    <mergeCell ref="P88:V88"/>
    <mergeCell ref="P155:T155"/>
    <mergeCell ref="P324:V324"/>
    <mergeCell ref="A79:O80"/>
    <mergeCell ref="D70:E70"/>
    <mergeCell ref="P562:T562"/>
    <mergeCell ref="P511:V511"/>
    <mergeCell ref="P391:T391"/>
    <mergeCell ref="D263:E263"/>
    <mergeCell ref="P220:T220"/>
    <mergeCell ref="D499:E499"/>
    <mergeCell ref="A635:O636"/>
    <mergeCell ref="D426:E426"/>
    <mergeCell ref="D486:E486"/>
    <mergeCell ref="P86:T86"/>
    <mergeCell ref="A343:O344"/>
    <mergeCell ref="P384:T384"/>
    <mergeCell ref="P328:T328"/>
    <mergeCell ref="D376:E376"/>
    <mergeCell ref="D205:E205"/>
    <mergeCell ref="D134:E134"/>
    <mergeCell ref="D78:E78"/>
    <mergeCell ref="A645:Z645"/>
    <mergeCell ref="A572:O573"/>
    <mergeCell ref="D363:E363"/>
    <mergeCell ref="D563:E563"/>
    <mergeCell ref="D357:E357"/>
    <mergeCell ref="R1:T1"/>
    <mergeCell ref="D71:E7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A381:O382"/>
    <mergeCell ref="P215:T215"/>
    <mergeCell ref="A145:O146"/>
    <mergeCell ref="P165:T165"/>
    <mergeCell ref="P432:T432"/>
    <mergeCell ref="P30:T30"/>
    <mergeCell ref="D638:E638"/>
    <mergeCell ref="X670:X671"/>
    <mergeCell ref="P179:V179"/>
    <mergeCell ref="Z670:Z671"/>
    <mergeCell ref="P166:V166"/>
    <mergeCell ref="P402:V402"/>
    <mergeCell ref="P531:T531"/>
    <mergeCell ref="A311:O312"/>
    <mergeCell ref="P452:T452"/>
    <mergeCell ref="G670:G671"/>
    <mergeCell ref="I670:I671"/>
    <mergeCell ref="P662:V662"/>
    <mergeCell ref="B17:B18"/>
    <mergeCell ref="D131:E131"/>
    <mergeCell ref="A171:O172"/>
    <mergeCell ref="A260:Z260"/>
    <mergeCell ref="P506:V506"/>
    <mergeCell ref="P477:V477"/>
    <mergeCell ref="D556:E556"/>
    <mergeCell ref="P533:V533"/>
    <mergeCell ref="D494:E494"/>
    <mergeCell ref="A656:O657"/>
    <mergeCell ref="D543:E543"/>
    <mergeCell ref="P207:V207"/>
    <mergeCell ref="P252:T252"/>
    <mergeCell ref="D124:E124"/>
    <mergeCell ref="D195:E195"/>
    <mergeCell ref="P379:T379"/>
    <mergeCell ref="D610:E610"/>
    <mergeCell ref="D360:E360"/>
    <mergeCell ref="D189:E189"/>
    <mergeCell ref="P621:T621"/>
    <mergeCell ref="D493:E493"/>
    <mergeCell ref="A471:O472"/>
    <mergeCell ref="D558:E558"/>
    <mergeCell ref="D287:E287"/>
    <mergeCell ref="P170:T170"/>
    <mergeCell ref="D431:E431"/>
    <mergeCell ref="A658:Z658"/>
    <mergeCell ref="D66:E66"/>
    <mergeCell ref="D126:E126"/>
    <mergeCell ref="D197:E197"/>
    <mergeCell ref="D253:E253"/>
    <mergeCell ref="D53:E53"/>
    <mergeCell ref="D351:E351"/>
    <mergeCell ref="D411:E411"/>
    <mergeCell ref="P330:V330"/>
    <mergeCell ref="D482:E482"/>
    <mergeCell ref="D587:E587"/>
    <mergeCell ref="P160:T160"/>
    <mergeCell ref="P566:V566"/>
    <mergeCell ref="P395:V395"/>
    <mergeCell ref="W17:W18"/>
    <mergeCell ref="P532:V532"/>
    <mergeCell ref="P161:V161"/>
    <mergeCell ref="P388:V388"/>
    <mergeCell ref="P459:V459"/>
    <mergeCell ref="P234:T234"/>
    <mergeCell ref="P325:V325"/>
    <mergeCell ref="D142:E142"/>
    <mergeCell ref="D378:E378"/>
    <mergeCell ref="D7:M7"/>
    <mergeCell ref="P236:T236"/>
    <mergeCell ref="A81:Z81"/>
    <mergeCell ref="P156:V156"/>
    <mergeCell ref="A152:Z152"/>
    <mergeCell ref="P92:T92"/>
    <mergeCell ref="P394:T394"/>
    <mergeCell ref="D315:E315"/>
    <mergeCell ref="A184:O185"/>
    <mergeCell ref="D613:E613"/>
    <mergeCell ref="P570:T570"/>
    <mergeCell ref="D502:E502"/>
    <mergeCell ref="D144:E144"/>
    <mergeCell ref="D600:E600"/>
    <mergeCell ref="P29:T29"/>
    <mergeCell ref="A97:O98"/>
    <mergeCell ref="P100:T100"/>
    <mergeCell ref="P265:T265"/>
    <mergeCell ref="P94:T94"/>
    <mergeCell ref="F670:F671"/>
    <mergeCell ref="P563:T563"/>
    <mergeCell ref="P458:T458"/>
    <mergeCell ref="P634:T634"/>
    <mergeCell ref="D640:E640"/>
    <mergeCell ref="D379:E379"/>
    <mergeCell ref="D8:M8"/>
    <mergeCell ref="D300:E300"/>
    <mergeCell ref="P472:V472"/>
    <mergeCell ref="A161:O162"/>
    <mergeCell ref="P31:T31"/>
    <mergeCell ref="A459:O460"/>
    <mergeCell ref="A291:Z291"/>
    <mergeCell ref="P180:V180"/>
    <mergeCell ref="A590:O591"/>
    <mergeCell ref="D139:E139"/>
    <mergeCell ref="P565:T565"/>
    <mergeCell ref="P343:V343"/>
    <mergeCell ref="P266:T266"/>
    <mergeCell ref="P95:T95"/>
    <mergeCell ref="A355:Z355"/>
    <mergeCell ref="P527:T527"/>
    <mergeCell ref="P502:T502"/>
    <mergeCell ref="D470:E470"/>
    <mergeCell ref="A212:O213"/>
    <mergeCell ref="H1:Q1"/>
    <mergeCell ref="A99:Z99"/>
    <mergeCell ref="A292:Z292"/>
    <mergeCell ref="A397:Z397"/>
    <mergeCell ref="D284:E284"/>
    <mergeCell ref="A74:Z74"/>
    <mergeCell ref="P246:V246"/>
    <mergeCell ref="A626:Z626"/>
    <mergeCell ref="W670:W671"/>
    <mergeCell ref="D501:E501"/>
    <mergeCell ref="P40:V40"/>
    <mergeCell ref="Y670:Y671"/>
    <mergeCell ref="D495:E495"/>
    <mergeCell ref="A237:O238"/>
    <mergeCell ref="A163:Z163"/>
    <mergeCell ref="P405:T405"/>
    <mergeCell ref="D593:E593"/>
    <mergeCell ref="P647:T647"/>
    <mergeCell ref="P476:T476"/>
    <mergeCell ref="D28:E28"/>
    <mergeCell ref="V10:W10"/>
    <mergeCell ref="A374:Z374"/>
    <mergeCell ref="D432:E432"/>
    <mergeCell ref="D236:E236"/>
    <mergeCell ref="D117:E117"/>
    <mergeCell ref="D92:E92"/>
    <mergeCell ref="A301:O302"/>
    <mergeCell ref="P242:T242"/>
    <mergeCell ref="D30:E30"/>
    <mergeCell ref="D524:E524"/>
    <mergeCell ref="D559:E559"/>
    <mergeCell ref="A179:O180"/>
    <mergeCell ref="D651:E651"/>
    <mergeCell ref="D67:E67"/>
    <mergeCell ref="P607:V607"/>
    <mergeCell ref="D5:E5"/>
    <mergeCell ref="D496:E496"/>
    <mergeCell ref="P453:T453"/>
    <mergeCell ref="P42:T42"/>
    <mergeCell ref="D94:E94"/>
    <mergeCell ref="D361:E361"/>
    <mergeCell ref="D588:E588"/>
    <mergeCell ref="D417:E417"/>
    <mergeCell ref="D659:E659"/>
    <mergeCell ref="P567:V567"/>
    <mergeCell ref="A395:O396"/>
    <mergeCell ref="P396:V396"/>
    <mergeCell ref="A401:O402"/>
    <mergeCell ref="P148:T148"/>
    <mergeCell ref="P98:V98"/>
    <mergeCell ref="D69:E69"/>
    <mergeCell ref="D498:E498"/>
    <mergeCell ref="D603:E603"/>
    <mergeCell ref="P482:T482"/>
    <mergeCell ref="A475:Z475"/>
    <mergeCell ref="P240:T240"/>
    <mergeCell ref="P162:V162"/>
    <mergeCell ref="P460:V460"/>
    <mergeCell ref="D527:E527"/>
    <mergeCell ref="D356:E356"/>
    <mergeCell ref="P542:T542"/>
    <mergeCell ref="A45:Z45"/>
    <mergeCell ref="P35:V35"/>
    <mergeCell ref="P333:V333"/>
    <mergeCell ref="D387:E387"/>
    <mergeCell ref="P571:T571"/>
    <mergeCell ref="P400:T400"/>
    <mergeCell ref="D514:E514"/>
    <mergeCell ref="A345:Z345"/>
    <mergeCell ref="D210:E210"/>
    <mergeCell ref="D308:E308"/>
    <mergeCell ref="D606:E606"/>
    <mergeCell ref="A46:Z46"/>
    <mergeCell ref="P508:T508"/>
    <mergeCell ref="D380:E380"/>
    <mergeCell ref="P337:T337"/>
    <mergeCell ref="P464:T464"/>
    <mergeCell ref="D87:E87"/>
    <mergeCell ref="D274:E274"/>
    <mergeCell ref="D245:E245"/>
    <mergeCell ref="P116:T116"/>
    <mergeCell ref="A105:Z105"/>
    <mergeCell ref="P32:T32"/>
    <mergeCell ref="P230:T230"/>
    <mergeCell ref="P59:V59"/>
    <mergeCell ref="D211:E211"/>
    <mergeCell ref="P268:T268"/>
    <mergeCell ref="P190:V190"/>
    <mergeCell ref="P466:T466"/>
    <mergeCell ref="D1:F1"/>
    <mergeCell ref="A313:Z313"/>
    <mergeCell ref="P111:V111"/>
    <mergeCell ref="J17:J18"/>
    <mergeCell ref="D82:E82"/>
    <mergeCell ref="L17:L18"/>
    <mergeCell ref="C670:C671"/>
    <mergeCell ref="D240:E240"/>
    <mergeCell ref="P426:T426"/>
    <mergeCell ref="P255:T255"/>
    <mergeCell ref="P321:V321"/>
    <mergeCell ref="D100:E100"/>
    <mergeCell ref="P284:T284"/>
    <mergeCell ref="P348:V348"/>
    <mergeCell ref="P17:T18"/>
    <mergeCell ref="P113:T113"/>
    <mergeCell ref="A173:Z173"/>
    <mergeCell ref="D634:E634"/>
    <mergeCell ref="D523:E523"/>
    <mergeCell ref="P63:T63"/>
    <mergeCell ref="D621:E621"/>
    <mergeCell ref="P250:T250"/>
    <mergeCell ref="P50:T50"/>
    <mergeCell ref="P492:T492"/>
    <mergeCell ref="D31:E31"/>
    <mergeCell ref="P194:T194"/>
    <mergeCell ref="P286:T286"/>
    <mergeCell ref="D229:E229"/>
    <mergeCell ref="P648:V648"/>
    <mergeCell ref="D400:E400"/>
    <mergeCell ref="D565:E565"/>
    <mergeCell ref="D77:E77"/>
    <mergeCell ref="P131:T131"/>
    <mergeCell ref="D108:E108"/>
    <mergeCell ref="D375:E375"/>
    <mergeCell ref="D369:E369"/>
    <mergeCell ref="P556:T556"/>
    <mergeCell ref="P52:T52"/>
    <mergeCell ref="P423:T423"/>
    <mergeCell ref="A168:Z168"/>
    <mergeCell ref="P494:T494"/>
    <mergeCell ref="D160:E160"/>
    <mergeCell ref="P201:V201"/>
    <mergeCell ref="P481:T481"/>
    <mergeCell ref="A467:O468"/>
    <mergeCell ref="I17:I18"/>
    <mergeCell ref="D141:E141"/>
    <mergeCell ref="D629:E629"/>
    <mergeCell ref="D306:E306"/>
    <mergeCell ref="P189:T189"/>
    <mergeCell ref="D377:E377"/>
    <mergeCell ref="A119:O120"/>
    <mergeCell ref="A246:O247"/>
    <mergeCell ref="P287:T287"/>
    <mergeCell ref="A547:Z547"/>
    <mergeCell ref="P281:T281"/>
    <mergeCell ref="P548:T548"/>
    <mergeCell ref="P523:T523"/>
    <mergeCell ref="A522:Z522"/>
    <mergeCell ref="A326:Z326"/>
    <mergeCell ref="P301:V301"/>
    <mergeCell ref="P498:T498"/>
    <mergeCell ref="P295:V295"/>
    <mergeCell ref="P276:V276"/>
    <mergeCell ref="D235:E235"/>
    <mergeCell ref="A239:Z239"/>
    <mergeCell ref="D421:E421"/>
    <mergeCell ref="Q9:R9"/>
    <mergeCell ref="D451:E451"/>
    <mergeCell ref="A331:Z331"/>
    <mergeCell ref="P610:T610"/>
    <mergeCell ref="D255:E255"/>
    <mergeCell ref="A616:Z616"/>
    <mergeCell ref="P478:V478"/>
    <mergeCell ref="A303:Z303"/>
    <mergeCell ref="P36:V36"/>
    <mergeCell ref="P78:T78"/>
    <mergeCell ref="P636:V636"/>
    <mergeCell ref="P376:T376"/>
    <mergeCell ref="P205:T205"/>
    <mergeCell ref="Q11:R11"/>
    <mergeCell ref="D453:E453"/>
    <mergeCell ref="A6:C6"/>
    <mergeCell ref="D309:E309"/>
    <mergeCell ref="D113:E113"/>
    <mergeCell ref="W669:X669"/>
    <mergeCell ref="P118:T118"/>
    <mergeCell ref="P142:T142"/>
    <mergeCell ref="D148:E148"/>
    <mergeCell ref="D26:E26"/>
    <mergeCell ref="P378:T378"/>
    <mergeCell ref="D622:E622"/>
    <mergeCell ref="P117:T117"/>
    <mergeCell ref="A324:O325"/>
    <mergeCell ref="D115:E115"/>
    <mergeCell ref="P182:T182"/>
    <mergeCell ref="P480:T480"/>
    <mergeCell ref="P280:T280"/>
    <mergeCell ref="Q12:R12"/>
    <mergeCell ref="P411:T411"/>
    <mergeCell ref="P638:T638"/>
    <mergeCell ref="D448:E448"/>
    <mergeCell ref="A43:O44"/>
    <mergeCell ref="P652:V652"/>
    <mergeCell ref="D611:E611"/>
    <mergeCell ref="P640:T640"/>
    <mergeCell ref="D561:E561"/>
    <mergeCell ref="P667:V667"/>
    <mergeCell ref="D548:E548"/>
    <mergeCell ref="A5:C5"/>
    <mergeCell ref="A552:Z552"/>
    <mergeCell ref="P412:V412"/>
    <mergeCell ref="A408:Z408"/>
    <mergeCell ref="A584:O585"/>
    <mergeCell ref="A644:Z644"/>
    <mergeCell ref="A473:Z473"/>
    <mergeCell ref="P135:V135"/>
    <mergeCell ref="P191:V191"/>
    <mergeCell ref="A187:Z187"/>
    <mergeCell ref="P349:V349"/>
    <mergeCell ref="P591:V591"/>
    <mergeCell ref="D337:E337"/>
    <mergeCell ref="D464:E464"/>
    <mergeCell ref="P128:V128"/>
    <mergeCell ref="A442:O443"/>
    <mergeCell ref="P195:T195"/>
    <mergeCell ref="P300:T300"/>
    <mergeCell ref="A17:A18"/>
    <mergeCell ref="P493:T493"/>
    <mergeCell ref="P371:T371"/>
    <mergeCell ref="P431:T431"/>
    <mergeCell ref="C17:C18"/>
    <mergeCell ref="K17:K18"/>
    <mergeCell ref="P358:T358"/>
    <mergeCell ref="P649:V649"/>
    <mergeCell ref="A474:Z474"/>
    <mergeCell ref="D230:E230"/>
    <mergeCell ref="D466:E466"/>
    <mergeCell ref="P66:T66"/>
    <mergeCell ref="D9:E9"/>
    <mergeCell ref="P197:T197"/>
    <mergeCell ref="F9:G9"/>
    <mergeCell ref="D118:E118"/>
    <mergeCell ref="P53:T53"/>
    <mergeCell ref="P495:T495"/>
    <mergeCell ref="P351:T351"/>
    <mergeCell ref="A47:Z47"/>
    <mergeCell ref="P593:T593"/>
    <mergeCell ref="P422:T422"/>
    <mergeCell ref="D232:E232"/>
    <mergeCell ref="P587:T587"/>
    <mergeCell ref="A406:O407"/>
    <mergeCell ref="P238:V238"/>
    <mergeCell ref="P264:T264"/>
    <mergeCell ref="P68:T68"/>
    <mergeCell ref="D38:E38"/>
    <mergeCell ref="P524:T524"/>
    <mergeCell ref="P132:T132"/>
    <mergeCell ref="A121:Z121"/>
    <mergeCell ref="P317:V317"/>
    <mergeCell ref="P146:V146"/>
    <mergeCell ref="D63:E63"/>
    <mergeCell ref="D492:E492"/>
    <mergeCell ref="P305:T305"/>
    <mergeCell ref="P596:V596"/>
    <mergeCell ref="A304:Z304"/>
    <mergeCell ref="D96:E96"/>
    <mergeCell ref="P344:V344"/>
    <mergeCell ref="P515:V515"/>
    <mergeCell ref="P642:V642"/>
    <mergeCell ref="A372:O373"/>
    <mergeCell ref="D630:E630"/>
    <mergeCell ref="P513:T513"/>
    <mergeCell ref="A201:O202"/>
    <mergeCell ref="D52:E52"/>
    <mergeCell ref="C669:H669"/>
    <mergeCell ref="D617:E617"/>
    <mergeCell ref="P110:V110"/>
    <mergeCell ref="D27:E27"/>
    <mergeCell ref="A338:O339"/>
    <mergeCell ref="P15:T16"/>
    <mergeCell ref="P450:T450"/>
    <mergeCell ref="D632:E632"/>
    <mergeCell ref="D116:E116"/>
    <mergeCell ref="P419:T419"/>
    <mergeCell ref="A275:O276"/>
    <mergeCell ref="P219:T219"/>
    <mergeCell ref="A335:Z335"/>
    <mergeCell ref="D91:E91"/>
    <mergeCell ref="A536:O537"/>
    <mergeCell ref="D631:E631"/>
    <mergeCell ref="P210:T210"/>
    <mergeCell ref="D569:E569"/>
    <mergeCell ref="P439:V439"/>
    <mergeCell ref="A438:O439"/>
    <mergeCell ref="P308:T308"/>
    <mergeCell ref="P433:V433"/>
    <mergeCell ref="E670:E671"/>
    <mergeCell ref="P606:T606"/>
    <mergeCell ref="D612:E612"/>
    <mergeCell ref="D398:E398"/>
    <mergeCell ref="A652:O653"/>
    <mergeCell ref="P427:T427"/>
    <mergeCell ref="P283:T283"/>
    <mergeCell ref="D264:E264"/>
    <mergeCell ref="P581:T581"/>
    <mergeCell ref="D93:E93"/>
    <mergeCell ref="P519:T519"/>
    <mergeCell ref="D391:E391"/>
    <mergeCell ref="D220:E220"/>
    <mergeCell ref="P72:V72"/>
    <mergeCell ref="A322:Z322"/>
    <mergeCell ref="A553:Z553"/>
    <mergeCell ref="D328:E328"/>
    <mergeCell ref="P285:T285"/>
    <mergeCell ref="P136:V136"/>
    <mergeCell ref="A188:Z188"/>
    <mergeCell ref="P434:V434"/>
    <mergeCell ref="A135:O136"/>
    <mergeCell ref="A433:O434"/>
    <mergeCell ref="P501:T501"/>
    <mergeCell ref="A12:M12"/>
    <mergeCell ref="D251:E251"/>
    <mergeCell ref="D487:E487"/>
    <mergeCell ref="P657:V657"/>
    <mergeCell ref="A538:Z538"/>
    <mergeCell ref="A416:Z416"/>
    <mergeCell ref="A609:Z609"/>
    <mergeCell ref="A19:Z19"/>
    <mergeCell ref="P310:T310"/>
    <mergeCell ref="D182:E182"/>
    <mergeCell ref="D480:E480"/>
    <mergeCell ref="D280:E280"/>
    <mergeCell ref="P528:V528"/>
    <mergeCell ref="D109:E109"/>
    <mergeCell ref="A14:M14"/>
    <mergeCell ref="P424:T424"/>
    <mergeCell ref="P138:T138"/>
    <mergeCell ref="T5:U5"/>
    <mergeCell ref="P76:T76"/>
    <mergeCell ref="V5:W5"/>
    <mergeCell ref="P496:T496"/>
    <mergeCell ref="B670:B671"/>
    <mergeCell ref="D488:E488"/>
    <mergeCell ref="P294:V294"/>
    <mergeCell ref="D670:D671"/>
    <mergeCell ref="P361:T361"/>
    <mergeCell ref="D282:E282"/>
    <mergeCell ref="D233:E233"/>
    <mergeCell ref="P659:T659"/>
    <mergeCell ref="D580:E580"/>
    <mergeCell ref="P510:V510"/>
    <mergeCell ref="D409:E409"/>
    <mergeCell ref="P212:V212"/>
    <mergeCell ref="P69:T69"/>
    <mergeCell ref="D183:E183"/>
    <mergeCell ref="P140:T140"/>
    <mergeCell ref="Q8:R8"/>
    <mergeCell ref="P267:T267"/>
    <mergeCell ref="D419:E419"/>
    <mergeCell ref="D219:E219"/>
    <mergeCell ref="P425:T425"/>
    <mergeCell ref="A549:O550"/>
    <mergeCell ref="T6:U9"/>
    <mergeCell ref="D582:E582"/>
    <mergeCell ref="Q10:R10"/>
    <mergeCell ref="P356:T356"/>
    <mergeCell ref="A137:Z137"/>
    <mergeCell ref="A37:Z37"/>
    <mergeCell ref="P625:V625"/>
    <mergeCell ref="D371:E371"/>
    <mergeCell ref="P60:V60"/>
    <mergeCell ref="D564:E564"/>
    <mergeCell ref="D485:E485"/>
    <mergeCell ref="P320:V320"/>
    <mergeCell ref="P387:T387"/>
    <mergeCell ref="P216:T216"/>
    <mergeCell ref="P514:T514"/>
    <mergeCell ref="P623:T623"/>
    <mergeCell ref="Y669:AB669"/>
    <mergeCell ref="D422:E422"/>
    <mergeCell ref="P489:T489"/>
    <mergeCell ref="P80:V80"/>
    <mergeCell ref="P151:V151"/>
    <mergeCell ref="P87:T87"/>
    <mergeCell ref="A203:Z203"/>
    <mergeCell ref="D68:E68"/>
    <mergeCell ref="P451:T451"/>
    <mergeCell ref="P627:T627"/>
    <mergeCell ref="D633:E633"/>
    <mergeCell ref="P245:T245"/>
    <mergeCell ref="P543:T543"/>
    <mergeCell ref="D424:E424"/>
    <mergeCell ref="P491:T491"/>
    <mergeCell ref="P211:T211"/>
    <mergeCell ref="D399:E399"/>
    <mergeCell ref="D132:E132"/>
    <mergeCell ref="P558:T558"/>
    <mergeCell ref="P309:T309"/>
    <mergeCell ref="P505:V505"/>
    <mergeCell ref="D178:E178"/>
    <mergeCell ref="A156:O157"/>
    <mergeCell ref="P51:T51"/>
    <mergeCell ref="P26:T26"/>
    <mergeCell ref="A72:O73"/>
    <mergeCell ref="D463:E463"/>
    <mergeCell ref="S670:S671"/>
    <mergeCell ref="P622:T622"/>
    <mergeCell ref="U670:U671"/>
    <mergeCell ref="A261:Z261"/>
    <mergeCell ref="D555:E555"/>
    <mergeCell ref="P338:V338"/>
    <mergeCell ref="AD669:AE669"/>
    <mergeCell ref="A546:Z546"/>
    <mergeCell ref="A350:Z350"/>
    <mergeCell ref="P373:V373"/>
    <mergeCell ref="P202:V202"/>
    <mergeCell ref="P380:T380"/>
    <mergeCell ref="A13:M13"/>
    <mergeCell ref="A59:O60"/>
    <mergeCell ref="P536:V536"/>
    <mergeCell ref="P79:V79"/>
    <mergeCell ref="P73:V73"/>
    <mergeCell ref="A367:Z367"/>
    <mergeCell ref="P115:T115"/>
    <mergeCell ref="D254:E254"/>
    <mergeCell ref="A15:M15"/>
    <mergeCell ref="P302:V302"/>
    <mergeCell ref="A354:Z354"/>
    <mergeCell ref="D490:E490"/>
    <mergeCell ref="A88:O89"/>
    <mergeCell ref="D346:E346"/>
    <mergeCell ref="P229:T229"/>
    <mergeCell ref="D48:E48"/>
    <mergeCell ref="P665:V665"/>
    <mergeCell ref="P77:T77"/>
    <mergeCell ref="P375:T375"/>
    <mergeCell ref="D125:E125"/>
    <mergeCell ref="P446:T446"/>
    <mergeCell ref="A54:O55"/>
    <mergeCell ref="P611:T611"/>
    <mergeCell ref="D283:E283"/>
    <mergeCell ref="D554:E554"/>
    <mergeCell ref="J9:M9"/>
    <mergeCell ref="D581:E581"/>
    <mergeCell ref="A654:Z654"/>
    <mergeCell ref="A532:O533"/>
    <mergeCell ref="D519:E519"/>
    <mergeCell ref="D646:E646"/>
    <mergeCell ref="A388:O389"/>
    <mergeCell ref="P454:V454"/>
    <mergeCell ref="P389:V389"/>
    <mergeCell ref="P141:T141"/>
    <mergeCell ref="D193:E193"/>
    <mergeCell ref="P377:T377"/>
    <mergeCell ref="P206:T206"/>
    <mergeCell ref="P233:T233"/>
    <mergeCell ref="P619:T619"/>
    <mergeCell ref="D176:E176"/>
    <mergeCell ref="P504:T504"/>
    <mergeCell ref="D285:E285"/>
    <mergeCell ref="D491:E491"/>
    <mergeCell ref="P448:T448"/>
    <mergeCell ref="D583:E583"/>
    <mergeCell ref="P540:T540"/>
    <mergeCell ref="D347:E347"/>
    <mergeCell ref="P602:T602"/>
    <mergeCell ref="D114:E114"/>
    <mergeCell ref="P143:T143"/>
    <mergeCell ref="D64:E64"/>
    <mergeCell ref="A574:Z574"/>
    <mergeCell ref="P612:T612"/>
    <mergeCell ref="P441:T441"/>
    <mergeCell ref="D362:E362"/>
    <mergeCell ref="A365:O366"/>
    <mergeCell ref="P235:T235"/>
    <mergeCell ref="A607:O608"/>
    <mergeCell ref="P306:T306"/>
    <mergeCell ref="D51:E51"/>
    <mergeCell ref="P157:V157"/>
    <mergeCell ref="P604:T604"/>
    <mergeCell ref="D476:E476"/>
    <mergeCell ref="P455:V455"/>
    <mergeCell ref="A209:Z209"/>
    <mergeCell ref="A454:O455"/>
    <mergeCell ref="P213:V213"/>
    <mergeCell ref="A445:Z445"/>
    <mergeCell ref="P520:V520"/>
    <mergeCell ref="A147:Z147"/>
    <mergeCell ref="D647:E647"/>
    <mergeCell ref="P299:T299"/>
    <mergeCell ref="P172:V172"/>
    <mergeCell ref="P150:V150"/>
    <mergeCell ref="D138:E138"/>
    <mergeCell ref="P393:T393"/>
    <mergeCell ref="P564:T564"/>
    <mergeCell ref="P629:T629"/>
    <mergeCell ref="A510:O511"/>
    <mergeCell ref="A186:Z186"/>
    <mergeCell ref="P549:V549"/>
    <mergeCell ref="P232:T232"/>
    <mergeCell ref="P159:T159"/>
    <mergeCell ref="D140:E140"/>
    <mergeCell ref="D267:E267"/>
    <mergeCell ref="D509:E509"/>
    <mergeCell ref="A340:Z340"/>
    <mergeCell ref="D425:E425"/>
    <mergeCell ref="D359:E359"/>
    <mergeCell ref="D601:E601"/>
    <mergeCell ref="P96:T96"/>
    <mergeCell ref="H17:H18"/>
    <mergeCell ref="P503:T503"/>
    <mergeCell ref="P559:T559"/>
    <mergeCell ref="P332:T332"/>
    <mergeCell ref="P630:T630"/>
    <mergeCell ref="D465:E465"/>
    <mergeCell ref="D269:E269"/>
    <mergeCell ref="A505:O506"/>
    <mergeCell ref="P217:T217"/>
    <mergeCell ref="A207:O208"/>
    <mergeCell ref="P617:T617"/>
    <mergeCell ref="D489:E489"/>
    <mergeCell ref="D427:E427"/>
    <mergeCell ref="P275:V275"/>
    <mergeCell ref="P27:T27"/>
    <mergeCell ref="P104:V104"/>
    <mergeCell ref="P154:T154"/>
    <mergeCell ref="D75:E75"/>
    <mergeCell ref="A520:O521"/>
    <mergeCell ref="P561:T561"/>
    <mergeCell ref="A271:O272"/>
    <mergeCell ref="P632:T632"/>
    <mergeCell ref="D504:E504"/>
    <mergeCell ref="P247:V247"/>
    <mergeCell ref="D206:E206"/>
    <mergeCell ref="D298:E298"/>
    <mergeCell ref="A158:Z158"/>
    <mergeCell ref="P91:T91"/>
    <mergeCell ref="P500:T500"/>
    <mergeCell ref="P366:V366"/>
    <mergeCell ref="P664:V664"/>
    <mergeCell ref="P468:V468"/>
    <mergeCell ref="A598:Z598"/>
    <mergeCell ref="D627:E627"/>
    <mergeCell ref="P535:T535"/>
    <mergeCell ref="P316:V316"/>
    <mergeCell ref="AA17:AA18"/>
    <mergeCell ref="H10:M10"/>
    <mergeCell ref="AC17:AC18"/>
    <mergeCell ref="T670:T671"/>
    <mergeCell ref="P485:T485"/>
    <mergeCell ref="A122:Z122"/>
    <mergeCell ref="L670:L671"/>
    <mergeCell ref="V670:V671"/>
    <mergeCell ref="D418:E418"/>
    <mergeCell ref="P666:V666"/>
    <mergeCell ref="D393:E393"/>
    <mergeCell ref="P279:T279"/>
    <mergeCell ref="P108:T108"/>
    <mergeCell ref="P254:T254"/>
    <mergeCell ref="P251:T251"/>
    <mergeCell ref="A435:Z435"/>
    <mergeCell ref="P487:T487"/>
    <mergeCell ref="D420:E420"/>
    <mergeCell ref="A660:O661"/>
    <mergeCell ref="P256:T256"/>
    <mergeCell ref="V6:W9"/>
    <mergeCell ref="D199:E199"/>
    <mergeCell ref="P554:T554"/>
    <mergeCell ref="P38:T38"/>
    <mergeCell ref="D497:E497"/>
    <mergeCell ref="D364:E364"/>
    <mergeCell ref="A348:O349"/>
    <mergeCell ref="P274:T274"/>
    <mergeCell ref="P541:T541"/>
    <mergeCell ref="D217:E217"/>
    <mergeCell ref="D655:E655"/>
    <mergeCell ref="D484:E484"/>
    <mergeCell ref="P109:T109"/>
    <mergeCell ref="P222:T222"/>
    <mergeCell ref="P193:T193"/>
    <mergeCell ref="P84:T84"/>
    <mergeCell ref="D65:E65"/>
    <mergeCell ref="P22:T22"/>
    <mergeCell ref="P618:T618"/>
    <mergeCell ref="A61:Z61"/>
    <mergeCell ref="P605:T605"/>
    <mergeCell ref="P334:V334"/>
    <mergeCell ref="P257:T257"/>
    <mergeCell ref="P521:V521"/>
    <mergeCell ref="A517:Z517"/>
    <mergeCell ref="P54:V54"/>
    <mergeCell ref="D194:E194"/>
    <mergeCell ref="Z17:Z18"/>
    <mergeCell ref="P620:T620"/>
    <mergeCell ref="AB17:AB18"/>
    <mergeCell ref="P271:V271"/>
    <mergeCell ref="A90:Z90"/>
    <mergeCell ref="A41:Z41"/>
    <mergeCell ref="D446:E446"/>
    <mergeCell ref="A277:Z277"/>
    <mergeCell ref="P550:V550"/>
    <mergeCell ref="P44:V44"/>
    <mergeCell ref="P237:V237"/>
    <mergeCell ref="H5:M5"/>
    <mergeCell ref="A56:Z56"/>
    <mergeCell ref="P329:V329"/>
    <mergeCell ref="A214:Z214"/>
    <mergeCell ref="A456:Z456"/>
    <mergeCell ref="A512:Z512"/>
    <mergeCell ref="A390:Z390"/>
    <mergeCell ref="A341:Z341"/>
    <mergeCell ref="D6:M6"/>
    <mergeCell ref="D602:E602"/>
    <mergeCell ref="P175:T175"/>
    <mergeCell ref="D540:E540"/>
    <mergeCell ref="D83:E83"/>
    <mergeCell ref="D143:E143"/>
    <mergeCell ref="A278:Z278"/>
    <mergeCell ref="P631:T631"/>
    <mergeCell ref="A528:O529"/>
    <mergeCell ref="P569:T569"/>
    <mergeCell ref="D441:E441"/>
    <mergeCell ref="P398:T398"/>
    <mergeCell ref="P525:T525"/>
    <mergeCell ref="D368:E368"/>
    <mergeCell ref="A515:O516"/>
    <mergeCell ref="AE670:AE671"/>
    <mergeCell ref="D319:E319"/>
    <mergeCell ref="P227:T227"/>
    <mergeCell ref="D604:E604"/>
    <mergeCell ref="P177:T177"/>
    <mergeCell ref="P33:T33"/>
    <mergeCell ref="A223:O224"/>
    <mergeCell ref="D481:E481"/>
    <mergeCell ref="A294:O295"/>
    <mergeCell ref="D256:E256"/>
    <mergeCell ref="P269:T269"/>
    <mergeCell ref="P226:T226"/>
    <mergeCell ref="P633:T633"/>
    <mergeCell ref="P462:T462"/>
    <mergeCell ref="P164:T164"/>
    <mergeCell ref="A150:O151"/>
    <mergeCell ref="D299:E299"/>
    <mergeCell ref="P120:V120"/>
    <mergeCell ref="D541:E541"/>
    <mergeCell ref="D370:E370"/>
    <mergeCell ref="D222:E222"/>
    <mergeCell ref="G17:G18"/>
    <mergeCell ref="A637:Z637"/>
    <mergeCell ref="P399:T399"/>
    <mergeCell ref="P526:T526"/>
    <mergeCell ref="P184:V184"/>
    <mergeCell ref="P171:V171"/>
    <mergeCell ref="P413:V413"/>
    <mergeCell ref="D159:E159"/>
    <mergeCell ref="P407:V407"/>
    <mergeCell ref="A403:Z403"/>
    <mergeCell ref="A289:O290"/>
    <mergeCell ref="A530:Z530"/>
    <mergeCell ref="P382:V382"/>
    <mergeCell ref="P624:V624"/>
    <mergeCell ref="A169:Z169"/>
    <mergeCell ref="A225:Z225"/>
    <mergeCell ref="P471:V471"/>
    <mergeCell ref="A296:Z296"/>
    <mergeCell ref="D579:E579"/>
    <mergeCell ref="D288:E288"/>
    <mergeCell ref="A461:Z461"/>
    <mergeCell ref="AB670:AB671"/>
    <mergeCell ref="A507:Z507"/>
    <mergeCell ref="P488:T488"/>
    <mergeCell ref="AD670:AD671"/>
    <mergeCell ref="A412:O413"/>
    <mergeCell ref="P282:T282"/>
    <mergeCell ref="D154:E154"/>
    <mergeCell ref="P580:T580"/>
    <mergeCell ref="A648:O649"/>
    <mergeCell ref="P651:T651"/>
    <mergeCell ref="P409:T409"/>
    <mergeCell ref="D200:E200"/>
    <mergeCell ref="P555:T555"/>
    <mergeCell ref="A444:Z444"/>
    <mergeCell ref="P359:T359"/>
    <mergeCell ref="A273:Z273"/>
    <mergeCell ref="P48:T48"/>
    <mergeCell ref="D436:E436"/>
    <mergeCell ref="P490:T490"/>
    <mergeCell ref="P346:T346"/>
    <mergeCell ref="K670:K671"/>
    <mergeCell ref="D227:E227"/>
    <mergeCell ref="P582:T582"/>
    <mergeCell ref="M670:M671"/>
    <mergeCell ref="D525:E525"/>
    <mergeCell ref="A9:C9"/>
    <mergeCell ref="P125:T125"/>
    <mergeCell ref="P557:T557"/>
    <mergeCell ref="D58:E58"/>
    <mergeCell ref="D500:E500"/>
    <mergeCell ref="P646:T646"/>
    <mergeCell ref="P323:T323"/>
    <mergeCell ref="A414:Z414"/>
    <mergeCell ref="P660:V660"/>
    <mergeCell ref="D231:E231"/>
    <mergeCell ref="P39:V39"/>
    <mergeCell ref="D358:E358"/>
    <mergeCell ref="P537:V537"/>
    <mergeCell ref="D85:E85"/>
    <mergeCell ref="P635:V635"/>
    <mergeCell ref="D594:E594"/>
    <mergeCell ref="P573:V573"/>
    <mergeCell ref="A327:Z327"/>
    <mergeCell ref="P103:V103"/>
    <mergeCell ref="Q13:R13"/>
    <mergeCell ref="P572:V572"/>
    <mergeCell ref="P401:V401"/>
    <mergeCell ref="P339:V339"/>
    <mergeCell ref="P97:V97"/>
    <mergeCell ref="P139:T139"/>
    <mergeCell ref="A518:Z518"/>
    <mergeCell ref="P560:T560"/>
    <mergeCell ref="P176:T176"/>
    <mergeCell ref="P114:T114"/>
    <mergeCell ref="P241:T241"/>
    <mergeCell ref="D84:E84"/>
    <mergeCell ref="P483:T483"/>
    <mergeCell ref="D22:E22"/>
    <mergeCell ref="A35:O36"/>
    <mergeCell ref="D155:E155"/>
    <mergeCell ref="A599:Z599"/>
    <mergeCell ref="A333:O334"/>
    <mergeCell ref="D149:E149"/>
    <mergeCell ref="P470:T470"/>
    <mergeCell ref="D618:E618"/>
    <mergeCell ref="P575:T575"/>
    <mergeCell ref="D447:E447"/>
    <mergeCell ref="D385:E385"/>
    <mergeCell ref="A320:O321"/>
    <mergeCell ref="D605:E605"/>
    <mergeCell ref="P178:T178"/>
    <mergeCell ref="P34:T34"/>
    <mergeCell ref="D257:E257"/>
    <mergeCell ref="P270:T270"/>
    <mergeCell ref="D86:E86"/>
    <mergeCell ref="P463:T463"/>
    <mergeCell ref="D384:E384"/>
    <mergeCell ref="P639:T639"/>
    <mergeCell ref="D620:E620"/>
    <mergeCell ref="P577:T577"/>
    <mergeCell ref="D449:E449"/>
    <mergeCell ref="P428:V428"/>
    <mergeCell ref="P49:T49"/>
    <mergeCell ref="A551:Z551"/>
    <mergeCell ref="A166:O167"/>
    <mergeCell ref="A110:O111"/>
    <mergeCell ref="P107:T107"/>
    <mergeCell ref="P129:V129"/>
    <mergeCell ref="P576:T576"/>
    <mergeCell ref="A595:O596"/>
    <mergeCell ref="D386:E386"/>
    <mergeCell ref="D557:E557"/>
    <mergeCell ref="P465:T465"/>
    <mergeCell ref="P641:T641"/>
    <mergeCell ref="D513:E513"/>
    <mergeCell ref="D215:E215"/>
    <mergeCell ref="A128:O129"/>
    <mergeCell ref="P101:T101"/>
    <mergeCell ref="A103:O104"/>
    <mergeCell ref="P584:V584"/>
    <mergeCell ref="M17:M18"/>
    <mergeCell ref="A469:Z469"/>
    <mergeCell ref="P336:T336"/>
    <mergeCell ref="O17:O18"/>
    <mergeCell ref="H670:H671"/>
    <mergeCell ref="P429:V429"/>
    <mergeCell ref="A624:O625"/>
    <mergeCell ref="P258:V258"/>
    <mergeCell ref="A248:Z248"/>
    <mergeCell ref="P223:V223"/>
    <mergeCell ref="A297:Z297"/>
    <mergeCell ref="P588:T588"/>
    <mergeCell ref="P417:T417"/>
    <mergeCell ref="D531:E531"/>
    <mergeCell ref="P102:T102"/>
    <mergeCell ref="P196:T196"/>
    <mergeCell ref="D177:E177"/>
    <mergeCell ref="D33:E33"/>
    <mergeCell ref="P585:V585"/>
    <mergeCell ref="P183:T183"/>
    <mergeCell ref="D226:E226"/>
    <mergeCell ref="D164:E164"/>
    <mergeCell ref="A404:Z404"/>
    <mergeCell ref="P352:V352"/>
    <mergeCell ref="D462:E462"/>
    <mergeCell ref="A597:Z597"/>
    <mergeCell ref="A106:Z106"/>
    <mergeCell ref="D589:E589"/>
    <mergeCell ref="D560:E560"/>
    <mergeCell ref="P133:T133"/>
    <mergeCell ref="P2:W3"/>
    <mergeCell ref="P127:T127"/>
    <mergeCell ref="P298:T298"/>
    <mergeCell ref="D437:E437"/>
    <mergeCell ref="P369:T369"/>
    <mergeCell ref="D508:E508"/>
    <mergeCell ref="P347:T347"/>
    <mergeCell ref="D241:E241"/>
    <mergeCell ref="P418:T418"/>
    <mergeCell ref="P198:T198"/>
    <mergeCell ref="D228:E228"/>
    <mergeCell ref="P583:T583"/>
    <mergeCell ref="D575:E575"/>
    <mergeCell ref="D526:E526"/>
    <mergeCell ref="P312:V312"/>
    <mergeCell ref="A23:O24"/>
    <mergeCell ref="P64:T64"/>
    <mergeCell ref="D10:E10"/>
    <mergeCell ref="D562:E562"/>
    <mergeCell ref="P362:T362"/>
    <mergeCell ref="D34:E34"/>
    <mergeCell ref="D305:E305"/>
    <mergeCell ref="F10:G10"/>
    <mergeCell ref="D243:E243"/>
    <mergeCell ref="AA670:AA671"/>
    <mergeCell ref="D270:E270"/>
    <mergeCell ref="P420:T420"/>
    <mergeCell ref="AC670:AC671"/>
    <mergeCell ref="A544:O545"/>
    <mergeCell ref="A130:Z130"/>
    <mergeCell ref="P643:V643"/>
    <mergeCell ref="A642:O643"/>
    <mergeCell ref="D310:E310"/>
    <mergeCell ref="P364:T364"/>
    <mergeCell ref="D503:E503"/>
    <mergeCell ref="AD17:AF18"/>
    <mergeCell ref="A39:O40"/>
    <mergeCell ref="P167:V167"/>
    <mergeCell ref="D101:E101"/>
    <mergeCell ref="D570:E570"/>
    <mergeCell ref="A430:Z430"/>
    <mergeCell ref="D76:E76"/>
    <mergeCell ref="F5:G5"/>
    <mergeCell ref="P55:V55"/>
    <mergeCell ref="P365:V365"/>
    <mergeCell ref="P663:V663"/>
    <mergeCell ref="A352:O353"/>
    <mergeCell ref="P467:V467"/>
    <mergeCell ref="P442:V442"/>
    <mergeCell ref="A25:Z25"/>
    <mergeCell ref="P67:T67"/>
    <mergeCell ref="P509:T509"/>
    <mergeCell ref="P119:V119"/>
    <mergeCell ref="D175:E175"/>
    <mergeCell ref="P601:T601"/>
    <mergeCell ref="P82:T82"/>
    <mergeCell ref="D392:E392"/>
    <mergeCell ref="D221:E221"/>
    <mergeCell ref="P253:T253"/>
    <mergeCell ref="Q670:Q671"/>
    <mergeCell ref="V11:W11"/>
    <mergeCell ref="D628:E628"/>
    <mergeCell ref="A592:Z592"/>
    <mergeCell ref="D457:E457"/>
    <mergeCell ref="P57:T57"/>
    <mergeCell ref="D165:E165"/>
    <mergeCell ref="P603:T603"/>
    <mergeCell ref="P486:T486"/>
    <mergeCell ref="P75:T75"/>
    <mergeCell ref="P406:V406"/>
    <mergeCell ref="P342:T342"/>
    <mergeCell ref="D323:E323"/>
    <mergeCell ref="D127:E127"/>
    <mergeCell ref="D394:E394"/>
    <mergeCell ref="P578:T578"/>
    <mergeCell ref="D450:E450"/>
    <mergeCell ref="D279:E279"/>
    <mergeCell ref="A428:O429"/>
    <mergeCell ref="P357:T357"/>
    <mergeCell ref="D29:E29"/>
    <mergeCell ref="D265:E265"/>
    <mergeCell ref="D216:E216"/>
    <mergeCell ref="A20:Z20"/>
    <mergeCell ref="D623:E623"/>
    <mergeCell ref="D452:E452"/>
    <mergeCell ref="A318:Z318"/>
    <mergeCell ref="D252:E252"/>
    <mergeCell ref="P123:T123"/>
    <mergeCell ref="A112:Z112"/>
    <mergeCell ref="P529:V529"/>
    <mergeCell ref="P421:T421"/>
    <mergeCell ref="P656:V656"/>
    <mergeCell ref="P579:T579"/>
    <mergeCell ref="D218:E218"/>
    <mergeCell ref="A258:O259"/>
    <mergeCell ref="A249:Z249"/>
    <mergeCell ref="A314:Z314"/>
    <mergeCell ref="P289:V289"/>
    <mergeCell ref="A534:Z534"/>
    <mergeCell ref="A539:Z539"/>
    <mergeCell ref="P262:T262"/>
    <mergeCell ref="P353:V353"/>
    <mergeCell ref="D170:E170"/>
    <mergeCell ref="P93:T93"/>
    <mergeCell ref="D639:E639"/>
    <mergeCell ref="D577:E577"/>
    <mergeCell ref="N17:N18"/>
    <mergeCell ref="D49:E49"/>
    <mergeCell ref="Q5:R5"/>
    <mergeCell ref="P370:T370"/>
    <mergeCell ref="D242:E242"/>
    <mergeCell ref="P290:V290"/>
    <mergeCell ref="P497:T497"/>
    <mergeCell ref="P199:T199"/>
    <mergeCell ref="F17:F18"/>
    <mergeCell ref="D107:E107"/>
    <mergeCell ref="A670:A671"/>
    <mergeCell ref="A614:O615"/>
    <mergeCell ref="P655:T655"/>
    <mergeCell ref="P653:V653"/>
    <mergeCell ref="P589:T589"/>
    <mergeCell ref="D576:E576"/>
    <mergeCell ref="P484:T484"/>
    <mergeCell ref="D641:E641"/>
    <mergeCell ref="D405:E405"/>
    <mergeCell ref="P288:T288"/>
    <mergeCell ref="D234:E234"/>
    <mergeCell ref="P263:T263"/>
    <mergeCell ref="P70:T70"/>
    <mergeCell ref="D244:E244"/>
    <mergeCell ref="P65:T65"/>
    <mergeCell ref="P228:T228"/>
    <mergeCell ref="P499:T499"/>
    <mergeCell ref="D342:E342"/>
    <mergeCell ref="D336:E336"/>
    <mergeCell ref="P293:T293"/>
    <mergeCell ref="D578:E578"/>
    <mergeCell ref="Q6:R6"/>
    <mergeCell ref="P200:T200"/>
    <mergeCell ref="P134:T134"/>
    <mergeCell ref="P243:T243"/>
    <mergeCell ref="P436:T436"/>
    <mergeCell ref="D198:E198"/>
    <mergeCell ref="D102:E102"/>
    <mergeCell ref="P208:V208"/>
    <mergeCell ref="A204:Z204"/>
    <mergeCell ref="D196:E196"/>
    <mergeCell ref="P615:V615"/>
    <mergeCell ref="A440:Z440"/>
    <mergeCell ref="P23:V23"/>
    <mergeCell ref="P145:V145"/>
    <mergeCell ref="P443:V443"/>
    <mergeCell ref="D133:E133"/>
    <mergeCell ref="P272:V272"/>
    <mergeCell ref="P381:V381"/>
    <mergeCell ref="A62:Z62"/>
    <mergeCell ref="P185:V185"/>
    <mergeCell ref="P544:V544"/>
    <mergeCell ref="D483:E483"/>
    <mergeCell ref="P83:T83"/>
    <mergeCell ref="V12:W12"/>
    <mergeCell ref="P319:T319"/>
    <mergeCell ref="D458:E458"/>
    <mergeCell ref="D262:E262"/>
    <mergeCell ref="P368:T368"/>
    <mergeCell ref="P43:V43"/>
    <mergeCell ref="P85:T85"/>
    <mergeCell ref="D571:E571"/>
    <mergeCell ref="A329:O330"/>
    <mergeCell ref="A662:O667"/>
    <mergeCell ref="D266:E266"/>
    <mergeCell ref="P174:T174"/>
    <mergeCell ref="P149:T149"/>
    <mergeCell ref="D95:E95"/>
    <mergeCell ref="U17:V17"/>
    <mergeCell ref="Y17:Y18"/>
    <mergeCell ref="P447:T447"/>
    <mergeCell ref="P410:T410"/>
    <mergeCell ref="D57:E57"/>
    <mergeCell ref="A8:C8"/>
    <mergeCell ref="P670:P671"/>
    <mergeCell ref="P385:T385"/>
    <mergeCell ref="P372:V372"/>
    <mergeCell ref="R670:R671"/>
    <mergeCell ref="P608:V608"/>
    <mergeCell ref="P124:T124"/>
    <mergeCell ref="J670:J671"/>
    <mergeCell ref="D293:E293"/>
    <mergeCell ref="P360:T360"/>
    <mergeCell ref="P595:V595"/>
    <mergeCell ref="A153:Z153"/>
    <mergeCell ref="D32:E32"/>
    <mergeCell ref="A477:O478"/>
    <mergeCell ref="D268:E268"/>
    <mergeCell ref="P449:T449"/>
    <mergeCell ref="A10:C10"/>
    <mergeCell ref="A566:O567"/>
    <mergeCell ref="P126:T126"/>
    <mergeCell ref="P218:T218"/>
    <mergeCell ref="P311:V311"/>
    <mergeCell ref="A192:Z192"/>
    <mergeCell ref="P438:V438"/>
    <mergeCell ref="A21:Z21"/>
    <mergeCell ref="P590:V590"/>
    <mergeCell ref="A586:Z586"/>
    <mergeCell ref="P661:V661"/>
    <mergeCell ref="A415:Z415"/>
    <mergeCell ref="D42:E42"/>
    <mergeCell ref="A181:Z181"/>
    <mergeCell ref="P363:T363"/>
    <mergeCell ref="A479:Z479"/>
    <mergeCell ref="D17:E18"/>
    <mergeCell ref="A650:Z650"/>
    <mergeCell ref="I669:V669"/>
    <mergeCell ref="D542:E542"/>
    <mergeCell ref="P71:T71"/>
    <mergeCell ref="D123:E123"/>
    <mergeCell ref="O670:O671"/>
    <mergeCell ref="P307:T307"/>
    <mergeCell ref="D250:E250"/>
    <mergeCell ref="D50:E50"/>
    <mergeCell ref="P58:T58"/>
    <mergeCell ref="X17:X18"/>
    <mergeCell ref="D286:E286"/>
  </mergeCells>
  <conditionalFormatting sqref="A8:N8 A9:C10 H10:N10 J9:N9 P9:R13">
    <cfRule type="expression" priority="15" dxfId="3" stopIfTrue="1">
      <formula>IF($V$5="самовывоз",1,0)</formula>
    </cfRule>
  </conditionalFormatting>
  <conditionalFormatting sqref="H9:I9">
    <cfRule type="expression" priority="8" dxfId="3" stopIfTrue="1">
      <formula>IF($V$5="самовывоз",1,0)</formula>
    </cfRule>
  </conditionalFormatting>
  <conditionalFormatting sqref="F9:G9">
    <cfRule type="expression" priority="7" dxfId="3" stopIfTrue="1">
      <formula>IF($V$5="самовывоз",1,0)</formula>
    </cfRule>
  </conditionalFormatting>
  <conditionalFormatting sqref="F10:G10">
    <cfRule type="expression" priority="6" dxfId="3" stopIfTrue="1">
      <formula>IF($V$5="самовывоз",1,0)</formula>
    </cfRule>
  </conditionalFormatting>
  <conditionalFormatting sqref="D9:E9">
    <cfRule type="expression" priority="5" dxfId="3" stopIfTrue="1">
      <formula>IF($V$5="самовывоз",1,0)</formula>
    </cfRule>
  </conditionalFormatting>
  <conditionalFormatting sqref="D10:E10">
    <cfRule type="expression" priority="4" dxfId="3" stopIfTrue="1">
      <formula>IF($V$5="самовывоз",1,0)</formula>
    </cfRule>
  </conditionalFormatting>
  <conditionalFormatting sqref="P5 P6:R6 P8">
    <cfRule type="expression" priority="3" dxfId="0" stopIfTrue="1">
      <formula>IF($V$5="доставка",1,0)</formula>
    </cfRule>
  </conditionalFormatting>
  <conditionalFormatting sqref="Q5:R5">
    <cfRule type="expression" priority="2" dxfId="0" stopIfTrue="1">
      <formula>IF($V$5="доставка",1,0)</formula>
    </cfRule>
  </conditionalFormatting>
  <conditionalFormatting sqref="Q8:R8">
    <cfRule type="expression" priority="1" dxfId="0" stopIfTrue="1">
      <formula>IF($V$5="доставка",1,0)</formula>
    </cfRule>
  </conditionalFormatting>
  <dataValidations xWindow="697" yWindow="616" count="19">
    <dataValidation sqref="Q6:Q7" showDropDown="0" showInputMessage="1" showErrorMessage="1" allowBlank="0" prompt="День недели загрузки. Считается сам."/>
    <dataValidation sqref="X16:AC16" showDropDown="0" showInputMessage="1" showErrorMessage="1" allowBlank="0" type="list">
      <formula1>"80-60,60-40,40-10,70-10"</formula1>
    </dataValidation>
    <dataValidation sqref="Q5:R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V6:V7" showDropDown="0" showInputMessage="1" showErrorMessage="1" allowBlank="0" prompt="Введите название вашей фирмы."/>
    <dataValidation sqref="V10" showDropDown="0" showInputMessage="1" showErrorMessage="1" allowBlank="0" prompt="Введите код клиента в системе Axapta"/>
    <dataValidation sqref="V11:W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V5:W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Q8:R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Q10:R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Q9:R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Z22:AC22" showDropDown="0" showInputMessage="1" showErrorMessage="1" allowBlank="0" error="укажите вес, кратный весу коробки" operator="equal"/>
    <dataValidation sqref="V12" showDropDown="0" showInputMessage="1" showErrorMessage="1" allowBlank="0" type="list">
      <formula1>DeliveryConditionsList</formula1>
    </dataValidation>
    <dataValidation sqref="D6:N6" showDropDown="0" showInputMessage="1" showErrorMessage="1" allowBlank="0" type="list">
      <formula1>DeliveryAdressList</formula1>
    </dataValidation>
    <dataValidation sqref="M8:N8" showDropDown="0" showInputMessage="1" showErrorMessage="1" allowBlank="0" type="list">
      <formula1>CHOOSE($D$7,UnloadAdressList)</formula1>
    </dataValidation>
    <dataValidation sqref="D8:L8" showDropDown="0" showInputMessage="1" showErrorMessage="1" allowBlank="0" type="list">
      <formula1>CHOOSE($D$7,UnloadAdressList0001)</formula1>
    </dataValidation>
    <dataValidation sqref="X51:X52 X71 X78 X109 X125" showDropDown="0" showInputMessage="1" showErrorMessage="1" allowBlank="0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type="custom">
      <formula1>IF(AK51&gt;0,OR(X51=0,AND(IF(X51-AK51&gt;=0,TRUE,FALSE),X51&gt;0,IF(X51/(H51*K51)=ROUND(X51/(H51*K51),0),TRUE,FALSE))),FALSE)</formula1>
    </dataValidation>
    <dataValidation sqref="X64 X115 X142 X309 X418 X420 X423 X431" showDropDown="0" showInputMessage="1" showErrorMessage="1" allowBlank="0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type="custom">
      <formula1>IF(AK64&gt;0,OR(X64=0,AND(IF(X64-AK64&gt;=0,TRUE,FALSE),X64&gt;0,IF(X64/(H64*J64)=ROUND(X64/(H64*J64),0),TRUE,FALSE))),FALSE)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6" sqref="B16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52" t="n"/>
    </row>
    <row r="3">
      <c r="B3" s="47" t="inlineStr">
        <is>
          <t>Доставка</t>
        </is>
      </c>
      <c r="C3" s="47" t="n"/>
      <c r="D3" s="47" t="n"/>
      <c r="E3" s="47" t="n"/>
    </row>
    <row r="4">
      <c r="B4" s="47" t="inlineStr">
        <is>
          <t>Самовывоз</t>
        </is>
      </c>
      <c r="C4" s="47" t="n"/>
      <c r="D4" s="47" t="n"/>
      <c r="E4" s="47" t="n"/>
    </row>
    <row r="6">
      <c r="B6" s="47" t="inlineStr">
        <is>
          <t>НВ, ООО 9001015535, Запорожская обл, Мелитополь г, 8 Марта ул, д. 43/1,</t>
        </is>
      </c>
      <c r="C6" s="47" t="inlineStr">
        <is>
          <t>596383_1</t>
        </is>
      </c>
      <c r="D6" s="47" t="inlineStr">
        <is>
          <t>1</t>
        </is>
      </c>
      <c r="E6" s="47" t="n"/>
    </row>
    <row r="8">
      <c r="B8" s="47" t="inlineStr">
        <is>
          <t>272319Российская Федерация, Запорожская обл, Мелитопольский р-н, Мелитополь г, 8 Марта ул, д. 43/1,</t>
        </is>
      </c>
      <c r="C8" s="47" t="inlineStr">
        <is>
          <t>596383_1</t>
        </is>
      </c>
      <c r="D8" s="47" t="n"/>
      <c r="E8" s="47" t="n"/>
    </row>
    <row r="10">
      <c r="B10" s="47" t="inlineStr">
        <is>
          <t>CFR</t>
        </is>
      </c>
      <c r="C10" s="47" t="n"/>
      <c r="D10" s="47" t="n"/>
      <c r="E10" s="47" t="n"/>
    </row>
    <row r="11">
      <c r="B11" s="47" t="inlineStr">
        <is>
          <t>CIF</t>
        </is>
      </c>
      <c r="C11" s="47" t="n"/>
      <c r="D11" s="47" t="n"/>
      <c r="E11" s="47" t="n"/>
    </row>
    <row r="12">
      <c r="B12" s="47" t="inlineStr">
        <is>
          <t>CIP</t>
        </is>
      </c>
      <c r="C12" s="47" t="n"/>
      <c r="D12" s="47" t="n"/>
      <c r="E12" s="47" t="n"/>
    </row>
    <row r="13">
      <c r="B13" s="47" t="inlineStr">
        <is>
          <t>CPT</t>
        </is>
      </c>
      <c r="C13" s="47" t="n"/>
      <c r="D13" s="47" t="n"/>
      <c r="E13" s="47" t="n"/>
    </row>
    <row r="14">
      <c r="B14" s="47" t="inlineStr">
        <is>
          <t>DAP</t>
        </is>
      </c>
      <c r="C14" s="47" t="n"/>
      <c r="D14" s="47" t="n"/>
      <c r="E14" s="47" t="n"/>
    </row>
    <row r="15">
      <c r="B15" s="47" t="inlineStr">
        <is>
          <t>DAT</t>
        </is>
      </c>
      <c r="C15" s="47" t="n"/>
      <c r="D15" s="47" t="n"/>
      <c r="E15" s="47" t="n"/>
    </row>
    <row r="16">
      <c r="B16" s="47" t="inlineStr">
        <is>
          <t>DDP</t>
        </is>
      </c>
      <c r="C16" s="47" t="n"/>
      <c r="D16" s="47" t="n"/>
      <c r="E16" s="47" t="n"/>
    </row>
    <row r="17">
      <c r="B17" s="47" t="inlineStr">
        <is>
          <t>EXW</t>
        </is>
      </c>
      <c r="C17" s="47" t="n"/>
      <c r="D17" s="47" t="n"/>
      <c r="E17" s="47" t="n"/>
    </row>
    <row r="18">
      <c r="B18" s="47" t="inlineStr">
        <is>
          <t>FAS</t>
        </is>
      </c>
      <c r="C18" s="47" t="n"/>
      <c r="D18" s="47" t="n"/>
      <c r="E18" s="47" t="n"/>
    </row>
    <row r="19">
      <c r="B19" s="47" t="inlineStr">
        <is>
          <t>FCA</t>
        </is>
      </c>
      <c r="C19" s="47" t="n"/>
      <c r="D19" s="47" t="n"/>
      <c r="E19" s="47" t="n"/>
    </row>
    <row r="20">
      <c r="B20" s="47" t="inlineStr">
        <is>
          <t>FOB</t>
        </is>
      </c>
      <c r="C20" s="47" t="n"/>
      <c r="D20" s="47" t="n"/>
      <c r="E20" s="47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O3KKvx+Qar4tZ0QJxtpYeg==" formatRows="1" sort="0" spinCount="100000" hashValue="Lf5jVYPihE81zMIeeoYs5W2IHY5Z4PBG5EjvcXITLGKUl5NPUuMgzFAMY5XaRvrK1k+k8huGHMF8xM8Y+6XBI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2024-12-20T06:33:06Z</dcterms:modified>
  <cp:lastModifiedBy>Uaer4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0x010100BE9B55E4B75ADC4EA022BCFE912025B5</vt:lpwstr>
  </property>
</Properties>
</file>