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5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27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100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87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893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58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95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227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86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995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55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42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100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05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2"/>
  <sheetViews>
    <sheetView showGridLines="0" tabSelected="1" topLeftCell="A655" zoomScaleNormal="100" zoomScaleSheetLayoutView="100" workbookViewId="0">
      <selection activeCell="AA668" sqref="AA668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08">
      <c r="A1" s="41" t="n"/>
      <c r="B1" s="41" t="n"/>
      <c r="C1" s="41" t="n"/>
      <c r="D1" s="858" t="inlineStr">
        <is>
          <t xml:space="preserve">  БЛАНК ЗАКАЗА </t>
        </is>
      </c>
      <c r="G1" s="12" t="inlineStr">
        <is>
          <t>КИ</t>
        </is>
      </c>
      <c r="H1" s="858" t="inlineStr">
        <is>
          <t>на отгрузку продукции с ООО Трейд-Сервис с</t>
        </is>
      </c>
      <c r="R1" s="807" t="inlineStr">
        <is>
          <t>23.12.2024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08">
      <c r="A2" s="29" t="inlineStr">
        <is>
          <t>бланк создан</t>
        </is>
      </c>
      <c r="B2" s="30" t="inlineStr">
        <is>
          <t>19.12.2024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0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0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08">
      <c r="A5" s="920" t="inlineStr">
        <is>
          <t xml:space="preserve">Ваш контактный телефон и имя: </t>
        </is>
      </c>
      <c r="B5" s="824" t="n"/>
      <c r="C5" s="825" t="n"/>
      <c r="D5" s="865" t="n"/>
      <c r="E5" s="866" t="n"/>
      <c r="F5" s="1158" t="inlineStr">
        <is>
          <t>Комментарий к заказу:</t>
        </is>
      </c>
      <c r="G5" s="825" t="n"/>
      <c r="H5" s="865" t="n"/>
      <c r="I5" s="1080" t="n"/>
      <c r="J5" s="1080" t="n"/>
      <c r="K5" s="1080" t="n"/>
      <c r="L5" s="1080" t="n"/>
      <c r="M5" s="866" t="n"/>
      <c r="N5" s="58" t="n"/>
      <c r="P5" s="24" t="inlineStr">
        <is>
          <t>Дата загрузки</t>
        </is>
      </c>
      <c r="Q5" s="1176" t="n">
        <v>45649</v>
      </c>
      <c r="R5" s="919" t="n"/>
      <c r="T5" s="975" t="inlineStr">
        <is>
          <t>Способ доставки (доставка/самовывоз)</t>
        </is>
      </c>
      <c r="U5" s="976" t="n"/>
      <c r="V5" s="978" t="inlineStr">
        <is>
          <t>Самовывоз</t>
        </is>
      </c>
      <c r="W5" s="919" t="n"/>
      <c r="AB5" s="51" t="n"/>
      <c r="AC5" s="51" t="n"/>
      <c r="AD5" s="51" t="n"/>
      <c r="AE5" s="51" t="n"/>
    </row>
    <row r="6" ht="24" customFormat="1" customHeight="1" s="808">
      <c r="A6" s="920" t="inlineStr">
        <is>
          <t>Адрес доставки:</t>
        </is>
      </c>
      <c r="B6" s="824" t="n"/>
      <c r="C6" s="825" t="n"/>
      <c r="D6" s="1081" t="inlineStr">
        <is>
          <t>НВ, ООО 9001015535, Запорожская обл, Мелитополь г, 8 Марта ул, д. 43/1,</t>
        </is>
      </c>
      <c r="E6" s="1082" t="n"/>
      <c r="F6" s="1082" t="n"/>
      <c r="G6" s="1082" t="n"/>
      <c r="H6" s="1082" t="n"/>
      <c r="I6" s="1082" t="n"/>
      <c r="J6" s="1082" t="n"/>
      <c r="K6" s="1082" t="n"/>
      <c r="L6" s="1082" t="n"/>
      <c r="M6" s="919" t="n"/>
      <c r="N6" s="59" t="n"/>
      <c r="P6" s="24" t="inlineStr">
        <is>
          <t>День недели</t>
        </is>
      </c>
      <c r="Q6" s="1192">
        <f>IF(Q5=0," ",CHOOSE(WEEKDAY(Q5,2),"Понедельник","Вторник","Среда","Четверг","Пятница","Суббота","Воскресенье"))</f>
        <v/>
      </c>
      <c r="R6" s="780" t="n"/>
      <c r="T6" s="986" t="inlineStr">
        <is>
          <t>Наименование клиента</t>
        </is>
      </c>
      <c r="U6" s="976" t="n"/>
      <c r="V6" s="1060" t="inlineStr">
        <is>
          <t>ОБЩЕСТВО С ОГРАНИЧЕННОЙ ОТВЕТСТВЕННОСТЬЮ "НОВОЕ ВРЕМЯ"</t>
        </is>
      </c>
      <c r="W6" s="863" t="n"/>
      <c r="AB6" s="51" t="n"/>
      <c r="AC6" s="51" t="n"/>
      <c r="AD6" s="51" t="n"/>
      <c r="AE6" s="51" t="n"/>
    </row>
    <row r="7" hidden="1" ht="21.75" customFormat="1" customHeight="1" s="808">
      <c r="A7" s="55" t="n"/>
      <c r="B7" s="55" t="n"/>
      <c r="C7" s="55" t="n"/>
      <c r="D7" s="835">
        <f>IFERROR(VLOOKUP(DeliveryAddress,Table,3,0),1)</f>
        <v/>
      </c>
      <c r="E7" s="836" t="n"/>
      <c r="F7" s="836" t="n"/>
      <c r="G7" s="836" t="n"/>
      <c r="H7" s="836" t="n"/>
      <c r="I7" s="836" t="n"/>
      <c r="J7" s="836" t="n"/>
      <c r="K7" s="836" t="n"/>
      <c r="L7" s="836" t="n"/>
      <c r="M7" s="837" t="n"/>
      <c r="N7" s="60" t="n"/>
      <c r="P7" s="24" t="n"/>
      <c r="Q7" s="42" t="n"/>
      <c r="R7" s="42" t="n"/>
      <c r="T7" s="790" t="n"/>
      <c r="U7" s="976" t="n"/>
      <c r="V7" s="1061" t="n"/>
      <c r="W7" s="1062" t="n"/>
      <c r="AB7" s="51" t="n"/>
      <c r="AC7" s="51" t="n"/>
      <c r="AD7" s="51" t="n"/>
      <c r="AE7" s="51" t="n"/>
    </row>
    <row r="8" ht="25.5" customFormat="1" customHeight="1" s="808">
      <c r="A8" s="1209" t="inlineStr">
        <is>
          <t>Адрес сдачи груза:</t>
        </is>
      </c>
      <c r="B8" s="795" t="n"/>
      <c r="C8" s="796" t="n"/>
      <c r="D8" s="849" t="inlineStr">
        <is>
          <t>272319Российская Федерация, Запорожская обл, Мелитопольский р-н, Мелитополь г, 8 Марта ул, д. 43/1,</t>
        </is>
      </c>
      <c r="E8" s="850" t="n"/>
      <c r="F8" s="850" t="n"/>
      <c r="G8" s="850" t="n"/>
      <c r="H8" s="850" t="n"/>
      <c r="I8" s="850" t="n"/>
      <c r="J8" s="850" t="n"/>
      <c r="K8" s="850" t="n"/>
      <c r="L8" s="850" t="n"/>
      <c r="M8" s="851" t="n"/>
      <c r="N8" s="61" t="n"/>
      <c r="P8" s="24" t="inlineStr">
        <is>
          <t>Время загрузки</t>
        </is>
      </c>
      <c r="Q8" s="929" t="n">
        <v>0.4166666666666667</v>
      </c>
      <c r="R8" s="837" t="n"/>
      <c r="T8" s="790" t="n"/>
      <c r="U8" s="976" t="n"/>
      <c r="V8" s="1061" t="n"/>
      <c r="W8" s="1062" t="n"/>
      <c r="AB8" s="51" t="n"/>
      <c r="AC8" s="51" t="n"/>
      <c r="AD8" s="51" t="n"/>
      <c r="AE8" s="51" t="n"/>
    </row>
    <row r="9" ht="39.95" customFormat="1" customHeight="1" s="808">
      <c r="A9" s="94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1" t="n"/>
      <c r="E9" s="799" t="n"/>
      <c r="F9" s="94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8">
        <f>IF(AND($A$9="Тип доверенности/получателя при получении в адресе перегруза:",$D$9="Разовая доверенность"),"Введите ФИО","")</f>
        <v/>
      </c>
      <c r="I9" s="799" t="n"/>
      <c r="J9" s="7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 t="n"/>
      <c r="L9" s="799" t="n"/>
      <c r="M9" s="799" t="n"/>
      <c r="N9" s="798" t="n"/>
      <c r="P9" s="26" t="inlineStr">
        <is>
          <t>Дата доставки</t>
        </is>
      </c>
      <c r="Q9" s="912" t="n"/>
      <c r="R9" s="913" t="n"/>
      <c r="T9" s="790" t="n"/>
      <c r="U9" s="976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08">
      <c r="A10" s="94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1" t="n"/>
      <c r="E10" s="799" t="n"/>
      <c r="F10" s="94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2">
        <f>IFERROR(VLOOKUP($D$10,Proxy,2,FALSE),"")</f>
        <v/>
      </c>
      <c r="I10" s="790" t="n"/>
      <c r="J10" s="790" t="n"/>
      <c r="K10" s="790" t="n"/>
      <c r="L10" s="790" t="n"/>
      <c r="M10" s="790" t="n"/>
      <c r="N10" s="1052" t="n"/>
      <c r="P10" s="26" t="inlineStr">
        <is>
          <t>Время доставки</t>
        </is>
      </c>
      <c r="Q10" s="987" t="n"/>
      <c r="R10" s="988" t="n"/>
      <c r="U10" s="24" t="inlineStr">
        <is>
          <t>КОД Аксапты Клиента</t>
        </is>
      </c>
      <c r="V10" s="862" t="inlineStr">
        <is>
          <t>596383</t>
        </is>
      </c>
      <c r="W10" s="863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0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8" t="n"/>
      <c r="R11" s="919" t="n"/>
      <c r="U11" s="24" t="inlineStr">
        <is>
          <t>Тип заказа</t>
        </is>
      </c>
      <c r="V11" s="1113" t="inlineStr">
        <is>
          <t>Основной заказ</t>
        </is>
      </c>
      <c r="W11" s="913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08">
      <c r="A12" s="971" t="inlineStr">
        <is>
          <t>Телефоны для заказов: 8(919)002-63-01  E-mail: kolbasa@abiproduct.ru  Телефон сотрудников склада: 8 (910) 775-52-91</t>
        </is>
      </c>
      <c r="B12" s="824" t="n"/>
      <c r="C12" s="824" t="n"/>
      <c r="D12" s="824" t="n"/>
      <c r="E12" s="824" t="n"/>
      <c r="F12" s="824" t="n"/>
      <c r="G12" s="824" t="n"/>
      <c r="H12" s="824" t="n"/>
      <c r="I12" s="824" t="n"/>
      <c r="J12" s="824" t="n"/>
      <c r="K12" s="824" t="n"/>
      <c r="L12" s="824" t="n"/>
      <c r="M12" s="825" t="n"/>
      <c r="N12" s="62" t="n"/>
      <c r="P12" s="24" t="inlineStr">
        <is>
          <t>Время доставки 3 машины</t>
        </is>
      </c>
      <c r="Q12" s="929" t="n"/>
      <c r="R12" s="837" t="n"/>
      <c r="S12" s="23" t="n"/>
      <c r="U12" s="24" t="n"/>
      <c r="V12" s="808" t="n"/>
      <c r="W12" s="790" t="n"/>
      <c r="AB12" s="51" t="n"/>
      <c r="AC12" s="51" t="n"/>
      <c r="AD12" s="51" t="n"/>
      <c r="AE12" s="51" t="n"/>
    </row>
    <row r="13" ht="23.25" customFormat="1" customHeight="1" s="808">
      <c r="A13" s="971" t="inlineStr">
        <is>
          <t>График приема заказов: Заказы принимаются за ДВА дня до отгрузки Пн-Пт: с 9:00 до 14:00, Суб., Вс. - до 12:00</t>
        </is>
      </c>
      <c r="B13" s="824" t="n"/>
      <c r="C13" s="824" t="n"/>
      <c r="D13" s="824" t="n"/>
      <c r="E13" s="824" t="n"/>
      <c r="F13" s="824" t="n"/>
      <c r="G13" s="824" t="n"/>
      <c r="H13" s="824" t="n"/>
      <c r="I13" s="824" t="n"/>
      <c r="J13" s="824" t="n"/>
      <c r="K13" s="824" t="n"/>
      <c r="L13" s="824" t="n"/>
      <c r="M13" s="825" t="n"/>
      <c r="N13" s="62" t="n"/>
      <c r="O13" s="26" t="n"/>
      <c r="P13" s="26" t="inlineStr">
        <is>
          <t>Время доставки 4 машины</t>
        </is>
      </c>
      <c r="Q13" s="1113" t="n"/>
      <c r="R13" s="913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08">
      <c r="A14" s="971" t="inlineStr">
        <is>
          <t>Телефон менеджера по логистике: 8 (919) 012-30-55 - по вопросам доставки продукции</t>
        </is>
      </c>
      <c r="B14" s="824" t="n"/>
      <c r="C14" s="824" t="n"/>
      <c r="D14" s="824" t="n"/>
      <c r="E14" s="824" t="n"/>
      <c r="F14" s="824" t="n"/>
      <c r="G14" s="824" t="n"/>
      <c r="H14" s="824" t="n"/>
      <c r="I14" s="824" t="n"/>
      <c r="J14" s="824" t="n"/>
      <c r="K14" s="824" t="n"/>
      <c r="L14" s="824" t="n"/>
      <c r="M14" s="825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08">
      <c r="A15" s="1009" t="inlineStr">
        <is>
          <t>Телефон по работе с претензиями/жалобами (WhatSapp): 8 (980) 757-69-93       E-mail: Claims@abiproduct.ru</t>
        </is>
      </c>
      <c r="B15" s="824" t="n"/>
      <c r="C15" s="824" t="n"/>
      <c r="D15" s="824" t="n"/>
      <c r="E15" s="824" t="n"/>
      <c r="F15" s="824" t="n"/>
      <c r="G15" s="824" t="n"/>
      <c r="H15" s="824" t="n"/>
      <c r="I15" s="824" t="n"/>
      <c r="J15" s="824" t="n"/>
      <c r="K15" s="824" t="n"/>
      <c r="L15" s="824" t="n"/>
      <c r="M15" s="825" t="n"/>
      <c r="N15" s="63" t="n"/>
      <c r="P15" s="957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8" t="n"/>
      <c r="Q16" s="958" t="n"/>
      <c r="R16" s="958" t="n"/>
      <c r="S16" s="958" t="n"/>
      <c r="T16" s="958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6" t="inlineStr">
        <is>
          <t>Код единицы продаж</t>
        </is>
      </c>
      <c r="B17" s="826" t="inlineStr">
        <is>
          <t>Код продукта</t>
        </is>
      </c>
      <c r="C17" s="938" t="inlineStr">
        <is>
          <t>Номер варианта</t>
        </is>
      </c>
      <c r="D17" s="826" t="inlineStr">
        <is>
          <t xml:space="preserve">Штрих-код </t>
        </is>
      </c>
      <c r="E17" s="889" t="n"/>
      <c r="F17" s="826" t="inlineStr">
        <is>
          <t>Вес нетто штуки, кг</t>
        </is>
      </c>
      <c r="G17" s="826" t="inlineStr">
        <is>
          <t>Кол-во штук в коробе, шт</t>
        </is>
      </c>
      <c r="H17" s="826" t="inlineStr">
        <is>
          <t>Вес нетто короба, кг</t>
        </is>
      </c>
      <c r="I17" s="826" t="inlineStr">
        <is>
          <t>Вес брутто короба, кг</t>
        </is>
      </c>
      <c r="J17" s="826" t="inlineStr">
        <is>
          <t>Кол-во кор. на паллте, шт</t>
        </is>
      </c>
      <c r="K17" s="826" t="inlineStr">
        <is>
          <t>Коробок в слое</t>
        </is>
      </c>
      <c r="L17" s="826" t="inlineStr">
        <is>
          <t>Квант заказа</t>
        </is>
      </c>
      <c r="M17" s="826" t="inlineStr">
        <is>
          <t>Завод</t>
        </is>
      </c>
      <c r="N17" s="826" t="inlineStr">
        <is>
          <t>Внешний код номенклатуры</t>
        </is>
      </c>
      <c r="O17" s="826" t="inlineStr">
        <is>
          <t>Срок годности, сут.</t>
        </is>
      </c>
      <c r="P17" s="826" t="inlineStr">
        <is>
          <t>Наименование</t>
        </is>
      </c>
      <c r="Q17" s="888" t="n"/>
      <c r="R17" s="888" t="n"/>
      <c r="S17" s="888" t="n"/>
      <c r="T17" s="889" t="n"/>
      <c r="U17" s="1204" t="inlineStr">
        <is>
          <t>Доступно к отгрузке</t>
        </is>
      </c>
      <c r="V17" s="825" t="n"/>
      <c r="W17" s="826" t="inlineStr">
        <is>
          <t>Ед. изм.</t>
        </is>
      </c>
      <c r="X17" s="826" t="inlineStr">
        <is>
          <t>Заказ</t>
        </is>
      </c>
      <c r="Y17" s="1205" t="inlineStr">
        <is>
          <t>Заказ с округлением до короба</t>
        </is>
      </c>
      <c r="Z17" s="1077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3" t="n"/>
      <c r="AF17" s="1154" t="n"/>
      <c r="AG17" s="66" t="n"/>
      <c r="BD17" s="65" t="inlineStr">
        <is>
          <t>Вид продукции</t>
        </is>
      </c>
    </row>
    <row r="18" ht="14.25" customHeight="1">
      <c r="A18" s="827" t="n"/>
      <c r="B18" s="827" t="n"/>
      <c r="C18" s="827" t="n"/>
      <c r="D18" s="890" t="n"/>
      <c r="E18" s="892" t="n"/>
      <c r="F18" s="827" t="n"/>
      <c r="G18" s="827" t="n"/>
      <c r="H18" s="827" t="n"/>
      <c r="I18" s="827" t="n"/>
      <c r="J18" s="827" t="n"/>
      <c r="K18" s="827" t="n"/>
      <c r="L18" s="827" t="n"/>
      <c r="M18" s="827" t="n"/>
      <c r="N18" s="827" t="n"/>
      <c r="O18" s="827" t="n"/>
      <c r="P18" s="890" t="n"/>
      <c r="Q18" s="891" t="n"/>
      <c r="R18" s="891" t="n"/>
      <c r="S18" s="891" t="n"/>
      <c r="T18" s="892" t="n"/>
      <c r="U18" s="1204" t="inlineStr">
        <is>
          <t>начиная с</t>
        </is>
      </c>
      <c r="V18" s="1204" t="inlineStr">
        <is>
          <t>до</t>
        </is>
      </c>
      <c r="W18" s="827" t="n"/>
      <c r="X18" s="827" t="n"/>
      <c r="Y18" s="1206" t="n"/>
      <c r="Z18" s="1078" t="n"/>
      <c r="AA18" s="1051" t="n"/>
      <c r="AB18" s="1051" t="n"/>
      <c r="AC18" s="1051" t="n"/>
      <c r="AD18" s="1155" t="n"/>
      <c r="AE18" s="1156" t="n"/>
      <c r="AF18" s="1157" t="n"/>
      <c r="AG18" s="66" t="n"/>
      <c r="BD18" s="65" t="n"/>
    </row>
    <row r="19" ht="27.75" customHeight="1">
      <c r="A19" s="873" t="inlineStr">
        <is>
          <t>Ядрена копоть</t>
        </is>
      </c>
      <c r="B19" s="874" t="n"/>
      <c r="C19" s="874" t="n"/>
      <c r="D19" s="874" t="n"/>
      <c r="E19" s="874" t="n"/>
      <c r="F19" s="874" t="n"/>
      <c r="G19" s="874" t="n"/>
      <c r="H19" s="874" t="n"/>
      <c r="I19" s="874" t="n"/>
      <c r="J19" s="874" t="n"/>
      <c r="K19" s="874" t="n"/>
      <c r="L19" s="874" t="n"/>
      <c r="M19" s="874" t="n"/>
      <c r="N19" s="874" t="n"/>
      <c r="O19" s="874" t="n"/>
      <c r="P19" s="874" t="n"/>
      <c r="Q19" s="874" t="n"/>
      <c r="R19" s="874" t="n"/>
      <c r="S19" s="874" t="n"/>
      <c r="T19" s="874" t="n"/>
      <c r="U19" s="874" t="n"/>
      <c r="V19" s="874" t="n"/>
      <c r="W19" s="874" t="n"/>
      <c r="X19" s="874" t="n"/>
      <c r="Y19" s="874" t="n"/>
      <c r="Z19" s="874" t="n"/>
      <c r="AA19" s="48" t="n"/>
      <c r="AB19" s="48" t="n"/>
      <c r="AC19" s="48" t="n"/>
    </row>
    <row r="20" ht="16.5" customHeight="1">
      <c r="A20" s="828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8" t="n"/>
      <c r="AB20" s="828" t="n"/>
      <c r="AC20" s="828" t="n"/>
    </row>
    <row r="21" ht="14.25" customHeight="1">
      <c r="A21" s="797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7" t="n"/>
      <c r="AB21" s="797" t="n"/>
      <c r="AC21" s="797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79" t="n">
        <v>4680115885004</v>
      </c>
      <c r="E22" s="780" t="n"/>
      <c r="F22" s="1220" t="n">
        <v>0.16</v>
      </c>
      <c r="G22" s="32" t="n">
        <v>10</v>
      </c>
      <c r="H22" s="1220" t="n">
        <v>1.6</v>
      </c>
      <c r="I22" s="1220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3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1" t="n">
        <v>0</v>
      </c>
      <c r="Y22" s="1222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4" t="inlineStr">
        <is>
          <t>Итого</t>
        </is>
      </c>
      <c r="Q23" s="795" t="n"/>
      <c r="R23" s="795" t="n"/>
      <c r="S23" s="795" t="n"/>
      <c r="T23" s="795" t="n"/>
      <c r="U23" s="795" t="n"/>
      <c r="V23" s="796" t="n"/>
      <c r="W23" s="37" t="inlineStr">
        <is>
          <t>кор</t>
        </is>
      </c>
      <c r="X23" s="1223">
        <f>IFERROR(X22/H22,"0")</f>
        <v/>
      </c>
      <c r="Y23" s="1223">
        <f>IFERROR(Y22/H22,"0")</f>
        <v/>
      </c>
      <c r="Z23" s="1223">
        <f>IFERROR(IF(Z22="",0,Z22),"0")</f>
        <v/>
      </c>
      <c r="AA23" s="1224" t="n"/>
      <c r="AB23" s="1224" t="n"/>
      <c r="AC23" s="1224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4" t="inlineStr">
        <is>
          <t>Итого</t>
        </is>
      </c>
      <c r="Q24" s="795" t="n"/>
      <c r="R24" s="795" t="n"/>
      <c r="S24" s="795" t="n"/>
      <c r="T24" s="795" t="n"/>
      <c r="U24" s="795" t="n"/>
      <c r="V24" s="796" t="n"/>
      <c r="W24" s="37" t="inlineStr">
        <is>
          <t>кг</t>
        </is>
      </c>
      <c r="X24" s="1223">
        <f>IFERROR(SUM(X22:X22),"0")</f>
        <v/>
      </c>
      <c r="Y24" s="1223">
        <f>IFERROR(SUM(Y22:Y22),"0")</f>
        <v/>
      </c>
      <c r="Z24" s="37" t="n"/>
      <c r="AA24" s="1224" t="n"/>
      <c r="AB24" s="1224" t="n"/>
      <c r="AC24" s="1224" t="n"/>
    </row>
    <row r="25" ht="14.25" customHeight="1">
      <c r="A25" s="797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7" t="n"/>
      <c r="AB25" s="797" t="n"/>
      <c r="AC25" s="797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79" t="n">
        <v>4607091383881</v>
      </c>
      <c r="E26" s="780" t="n"/>
      <c r="F26" s="1220" t="n">
        <v>0.33</v>
      </c>
      <c r="G26" s="32" t="n">
        <v>6</v>
      </c>
      <c r="H26" s="1220" t="n">
        <v>1.98</v>
      </c>
      <c r="I26" s="1220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1" t="n">
        <v>0</v>
      </c>
      <c r="Y26" s="1222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79" t="n">
        <v>4680115885912</v>
      </c>
      <c r="E27" s="780" t="n"/>
      <c r="F27" s="1220" t="n">
        <v>0.3</v>
      </c>
      <c r="G27" s="32" t="n">
        <v>6</v>
      </c>
      <c r="H27" s="1220" t="n">
        <v>1.8</v>
      </c>
      <c r="I27" s="1220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1" t="n">
        <v>0</v>
      </c>
      <c r="Y27" s="1222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79" t="n">
        <v>4607091388237</v>
      </c>
      <c r="E28" s="780" t="n"/>
      <c r="F28" s="1220" t="n">
        <v>0.42</v>
      </c>
      <c r="G28" s="32" t="n">
        <v>6</v>
      </c>
      <c r="H28" s="1220" t="n">
        <v>2.52</v>
      </c>
      <c r="I28" s="1220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0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1" t="n">
        <v>0</v>
      </c>
      <c r="Y28" s="1222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79" t="n">
        <v>4680115886230</v>
      </c>
      <c r="E29" s="780" t="n"/>
      <c r="F29" s="1220" t="n">
        <v>0.3</v>
      </c>
      <c r="G29" s="32" t="n">
        <v>6</v>
      </c>
      <c r="H29" s="1220" t="n">
        <v>1.8</v>
      </c>
      <c r="I29" s="1220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2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1" t="n">
        <v>0</v>
      </c>
      <c r="Y29" s="1222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79" t="n">
        <v>4680115886278</v>
      </c>
      <c r="E30" s="780" t="n"/>
      <c r="F30" s="1220" t="n">
        <v>0.3</v>
      </c>
      <c r="G30" s="32" t="n">
        <v>6</v>
      </c>
      <c r="H30" s="1220" t="n">
        <v>1.8</v>
      </c>
      <c r="I30" s="1220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8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1" t="n">
        <v>0</v>
      </c>
      <c r="Y30" s="1222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79" t="n">
        <v>4680115886247</v>
      </c>
      <c r="E31" s="780" t="n"/>
      <c r="F31" s="1220" t="n">
        <v>0.3</v>
      </c>
      <c r="G31" s="32" t="n">
        <v>6</v>
      </c>
      <c r="H31" s="1220" t="n">
        <v>1.8</v>
      </c>
      <c r="I31" s="1220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2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1" t="n">
        <v>0</v>
      </c>
      <c r="Y31" s="1222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779" t="n">
        <v>4607091383911</v>
      </c>
      <c r="E32" s="780" t="n"/>
      <c r="F32" s="1220" t="n">
        <v>0.33</v>
      </c>
      <c r="G32" s="32" t="n">
        <v>6</v>
      </c>
      <c r="H32" s="1220" t="n">
        <v>1.98</v>
      </c>
      <c r="I32" s="1220" t="n">
        <v>2.226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1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1" t="n">
        <v>0</v>
      </c>
      <c r="Y32" s="1222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79" t="n">
        <v>4680115885905</v>
      </c>
      <c r="E33" s="780" t="n"/>
      <c r="F33" s="1220" t="n">
        <v>0.3</v>
      </c>
      <c r="G33" s="32" t="n">
        <v>6</v>
      </c>
      <c r="H33" s="1220" t="n">
        <v>1.8</v>
      </c>
      <c r="I33" s="1220" t="n">
        <v>3.18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1" t="n">
        <v>0</v>
      </c>
      <c r="Y33" s="1222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79" t="n">
        <v>4607091388244</v>
      </c>
      <c r="E34" s="780" t="n"/>
      <c r="F34" s="1220" t="n">
        <v>0.42</v>
      </c>
      <c r="G34" s="32" t="n">
        <v>6</v>
      </c>
      <c r="H34" s="1220" t="n">
        <v>2.52</v>
      </c>
      <c r="I34" s="1220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1" t="n">
        <v>0</v>
      </c>
      <c r="Y34" s="1222">
        <f>IFERROR(IF(X34="",0,CEILING((X34/$H34),1)*$H34),"")</f>
        <v/>
      </c>
      <c r="Z34" s="36">
        <f>IFERROR(IF(Y34=0,"",ROUNDUP(Y34/H34,0)*0.00651),"")</f>
        <v/>
      </c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>
      <c r="A35" s="789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4" t="inlineStr">
        <is>
          <t>Итого</t>
        </is>
      </c>
      <c r="Q35" s="795" t="n"/>
      <c r="R35" s="795" t="n"/>
      <c r="S35" s="795" t="n"/>
      <c r="T35" s="795" t="n"/>
      <c r="U35" s="795" t="n"/>
      <c r="V35" s="796" t="n"/>
      <c r="W35" s="37" t="inlineStr">
        <is>
          <t>кор</t>
        </is>
      </c>
      <c r="X35" s="1223">
        <f>IFERROR(X26/H26,"0")+IFERROR(X27/H27,"0")+IFERROR(X28/H28,"0")+IFERROR(X29/H29,"0")+IFERROR(X30/H30,"0")+IFERROR(X31/H31,"0")+IFERROR(X32/H32,"0")+IFERROR(X33/H33,"0")+IFERROR(X34/H34,"0")</f>
        <v/>
      </c>
      <c r="Y35" s="1223">
        <f>IFERROR(Y26/H26,"0")+IFERROR(Y27/H27,"0")+IFERROR(Y28/H28,"0")+IFERROR(Y29/H29,"0")+IFERROR(Y30/H30,"0")+IFERROR(Y31/H31,"0")+IFERROR(Y32/H32,"0")+IFERROR(Y33/H33,"0")+IFERROR(Y34/H34,"0")</f>
        <v/>
      </c>
      <c r="Z35" s="122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24" t="n"/>
      <c r="AB35" s="1224" t="n"/>
      <c r="AC35" s="1224" t="n"/>
    </row>
    <row r="36">
      <c r="A36" s="790" t="n"/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1" t="n"/>
      <c r="P36" s="794" t="inlineStr">
        <is>
          <t>Итого</t>
        </is>
      </c>
      <c r="Q36" s="795" t="n"/>
      <c r="R36" s="795" t="n"/>
      <c r="S36" s="795" t="n"/>
      <c r="T36" s="795" t="n"/>
      <c r="U36" s="795" t="n"/>
      <c r="V36" s="796" t="n"/>
      <c r="W36" s="37" t="inlineStr">
        <is>
          <t>кг</t>
        </is>
      </c>
      <c r="X36" s="1223">
        <f>IFERROR(SUM(X26:X34),"0")</f>
        <v/>
      </c>
      <c r="Y36" s="1223">
        <f>IFERROR(SUM(Y26:Y34),"0")</f>
        <v/>
      </c>
      <c r="Z36" s="37" t="n"/>
      <c r="AA36" s="1224" t="n"/>
      <c r="AB36" s="1224" t="n"/>
      <c r="AC36" s="1224" t="n"/>
    </row>
    <row r="37" ht="14.25" customHeight="1">
      <c r="A37" s="797" t="inlineStr">
        <is>
          <t>Сырокопченые колбасы</t>
        </is>
      </c>
      <c r="B37" s="790" t="n"/>
      <c r="C37" s="790" t="n"/>
      <c r="D37" s="790" t="n"/>
      <c r="E37" s="790" t="n"/>
      <c r="F37" s="790" t="n"/>
      <c r="G37" s="790" t="n"/>
      <c r="H37" s="790" t="n"/>
      <c r="I37" s="790" t="n"/>
      <c r="J37" s="790" t="n"/>
      <c r="K37" s="790" t="n"/>
      <c r="L37" s="790" t="n"/>
      <c r="M37" s="790" t="n"/>
      <c r="N37" s="790" t="n"/>
      <c r="O37" s="790" t="n"/>
      <c r="P37" s="790" t="n"/>
      <c r="Q37" s="790" t="n"/>
      <c r="R37" s="790" t="n"/>
      <c r="S37" s="790" t="n"/>
      <c r="T37" s="790" t="n"/>
      <c r="U37" s="790" t="n"/>
      <c r="V37" s="790" t="n"/>
      <c r="W37" s="790" t="n"/>
      <c r="X37" s="790" t="n"/>
      <c r="Y37" s="790" t="n"/>
      <c r="Z37" s="790" t="n"/>
      <c r="AA37" s="797" t="n"/>
      <c r="AB37" s="797" t="n"/>
      <c r="AC37" s="797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79" t="n">
        <v>4607091388503</v>
      </c>
      <c r="E38" s="780" t="n"/>
      <c r="F38" s="1220" t="n">
        <v>0.05</v>
      </c>
      <c r="G38" s="32" t="n">
        <v>12</v>
      </c>
      <c r="H38" s="1220" t="n">
        <v>0.6</v>
      </c>
      <c r="I38" s="1220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1" t="n">
        <v>0</v>
      </c>
      <c r="Y38" s="1222">
        <f>IFERROR(IF(X38="",0,CEILING((X38/$H38),1)*$H38),"")</f>
        <v/>
      </c>
      <c r="Z38" s="36">
        <f>IFERROR(IF(Y38=0,"",ROUNDUP(Y38/H38,0)*0.00651),"")</f>
        <v/>
      </c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>
      <c r="A39" s="789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4" t="inlineStr">
        <is>
          <t>Итого</t>
        </is>
      </c>
      <c r="Q39" s="795" t="n"/>
      <c r="R39" s="795" t="n"/>
      <c r="S39" s="795" t="n"/>
      <c r="T39" s="795" t="n"/>
      <c r="U39" s="795" t="n"/>
      <c r="V39" s="796" t="n"/>
      <c r="W39" s="37" t="inlineStr">
        <is>
          <t>кор</t>
        </is>
      </c>
      <c r="X39" s="1223">
        <f>IFERROR(X38/H38,"0")</f>
        <v/>
      </c>
      <c r="Y39" s="1223">
        <f>IFERROR(Y38/H38,"0")</f>
        <v/>
      </c>
      <c r="Z39" s="1223">
        <f>IFERROR(IF(Z38="",0,Z38),"0")</f>
        <v/>
      </c>
      <c r="AA39" s="1224" t="n"/>
      <c r="AB39" s="1224" t="n"/>
      <c r="AC39" s="1224" t="n"/>
    </row>
    <row r="40">
      <c r="A40" s="790" t="n"/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1" t="n"/>
      <c r="P40" s="794" t="inlineStr">
        <is>
          <t>Итого</t>
        </is>
      </c>
      <c r="Q40" s="795" t="n"/>
      <c r="R40" s="795" t="n"/>
      <c r="S40" s="795" t="n"/>
      <c r="T40" s="795" t="n"/>
      <c r="U40" s="795" t="n"/>
      <c r="V40" s="796" t="n"/>
      <c r="W40" s="37" t="inlineStr">
        <is>
          <t>кг</t>
        </is>
      </c>
      <c r="X40" s="1223">
        <f>IFERROR(SUM(X38:X38),"0")</f>
        <v/>
      </c>
      <c r="Y40" s="1223">
        <f>IFERROR(SUM(Y38:Y38),"0")</f>
        <v/>
      </c>
      <c r="Z40" s="37" t="n"/>
      <c r="AA40" s="1224" t="n"/>
      <c r="AB40" s="1224" t="n"/>
      <c r="AC40" s="1224" t="n"/>
    </row>
    <row r="41" ht="14.25" customHeight="1">
      <c r="A41" s="797" t="inlineStr">
        <is>
          <t>Сыровяленые колбасы</t>
        </is>
      </c>
      <c r="B41" s="790" t="n"/>
      <c r="C41" s="790" t="n"/>
      <c r="D41" s="790" t="n"/>
      <c r="E41" s="790" t="n"/>
      <c r="F41" s="790" t="n"/>
      <c r="G41" s="790" t="n"/>
      <c r="H41" s="790" t="n"/>
      <c r="I41" s="790" t="n"/>
      <c r="J41" s="790" t="n"/>
      <c r="K41" s="790" t="n"/>
      <c r="L41" s="790" t="n"/>
      <c r="M41" s="790" t="n"/>
      <c r="N41" s="790" t="n"/>
      <c r="O41" s="790" t="n"/>
      <c r="P41" s="790" t="n"/>
      <c r="Q41" s="790" t="n"/>
      <c r="R41" s="790" t="n"/>
      <c r="S41" s="790" t="n"/>
      <c r="T41" s="790" t="n"/>
      <c r="U41" s="790" t="n"/>
      <c r="V41" s="790" t="n"/>
      <c r="W41" s="790" t="n"/>
      <c r="X41" s="790" t="n"/>
      <c r="Y41" s="790" t="n"/>
      <c r="Z41" s="790" t="n"/>
      <c r="AA41" s="797" t="n"/>
      <c r="AB41" s="797" t="n"/>
      <c r="AC41" s="797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79" t="n">
        <v>4607091389111</v>
      </c>
      <c r="E42" s="780" t="n"/>
      <c r="F42" s="1220" t="n">
        <v>0.025</v>
      </c>
      <c r="G42" s="32" t="n">
        <v>10</v>
      </c>
      <c r="H42" s="1220" t="n">
        <v>0.25</v>
      </c>
      <c r="I42" s="1220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1" t="n">
        <v>0</v>
      </c>
      <c r="Y42" s="1222">
        <f>IFERROR(IF(X42="",0,CEILING((X42/$H42),1)*$H42),"")</f>
        <v/>
      </c>
      <c r="Z42" s="36">
        <f>IFERROR(IF(Y42=0,"",ROUNDUP(Y42/H42,0)*0.00651),"")</f>
        <v/>
      </c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>
      <c r="A43" s="789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4" t="inlineStr">
        <is>
          <t>Итого</t>
        </is>
      </c>
      <c r="Q43" s="795" t="n"/>
      <c r="R43" s="795" t="n"/>
      <c r="S43" s="795" t="n"/>
      <c r="T43" s="795" t="n"/>
      <c r="U43" s="795" t="n"/>
      <c r="V43" s="796" t="n"/>
      <c r="W43" s="37" t="inlineStr">
        <is>
          <t>кор</t>
        </is>
      </c>
      <c r="X43" s="1223">
        <f>IFERROR(X42/H42,"0")</f>
        <v/>
      </c>
      <c r="Y43" s="1223">
        <f>IFERROR(Y42/H42,"0")</f>
        <v/>
      </c>
      <c r="Z43" s="1223">
        <f>IFERROR(IF(Z42="",0,Z42),"0")</f>
        <v/>
      </c>
      <c r="AA43" s="1224" t="n"/>
      <c r="AB43" s="1224" t="n"/>
      <c r="AC43" s="1224" t="n"/>
    </row>
    <row r="44">
      <c r="A44" s="790" t="n"/>
      <c r="B44" s="790" t="n"/>
      <c r="C44" s="790" t="n"/>
      <c r="D44" s="790" t="n"/>
      <c r="E44" s="790" t="n"/>
      <c r="F44" s="790" t="n"/>
      <c r="G44" s="790" t="n"/>
      <c r="H44" s="790" t="n"/>
      <c r="I44" s="790" t="n"/>
      <c r="J44" s="790" t="n"/>
      <c r="K44" s="790" t="n"/>
      <c r="L44" s="790" t="n"/>
      <c r="M44" s="790" t="n"/>
      <c r="N44" s="790" t="n"/>
      <c r="O44" s="791" t="n"/>
      <c r="P44" s="794" t="inlineStr">
        <is>
          <t>Итого</t>
        </is>
      </c>
      <c r="Q44" s="795" t="n"/>
      <c r="R44" s="795" t="n"/>
      <c r="S44" s="795" t="n"/>
      <c r="T44" s="795" t="n"/>
      <c r="U44" s="795" t="n"/>
      <c r="V44" s="796" t="n"/>
      <c r="W44" s="37" t="inlineStr">
        <is>
          <t>кг</t>
        </is>
      </c>
      <c r="X44" s="1223">
        <f>IFERROR(SUM(X42:X42),"0")</f>
        <v/>
      </c>
      <c r="Y44" s="1223">
        <f>IFERROR(SUM(Y42:Y42),"0")</f>
        <v/>
      </c>
      <c r="Z44" s="37" t="n"/>
      <c r="AA44" s="1224" t="n"/>
      <c r="AB44" s="1224" t="n"/>
      <c r="AC44" s="1224" t="n"/>
    </row>
    <row r="45" ht="27.75" customHeight="1">
      <c r="A45" s="873" t="inlineStr">
        <is>
          <t>Вязанка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48" t="n"/>
      <c r="AB45" s="48" t="n"/>
      <c r="AC45" s="48" t="n"/>
    </row>
    <row r="46" ht="16.5" customHeight="1">
      <c r="A46" s="828" t="inlineStr">
        <is>
          <t>ГОСТ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828" t="n"/>
      <c r="AB46" s="828" t="n"/>
      <c r="AC46" s="828" t="n"/>
    </row>
    <row r="47" ht="14.25" customHeight="1">
      <c r="A47" s="797" t="inlineStr">
        <is>
          <t>Вареные колбасы</t>
        </is>
      </c>
      <c r="B47" s="790" t="n"/>
      <c r="C47" s="790" t="n"/>
      <c r="D47" s="790" t="n"/>
      <c r="E47" s="790" t="n"/>
      <c r="F47" s="790" t="n"/>
      <c r="G47" s="790" t="n"/>
      <c r="H47" s="790" t="n"/>
      <c r="I47" s="790" t="n"/>
      <c r="J47" s="790" t="n"/>
      <c r="K47" s="790" t="n"/>
      <c r="L47" s="790" t="n"/>
      <c r="M47" s="790" t="n"/>
      <c r="N47" s="790" t="n"/>
      <c r="O47" s="790" t="n"/>
      <c r="P47" s="790" t="n"/>
      <c r="Q47" s="790" t="n"/>
      <c r="R47" s="790" t="n"/>
      <c r="S47" s="790" t="n"/>
      <c r="T47" s="790" t="n"/>
      <c r="U47" s="790" t="n"/>
      <c r="V47" s="790" t="n"/>
      <c r="W47" s="790" t="n"/>
      <c r="X47" s="790" t="n"/>
      <c r="Y47" s="790" t="n"/>
      <c r="Z47" s="790" t="n"/>
      <c r="AA47" s="797" t="n"/>
      <c r="AB47" s="797" t="n"/>
      <c r="AC47" s="797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79" t="n">
        <v>4607091385670</v>
      </c>
      <c r="E48" s="780" t="n"/>
      <c r="F48" s="1220" t="n">
        <v>1.4</v>
      </c>
      <c r="G48" s="32" t="n">
        <v>8</v>
      </c>
      <c r="H48" s="1220" t="n">
        <v>11.2</v>
      </c>
      <c r="I48" s="1220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0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1" t="n">
        <v>0</v>
      </c>
      <c r="Y48" s="1222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79" t="n">
        <v>4607091385670</v>
      </c>
      <c r="E49" s="780" t="n"/>
      <c r="F49" s="1220" t="n">
        <v>1.35</v>
      </c>
      <c r="G49" s="32" t="n">
        <v>8</v>
      </c>
      <c r="H49" s="1220" t="n">
        <v>10.8</v>
      </c>
      <c r="I49" s="1220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28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1" t="n">
        <v>0</v>
      </c>
      <c r="Y49" s="1222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79" t="n">
        <v>4680115883956</v>
      </c>
      <c r="E50" s="780" t="n"/>
      <c r="F50" s="1220" t="n">
        <v>1.4</v>
      </c>
      <c r="G50" s="32" t="n">
        <v>8</v>
      </c>
      <c r="H50" s="1220" t="n">
        <v>11.2</v>
      </c>
      <c r="I50" s="1220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89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1" t="n">
        <v>0</v>
      </c>
      <c r="Y50" s="1222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79" t="n">
        <v>4680115882539</v>
      </c>
      <c r="E51" s="780" t="n"/>
      <c r="F51" s="1220" t="n">
        <v>0.37</v>
      </c>
      <c r="G51" s="32" t="n">
        <v>10</v>
      </c>
      <c r="H51" s="1220" t="n">
        <v>3.7</v>
      </c>
      <c r="I51" s="1220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1" t="n">
        <v>0</v>
      </c>
      <c r="Y51" s="1222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79" t="n">
        <v>4607091385687</v>
      </c>
      <c r="E52" s="780" t="n"/>
      <c r="F52" s="1220" t="n">
        <v>0.4</v>
      </c>
      <c r="G52" s="32" t="n">
        <v>10</v>
      </c>
      <c r="H52" s="1220" t="n">
        <v>4</v>
      </c>
      <c r="I52" s="1220" t="n">
        <v>4.21</v>
      </c>
      <c r="J52" s="32" t="n">
        <v>132</v>
      </c>
      <c r="K52" s="32" t="inlineStr">
        <is>
          <t>12</t>
        </is>
      </c>
      <c r="L52" s="32" t="inlineStr">
        <is>
          <t>Слой, мин. 1</t>
        </is>
      </c>
      <c r="M52" s="33" t="inlineStr">
        <is>
          <t>СК3</t>
        </is>
      </c>
      <c r="N52" s="33" t="n"/>
      <c r="O52" s="32" t="n">
        <v>50</v>
      </c>
      <c r="P52" s="904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1" t="n">
        <v>0</v>
      </c>
      <c r="Y52" s="1222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inlineStr">
        <is>
          <t>Слой</t>
        </is>
      </c>
      <c r="AK52" s="68" t="n">
        <v>48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79" t="n">
        <v>4680115883949</v>
      </c>
      <c r="E53" s="780" t="n"/>
      <c r="F53" s="1220" t="n">
        <v>0.37</v>
      </c>
      <c r="G53" s="32" t="n">
        <v>10</v>
      </c>
      <c r="H53" s="1220" t="n">
        <v>3.7</v>
      </c>
      <c r="I53" s="1220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1" t="n">
        <v>0</v>
      </c>
      <c r="Y53" s="1222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>
      <c r="A54" s="789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4" t="inlineStr">
        <is>
          <t>Итого</t>
        </is>
      </c>
      <c r="Q54" s="795" t="n"/>
      <c r="R54" s="795" t="n"/>
      <c r="S54" s="795" t="n"/>
      <c r="T54" s="795" t="n"/>
      <c r="U54" s="795" t="n"/>
      <c r="V54" s="796" t="n"/>
      <c r="W54" s="37" t="inlineStr">
        <is>
          <t>кор</t>
        </is>
      </c>
      <c r="X54" s="1223">
        <f>IFERROR(X48/H48,"0")+IFERROR(X49/H49,"0")+IFERROR(X50/H50,"0")+IFERROR(X51/H51,"0")+IFERROR(X52/H52,"0")+IFERROR(X53/H53,"0")</f>
        <v/>
      </c>
      <c r="Y54" s="1223">
        <f>IFERROR(Y48/H48,"0")+IFERROR(Y49/H49,"0")+IFERROR(Y50/H50,"0")+IFERROR(Y51/H51,"0")+IFERROR(Y52/H52,"0")+IFERROR(Y53/H53,"0")</f>
        <v/>
      </c>
      <c r="Z54" s="1223">
        <f>IFERROR(IF(Z48="",0,Z48),"0")+IFERROR(IF(Z49="",0,Z49),"0")+IFERROR(IF(Z50="",0,Z50),"0")+IFERROR(IF(Z51="",0,Z51),"0")+IFERROR(IF(Z52="",0,Z52),"0")+IFERROR(IF(Z53="",0,Z53),"0")</f>
        <v/>
      </c>
      <c r="AA54" s="1224" t="n"/>
      <c r="AB54" s="1224" t="n"/>
      <c r="AC54" s="1224" t="n"/>
    </row>
    <row r="55">
      <c r="A55" s="790" t="n"/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1" t="n"/>
      <c r="P55" s="794" t="inlineStr">
        <is>
          <t>Итого</t>
        </is>
      </c>
      <c r="Q55" s="795" t="n"/>
      <c r="R55" s="795" t="n"/>
      <c r="S55" s="795" t="n"/>
      <c r="T55" s="795" t="n"/>
      <c r="U55" s="795" t="n"/>
      <c r="V55" s="796" t="n"/>
      <c r="W55" s="37" t="inlineStr">
        <is>
          <t>кг</t>
        </is>
      </c>
      <c r="X55" s="1223">
        <f>IFERROR(SUM(X48:X53),"0")</f>
        <v/>
      </c>
      <c r="Y55" s="1223">
        <f>IFERROR(SUM(Y48:Y53),"0")</f>
        <v/>
      </c>
      <c r="Z55" s="37" t="n"/>
      <c r="AA55" s="1224" t="n"/>
      <c r="AB55" s="1224" t="n"/>
      <c r="AC55" s="1224" t="n"/>
    </row>
    <row r="56" ht="14.25" customHeight="1">
      <c r="A56" s="797" t="inlineStr">
        <is>
          <t>Сосиски</t>
        </is>
      </c>
      <c r="B56" s="790" t="n"/>
      <c r="C56" s="790" t="n"/>
      <c r="D56" s="790" t="n"/>
      <c r="E56" s="790" t="n"/>
      <c r="F56" s="790" t="n"/>
      <c r="G56" s="790" t="n"/>
      <c r="H56" s="790" t="n"/>
      <c r="I56" s="790" t="n"/>
      <c r="J56" s="790" t="n"/>
      <c r="K56" s="790" t="n"/>
      <c r="L56" s="790" t="n"/>
      <c r="M56" s="790" t="n"/>
      <c r="N56" s="790" t="n"/>
      <c r="O56" s="790" t="n"/>
      <c r="P56" s="790" t="n"/>
      <c r="Q56" s="790" t="n"/>
      <c r="R56" s="790" t="n"/>
      <c r="S56" s="790" t="n"/>
      <c r="T56" s="790" t="n"/>
      <c r="U56" s="790" t="n"/>
      <c r="V56" s="790" t="n"/>
      <c r="W56" s="790" t="n"/>
      <c r="X56" s="790" t="n"/>
      <c r="Y56" s="790" t="n"/>
      <c r="Z56" s="790" t="n"/>
      <c r="AA56" s="797" t="n"/>
      <c r="AB56" s="797" t="n"/>
      <c r="AC56" s="797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79" t="n">
        <v>4680115885233</v>
      </c>
      <c r="E57" s="780" t="n"/>
      <c r="F57" s="1220" t="n">
        <v>0.2</v>
      </c>
      <c r="G57" s="32" t="n">
        <v>6</v>
      </c>
      <c r="H57" s="1220" t="n">
        <v>1.2</v>
      </c>
      <c r="I57" s="1220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4">
        <f>HYPERLINK("https://abi.ru/products/Охлажденные/Вязанка/ГОСТ/Сосиски/P004556/","Сосиски «Молочные ГОСТ» ф/в 0,2 ц/о ТМ «Вязанка»")</f>
        <v/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1" t="n">
        <v>0</v>
      </c>
      <c r="Y57" s="1222">
        <f>IFERROR(IF(X57="",0,CEILING((X57/$H57),1)*$H57),"")</f>
        <v/>
      </c>
      <c r="Z57" s="36">
        <f>IFERROR(IF(Y57=0,"",ROUNDUP(Y57/H57,0)*0.00502),"")</f>
        <v/>
      </c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79" t="n">
        <v>4680115884915</v>
      </c>
      <c r="E58" s="780" t="n"/>
      <c r="F58" s="1220" t="n">
        <v>0.3</v>
      </c>
      <c r="G58" s="32" t="n">
        <v>6</v>
      </c>
      <c r="H58" s="1220" t="n">
        <v>1.8</v>
      </c>
      <c r="I58" s="1220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19">
        <f>HYPERLINK("https://abi.ru/products/Охлажденные/Вязанка/ГОСТ/Сосиски/P004551/","Сосиски «Молочные ГОСТ» ф/в 0,3 ц/о ТМ «Вязанка»")</f>
        <v/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1" t="n">
        <v>0</v>
      </c>
      <c r="Y58" s="1222">
        <f>IFERROR(IF(X58="",0,CEILING((X58/$H58),1)*$H58),"")</f>
        <v/>
      </c>
      <c r="Z58" s="36">
        <f>IFERROR(IF(Y58=0,"",ROUNDUP(Y58/H58,0)*0.00651),"")</f>
        <v/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>
      <c r="A59" s="789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4" t="inlineStr">
        <is>
          <t>Итого</t>
        </is>
      </c>
      <c r="Q59" s="795" t="n"/>
      <c r="R59" s="795" t="n"/>
      <c r="S59" s="795" t="n"/>
      <c r="T59" s="795" t="n"/>
      <c r="U59" s="795" t="n"/>
      <c r="V59" s="796" t="n"/>
      <c r="W59" s="37" t="inlineStr">
        <is>
          <t>кор</t>
        </is>
      </c>
      <c r="X59" s="1223">
        <f>IFERROR(X57/H57,"0")+IFERROR(X58/H58,"0")</f>
        <v/>
      </c>
      <c r="Y59" s="1223">
        <f>IFERROR(Y57/H57,"0")+IFERROR(Y58/H58,"0")</f>
        <v/>
      </c>
      <c r="Z59" s="1223">
        <f>IFERROR(IF(Z57="",0,Z57),"0")+IFERROR(IF(Z58="",0,Z58),"0")</f>
        <v/>
      </c>
      <c r="AA59" s="1224" t="n"/>
      <c r="AB59" s="1224" t="n"/>
      <c r="AC59" s="1224" t="n"/>
    </row>
    <row r="60">
      <c r="A60" s="790" t="n"/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1" t="n"/>
      <c r="P60" s="794" t="inlineStr">
        <is>
          <t>Итого</t>
        </is>
      </c>
      <c r="Q60" s="795" t="n"/>
      <c r="R60" s="795" t="n"/>
      <c r="S60" s="795" t="n"/>
      <c r="T60" s="795" t="n"/>
      <c r="U60" s="795" t="n"/>
      <c r="V60" s="796" t="n"/>
      <c r="W60" s="37" t="inlineStr">
        <is>
          <t>кг</t>
        </is>
      </c>
      <c r="X60" s="1223">
        <f>IFERROR(SUM(X57:X58),"0")</f>
        <v/>
      </c>
      <c r="Y60" s="1223">
        <f>IFERROR(SUM(Y57:Y58),"0")</f>
        <v/>
      </c>
      <c r="Z60" s="37" t="n"/>
      <c r="AA60" s="1224" t="n"/>
      <c r="AB60" s="1224" t="n"/>
      <c r="AC60" s="1224" t="n"/>
    </row>
    <row r="61" ht="16.5" customHeight="1">
      <c r="A61" s="828" t="inlineStr">
        <is>
          <t>Филейская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828" t="n"/>
      <c r="AB61" s="828" t="n"/>
      <c r="AC61" s="828" t="n"/>
    </row>
    <row r="62" ht="14.25" customHeight="1">
      <c r="A62" s="797" t="inlineStr">
        <is>
          <t>Вареные колбасы</t>
        </is>
      </c>
      <c r="B62" s="790" t="n"/>
      <c r="C62" s="790" t="n"/>
      <c r="D62" s="790" t="n"/>
      <c r="E62" s="790" t="n"/>
      <c r="F62" s="790" t="n"/>
      <c r="G62" s="790" t="n"/>
      <c r="H62" s="790" t="n"/>
      <c r="I62" s="790" t="n"/>
      <c r="J62" s="790" t="n"/>
      <c r="K62" s="790" t="n"/>
      <c r="L62" s="790" t="n"/>
      <c r="M62" s="790" t="n"/>
      <c r="N62" s="790" t="n"/>
      <c r="O62" s="790" t="n"/>
      <c r="P62" s="790" t="n"/>
      <c r="Q62" s="790" t="n"/>
      <c r="R62" s="790" t="n"/>
      <c r="S62" s="790" t="n"/>
      <c r="T62" s="790" t="n"/>
      <c r="U62" s="790" t="n"/>
      <c r="V62" s="790" t="n"/>
      <c r="W62" s="790" t="n"/>
      <c r="X62" s="790" t="n"/>
      <c r="Y62" s="790" t="n"/>
      <c r="Z62" s="790" t="n"/>
      <c r="AA62" s="797" t="n"/>
      <c r="AB62" s="797" t="n"/>
      <c r="AC62" s="797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79" t="n">
        <v>4680115885882</v>
      </c>
      <c r="E63" s="780" t="n"/>
      <c r="F63" s="1220" t="n">
        <v>1.4</v>
      </c>
      <c r="G63" s="32" t="n">
        <v>8</v>
      </c>
      <c r="H63" s="1220" t="n">
        <v>11.2</v>
      </c>
      <c r="I63" s="1220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1" t="n">
        <v>0</v>
      </c>
      <c r="Y63" s="1222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79" t="n">
        <v>4680115881426</v>
      </c>
      <c r="E64" s="780" t="n"/>
      <c r="F64" s="1220" t="n">
        <v>1.35</v>
      </c>
      <c r="G64" s="32" t="n">
        <v>8</v>
      </c>
      <c r="H64" s="1220" t="n">
        <v>10.8</v>
      </c>
      <c r="I64" s="1220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49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1" t="n">
        <v>0</v>
      </c>
      <c r="Y64" s="1222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79" t="n">
        <v>4680115881426</v>
      </c>
      <c r="E65" s="780" t="n"/>
      <c r="F65" s="1220" t="n">
        <v>1.35</v>
      </c>
      <c r="G65" s="32" t="n">
        <v>8</v>
      </c>
      <c r="H65" s="1220" t="n">
        <v>10.8</v>
      </c>
      <c r="I65" s="1220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8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1" t="n">
        <v>0</v>
      </c>
      <c r="Y65" s="1222">
        <f>IFERROR(IF(X65="",0,CEILING((X65/$H65),1)*$H65),"")</f>
        <v/>
      </c>
      <c r="Z65" s="36">
        <f>IFERROR(IF(Y65=0,"",ROUNDUP(Y65/H65,0)*0.02039),"")</f>
        <v/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79" t="n">
        <v>4680115880283</v>
      </c>
      <c r="E66" s="780" t="n"/>
      <c r="F66" s="1220" t="n">
        <v>0.6</v>
      </c>
      <c r="G66" s="32" t="n">
        <v>8</v>
      </c>
      <c r="H66" s="1220" t="n">
        <v>4.8</v>
      </c>
      <c r="I66" s="1220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0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1" t="n">
        <v>0</v>
      </c>
      <c r="Y66" s="1222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79" t="n">
        <v>4680115882720</v>
      </c>
      <c r="E67" s="780" t="n"/>
      <c r="F67" s="1220" t="n">
        <v>0.45</v>
      </c>
      <c r="G67" s="32" t="n">
        <v>10</v>
      </c>
      <c r="H67" s="1220" t="n">
        <v>4.5</v>
      </c>
      <c r="I67" s="1220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5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1" t="n">
        <v>0</v>
      </c>
      <c r="Y67" s="1222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79" t="n">
        <v>4680115881525</v>
      </c>
      <c r="E68" s="780" t="n"/>
      <c r="F68" s="1220" t="n">
        <v>0.4</v>
      </c>
      <c r="G68" s="32" t="n">
        <v>10</v>
      </c>
      <c r="H68" s="1220" t="n">
        <v>4</v>
      </c>
      <c r="I68" s="1220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1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1" t="n">
        <v>0</v>
      </c>
      <c r="Y68" s="1222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79" t="n">
        <v>4680115885899</v>
      </c>
      <c r="E69" s="780" t="n"/>
      <c r="F69" s="1220" t="n">
        <v>0.35</v>
      </c>
      <c r="G69" s="32" t="n">
        <v>6</v>
      </c>
      <c r="H69" s="1220" t="n">
        <v>2.1</v>
      </c>
      <c r="I69" s="1220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2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1" t="n">
        <v>0</v>
      </c>
      <c r="Y69" s="1222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79" t="n">
        <v>4607091382952</v>
      </c>
      <c r="E70" s="780" t="n"/>
      <c r="F70" s="1220" t="n">
        <v>0.5</v>
      </c>
      <c r="G70" s="32" t="n">
        <v>6</v>
      </c>
      <c r="H70" s="1220" t="n">
        <v>3</v>
      </c>
      <c r="I70" s="1220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1" t="n">
        <v>0</v>
      </c>
      <c r="Y70" s="1222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79" t="n">
        <v>4680115881419</v>
      </c>
      <c r="E71" s="780" t="n"/>
      <c r="F71" s="1220" t="n">
        <v>0.45</v>
      </c>
      <c r="G71" s="32" t="n">
        <v>10</v>
      </c>
      <c r="H71" s="1220" t="n">
        <v>4.5</v>
      </c>
      <c r="I71" s="1220" t="n">
        <v>4.71</v>
      </c>
      <c r="J71" s="32" t="n">
        <v>132</v>
      </c>
      <c r="K71" s="32" t="inlineStr">
        <is>
          <t>12</t>
        </is>
      </c>
      <c r="L71" s="32" t="inlineStr">
        <is>
          <t>Слой, мин. 1</t>
        </is>
      </c>
      <c r="M71" s="33" t="inlineStr">
        <is>
          <t>СК2</t>
        </is>
      </c>
      <c r="N71" s="33" t="n"/>
      <c r="O71" s="32" t="n">
        <v>50</v>
      </c>
      <c r="P71" s="121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1" t="n">
        <v>0</v>
      </c>
      <c r="Y71" s="1222">
        <f>IFERROR(IF(X71="",0,CEILING((X71/$H71),1)*$H71),"")</f>
        <v/>
      </c>
      <c r="Z71" s="36">
        <f>IFERROR(IF(Y71=0,"",ROUNDUP(Y71/H71,0)*0.00902),"")</f>
        <v/>
      </c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inlineStr">
        <is>
          <t>Слой</t>
        </is>
      </c>
      <c r="AK71" s="68" t="n">
        <v>54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>
      <c r="A72" s="789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4" t="inlineStr">
        <is>
          <t>Итого</t>
        </is>
      </c>
      <c r="Q72" s="795" t="n"/>
      <c r="R72" s="795" t="n"/>
      <c r="S72" s="795" t="n"/>
      <c r="T72" s="795" t="n"/>
      <c r="U72" s="795" t="n"/>
      <c r="V72" s="796" t="n"/>
      <c r="W72" s="37" t="inlineStr">
        <is>
          <t>кор</t>
        </is>
      </c>
      <c r="X72" s="1223">
        <f>IFERROR(X63/H63,"0")+IFERROR(X64/H64,"0")+IFERROR(X65/H65,"0")+IFERROR(X66/H66,"0")+IFERROR(X67/H67,"0")+IFERROR(X68/H68,"0")+IFERROR(X69/H69,"0")+IFERROR(X70/H70,"0")+IFERROR(X71/H71,"0")</f>
        <v/>
      </c>
      <c r="Y72" s="1223">
        <f>IFERROR(Y63/H63,"0")+IFERROR(Y64/H64,"0")+IFERROR(Y65/H65,"0")+IFERROR(Y66/H66,"0")+IFERROR(Y67/H67,"0")+IFERROR(Y68/H68,"0")+IFERROR(Y69/H69,"0")+IFERROR(Y70/H70,"0")+IFERROR(Y71/H71,"0")</f>
        <v/>
      </c>
      <c r="Z72" s="122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24" t="n"/>
      <c r="AB72" s="1224" t="n"/>
      <c r="AC72" s="1224" t="n"/>
    </row>
    <row r="73">
      <c r="A73" s="790" t="n"/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1" t="n"/>
      <c r="P73" s="794" t="inlineStr">
        <is>
          <t>Итого</t>
        </is>
      </c>
      <c r="Q73" s="795" t="n"/>
      <c r="R73" s="795" t="n"/>
      <c r="S73" s="795" t="n"/>
      <c r="T73" s="795" t="n"/>
      <c r="U73" s="795" t="n"/>
      <c r="V73" s="796" t="n"/>
      <c r="W73" s="37" t="inlineStr">
        <is>
          <t>кг</t>
        </is>
      </c>
      <c r="X73" s="1223">
        <f>IFERROR(SUM(X63:X71),"0")</f>
        <v/>
      </c>
      <c r="Y73" s="1223">
        <f>IFERROR(SUM(Y63:Y71),"0")</f>
        <v/>
      </c>
      <c r="Z73" s="37" t="n"/>
      <c r="AA73" s="1224" t="n"/>
      <c r="AB73" s="1224" t="n"/>
      <c r="AC73" s="1224" t="n"/>
    </row>
    <row r="74" ht="14.25" customHeight="1">
      <c r="A74" s="797" t="inlineStr">
        <is>
          <t>Ветчины</t>
        </is>
      </c>
      <c r="B74" s="790" t="n"/>
      <c r="C74" s="790" t="n"/>
      <c r="D74" s="790" t="n"/>
      <c r="E74" s="790" t="n"/>
      <c r="F74" s="790" t="n"/>
      <c r="G74" s="790" t="n"/>
      <c r="H74" s="790" t="n"/>
      <c r="I74" s="790" t="n"/>
      <c r="J74" s="790" t="n"/>
      <c r="K74" s="790" t="n"/>
      <c r="L74" s="790" t="n"/>
      <c r="M74" s="790" t="n"/>
      <c r="N74" s="790" t="n"/>
      <c r="O74" s="790" t="n"/>
      <c r="P74" s="790" t="n"/>
      <c r="Q74" s="790" t="n"/>
      <c r="R74" s="790" t="n"/>
      <c r="S74" s="790" t="n"/>
      <c r="T74" s="790" t="n"/>
      <c r="U74" s="790" t="n"/>
      <c r="V74" s="790" t="n"/>
      <c r="W74" s="790" t="n"/>
      <c r="X74" s="790" t="n"/>
      <c r="Y74" s="790" t="n"/>
      <c r="Z74" s="790" t="n"/>
      <c r="AA74" s="797" t="n"/>
      <c r="AB74" s="797" t="n"/>
      <c r="AC74" s="797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79" t="n">
        <v>4680115881440</v>
      </c>
      <c r="E75" s="780" t="n"/>
      <c r="F75" s="1220" t="n">
        <v>1.35</v>
      </c>
      <c r="G75" s="32" t="n">
        <v>8</v>
      </c>
      <c r="H75" s="1220" t="n">
        <v>10.8</v>
      </c>
      <c r="I75" s="1220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67">
        <f>HYPERLINK("https://abi.ru/products/Охлажденные/Вязанка/Филейская/Ветчины/P003234/","Ветчины «Филейская» Весовые Вектор ТМ «Вязанка»")</f>
        <v/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1" t="n">
        <v>150</v>
      </c>
      <c r="Y75" s="1222">
        <f>IFERROR(IF(X75="",0,CEILING((X75/$H75),1)*$H75),"")</f>
        <v/>
      </c>
      <c r="Z75" s="36">
        <f>IFERROR(IF(Y75=0,"",ROUNDUP(Y75/H75,0)*0.02175),"")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79" t="n">
        <v>4680115882751</v>
      </c>
      <c r="E76" s="780" t="n"/>
      <c r="F76" s="1220" t="n">
        <v>0.45</v>
      </c>
      <c r="G76" s="32" t="n">
        <v>10</v>
      </c>
      <c r="H76" s="1220" t="n">
        <v>4.5</v>
      </c>
      <c r="I76" s="1220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77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1" t="n">
        <v>0</v>
      </c>
      <c r="Y76" s="1222">
        <f>IFERROR(IF(X76="",0,CEILING((X76/$H76),1)*$H76),"")</f>
        <v/>
      </c>
      <c r="Z76" s="36">
        <f>IFERROR(IF(Y76=0,"",ROUNDUP(Y76/H76,0)*0.00902),"")</f>
        <v/>
      </c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79" t="n">
        <v>4680115885950</v>
      </c>
      <c r="E77" s="780" t="n"/>
      <c r="F77" s="1220" t="n">
        <v>0.37</v>
      </c>
      <c r="G77" s="32" t="n">
        <v>6</v>
      </c>
      <c r="H77" s="1220" t="n">
        <v>2.22</v>
      </c>
      <c r="I77" s="1220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1">
        <f>HYPERLINK("https://abi.ru/products/Охлажденные/Вязанка/Филейская/Ветчины/P004676/","Ветчины «Филейская» ф/в 0,37 п/а ТМ «Вязанка»")</f>
        <v/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1" t="n">
        <v>0</v>
      </c>
      <c r="Y77" s="1222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79" t="n">
        <v>4680115881433</v>
      </c>
      <c r="E78" s="780" t="n"/>
      <c r="F78" s="1220" t="n">
        <v>0.45</v>
      </c>
      <c r="G78" s="32" t="n">
        <v>6</v>
      </c>
      <c r="H78" s="1220" t="n">
        <v>2.7</v>
      </c>
      <c r="I78" s="1220" t="n">
        <v>2.88</v>
      </c>
      <c r="J78" s="32" t="n">
        <v>182</v>
      </c>
      <c r="K78" s="32" t="inlineStr">
        <is>
          <t>14</t>
        </is>
      </c>
      <c r="L78" s="32" t="inlineStr">
        <is>
          <t>Слой, мин. 1</t>
        </is>
      </c>
      <c r="M78" s="33" t="inlineStr">
        <is>
          <t>СК1</t>
        </is>
      </c>
      <c r="N78" s="33" t="n"/>
      <c r="O78" s="32" t="n">
        <v>50</v>
      </c>
      <c r="P78" s="915">
        <f>HYPERLINK("https://abi.ru/products/Охлажденные/Вязанка/Филейская/Ветчины/P003226/","Ветчины «Филейская» Фикс.вес 0,45 Вектор ТМ «Вязанка»")</f>
        <v/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1" t="n">
        <v>0</v>
      </c>
      <c r="Y78" s="1222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inlineStr">
        <is>
          <t>Слой</t>
        </is>
      </c>
      <c r="AK78" s="68" t="n">
        <v>37.8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>
      <c r="A79" s="789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4" t="inlineStr">
        <is>
          <t>Итого</t>
        </is>
      </c>
      <c r="Q79" s="795" t="n"/>
      <c r="R79" s="795" t="n"/>
      <c r="S79" s="795" t="n"/>
      <c r="T79" s="795" t="n"/>
      <c r="U79" s="795" t="n"/>
      <c r="V79" s="796" t="n"/>
      <c r="W79" s="37" t="inlineStr">
        <is>
          <t>кор</t>
        </is>
      </c>
      <c r="X79" s="1223">
        <f>IFERROR(X75/H75,"0")+IFERROR(X76/H76,"0")+IFERROR(X77/H77,"0")+IFERROR(X78/H78,"0")</f>
        <v/>
      </c>
      <c r="Y79" s="1223">
        <f>IFERROR(Y75/H75,"0")+IFERROR(Y76/H76,"0")+IFERROR(Y77/H77,"0")+IFERROR(Y78/H78,"0")</f>
        <v/>
      </c>
      <c r="Z79" s="1223">
        <f>IFERROR(IF(Z75="",0,Z75),"0")+IFERROR(IF(Z76="",0,Z76),"0")+IFERROR(IF(Z77="",0,Z77),"0")+IFERROR(IF(Z78="",0,Z78),"0")</f>
        <v/>
      </c>
      <c r="AA79" s="1224" t="n"/>
      <c r="AB79" s="1224" t="n"/>
      <c r="AC79" s="1224" t="n"/>
    </row>
    <row r="80">
      <c r="A80" s="790" t="n"/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1" t="n"/>
      <c r="P80" s="794" t="inlineStr">
        <is>
          <t>Итого</t>
        </is>
      </c>
      <c r="Q80" s="795" t="n"/>
      <c r="R80" s="795" t="n"/>
      <c r="S80" s="795" t="n"/>
      <c r="T80" s="795" t="n"/>
      <c r="U80" s="795" t="n"/>
      <c r="V80" s="796" t="n"/>
      <c r="W80" s="37" t="inlineStr">
        <is>
          <t>кг</t>
        </is>
      </c>
      <c r="X80" s="1223">
        <f>IFERROR(SUM(X75:X78),"0")</f>
        <v/>
      </c>
      <c r="Y80" s="1223">
        <f>IFERROR(SUM(Y75:Y78),"0")</f>
        <v/>
      </c>
      <c r="Z80" s="37" t="n"/>
      <c r="AA80" s="1224" t="n"/>
      <c r="AB80" s="1224" t="n"/>
      <c r="AC80" s="1224" t="n"/>
    </row>
    <row r="81" ht="14.25" customHeight="1">
      <c r="A81" s="797" t="inlineStr">
        <is>
          <t>Копченые колбасы</t>
        </is>
      </c>
      <c r="B81" s="790" t="n"/>
      <c r="C81" s="790" t="n"/>
      <c r="D81" s="790" t="n"/>
      <c r="E81" s="790" t="n"/>
      <c r="F81" s="790" t="n"/>
      <c r="G81" s="790" t="n"/>
      <c r="H81" s="790" t="n"/>
      <c r="I81" s="790" t="n"/>
      <c r="J81" s="790" t="n"/>
      <c r="K81" s="790" t="n"/>
      <c r="L81" s="790" t="n"/>
      <c r="M81" s="790" t="n"/>
      <c r="N81" s="790" t="n"/>
      <c r="O81" s="790" t="n"/>
      <c r="P81" s="790" t="n"/>
      <c r="Q81" s="790" t="n"/>
      <c r="R81" s="790" t="n"/>
      <c r="S81" s="790" t="n"/>
      <c r="T81" s="790" t="n"/>
      <c r="U81" s="790" t="n"/>
      <c r="V81" s="790" t="n"/>
      <c r="W81" s="790" t="n"/>
      <c r="X81" s="790" t="n"/>
      <c r="Y81" s="790" t="n"/>
      <c r="Z81" s="790" t="n"/>
      <c r="AA81" s="797" t="n"/>
      <c r="AB81" s="797" t="n"/>
      <c r="AC81" s="797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79" t="n">
        <v>4680115885066</v>
      </c>
      <c r="E82" s="780" t="n"/>
      <c r="F82" s="1220" t="n">
        <v>0.7</v>
      </c>
      <c r="G82" s="32" t="n">
        <v>6</v>
      </c>
      <c r="H82" s="1220" t="n">
        <v>4.2</v>
      </c>
      <c r="I82" s="1220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1" t="n">
        <v>0</v>
      </c>
      <c r="Y82" s="1222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79" t="n">
        <v>4680115885042</v>
      </c>
      <c r="E83" s="780" t="n"/>
      <c r="F83" s="1220" t="n">
        <v>0.7</v>
      </c>
      <c r="G83" s="32" t="n">
        <v>6</v>
      </c>
      <c r="H83" s="1220" t="n">
        <v>4.2</v>
      </c>
      <c r="I83" s="1220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1" t="n">
        <v>0</v>
      </c>
      <c r="Y83" s="1222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79" t="n">
        <v>4680115885080</v>
      </c>
      <c r="E84" s="780" t="n"/>
      <c r="F84" s="1220" t="n">
        <v>0.7</v>
      </c>
      <c r="G84" s="32" t="n">
        <v>6</v>
      </c>
      <c r="H84" s="1220" t="n">
        <v>4.2</v>
      </c>
      <c r="I84" s="1220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1" t="n">
        <v>0</v>
      </c>
      <c r="Y84" s="1222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79" t="n">
        <v>4680115885073</v>
      </c>
      <c r="E85" s="780" t="n"/>
      <c r="F85" s="1220" t="n">
        <v>0.3</v>
      </c>
      <c r="G85" s="32" t="n">
        <v>6</v>
      </c>
      <c r="H85" s="1220" t="n">
        <v>1.8</v>
      </c>
      <c r="I85" s="1220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0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1" t="n">
        <v>0</v>
      </c>
      <c r="Y85" s="1222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79" t="n">
        <v>4680115885059</v>
      </c>
      <c r="E86" s="780" t="n"/>
      <c r="F86" s="1220" t="n">
        <v>0.3</v>
      </c>
      <c r="G86" s="32" t="n">
        <v>6</v>
      </c>
      <c r="H86" s="1220" t="n">
        <v>1.8</v>
      </c>
      <c r="I86" s="1220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1" t="n">
        <v>0</v>
      </c>
      <c r="Y86" s="1222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79" t="n">
        <v>4680115885097</v>
      </c>
      <c r="E87" s="780" t="n"/>
      <c r="F87" s="1220" t="n">
        <v>0.3</v>
      </c>
      <c r="G87" s="32" t="n">
        <v>6</v>
      </c>
      <c r="H87" s="1220" t="n">
        <v>1.8</v>
      </c>
      <c r="I87" s="1220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1" t="n">
        <v>0</v>
      </c>
      <c r="Y87" s="1222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>
      <c r="A88" s="789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4" t="inlineStr">
        <is>
          <t>Итого</t>
        </is>
      </c>
      <c r="Q88" s="795" t="n"/>
      <c r="R88" s="795" t="n"/>
      <c r="S88" s="795" t="n"/>
      <c r="T88" s="795" t="n"/>
      <c r="U88" s="795" t="n"/>
      <c r="V88" s="796" t="n"/>
      <c r="W88" s="37" t="inlineStr">
        <is>
          <t>кор</t>
        </is>
      </c>
      <c r="X88" s="1223">
        <f>IFERROR(X82/H82,"0")+IFERROR(X83/H83,"0")+IFERROR(X84/H84,"0")+IFERROR(X85/H85,"0")+IFERROR(X86/H86,"0")+IFERROR(X87/H87,"0")</f>
        <v/>
      </c>
      <c r="Y88" s="1223">
        <f>IFERROR(Y82/H82,"0")+IFERROR(Y83/H83,"0")+IFERROR(Y84/H84,"0")+IFERROR(Y85/H85,"0")+IFERROR(Y86/H86,"0")+IFERROR(Y87/H87,"0")</f>
        <v/>
      </c>
      <c r="Z88" s="1223">
        <f>IFERROR(IF(Z82="",0,Z82),"0")+IFERROR(IF(Z83="",0,Z83),"0")+IFERROR(IF(Z84="",0,Z84),"0")+IFERROR(IF(Z85="",0,Z85),"0")+IFERROR(IF(Z86="",0,Z86),"0")+IFERROR(IF(Z87="",0,Z87),"0")</f>
        <v/>
      </c>
      <c r="AA88" s="1224" t="n"/>
      <c r="AB88" s="1224" t="n"/>
      <c r="AC88" s="1224" t="n"/>
    </row>
    <row r="89">
      <c r="A89" s="790" t="n"/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1" t="n"/>
      <c r="P89" s="794" t="inlineStr">
        <is>
          <t>Итого</t>
        </is>
      </c>
      <c r="Q89" s="795" t="n"/>
      <c r="R89" s="795" t="n"/>
      <c r="S89" s="795" t="n"/>
      <c r="T89" s="795" t="n"/>
      <c r="U89" s="795" t="n"/>
      <c r="V89" s="796" t="n"/>
      <c r="W89" s="37" t="inlineStr">
        <is>
          <t>кг</t>
        </is>
      </c>
      <c r="X89" s="1223">
        <f>IFERROR(SUM(X82:X87),"0")</f>
        <v/>
      </c>
      <c r="Y89" s="1223">
        <f>IFERROR(SUM(Y82:Y87),"0")</f>
        <v/>
      </c>
      <c r="Z89" s="37" t="n"/>
      <c r="AA89" s="1224" t="n"/>
      <c r="AB89" s="1224" t="n"/>
      <c r="AC89" s="1224" t="n"/>
    </row>
    <row r="90" ht="14.25" customHeight="1">
      <c r="A90" s="797" t="inlineStr">
        <is>
          <t>Сосиски</t>
        </is>
      </c>
      <c r="B90" s="790" t="n"/>
      <c r="C90" s="790" t="n"/>
      <c r="D90" s="790" t="n"/>
      <c r="E90" s="790" t="n"/>
      <c r="F90" s="790" t="n"/>
      <c r="G90" s="790" t="n"/>
      <c r="H90" s="790" t="n"/>
      <c r="I90" s="790" t="n"/>
      <c r="J90" s="790" t="n"/>
      <c r="K90" s="790" t="n"/>
      <c r="L90" s="790" t="n"/>
      <c r="M90" s="790" t="n"/>
      <c r="N90" s="790" t="n"/>
      <c r="O90" s="790" t="n"/>
      <c r="P90" s="790" t="n"/>
      <c r="Q90" s="790" t="n"/>
      <c r="R90" s="790" t="n"/>
      <c r="S90" s="790" t="n"/>
      <c r="T90" s="790" t="n"/>
      <c r="U90" s="790" t="n"/>
      <c r="V90" s="790" t="n"/>
      <c r="W90" s="790" t="n"/>
      <c r="X90" s="790" t="n"/>
      <c r="Y90" s="790" t="n"/>
      <c r="Z90" s="790" t="n"/>
      <c r="AA90" s="797" t="n"/>
      <c r="AB90" s="797" t="n"/>
      <c r="AC90" s="797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79" t="n">
        <v>4680115881891</v>
      </c>
      <c r="E91" s="780" t="n"/>
      <c r="F91" s="1220" t="n">
        <v>1.4</v>
      </c>
      <c r="G91" s="32" t="n">
        <v>6</v>
      </c>
      <c r="H91" s="1220" t="n">
        <v>8.4</v>
      </c>
      <c r="I91" s="1220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47">
        <f>HYPERLINK("https://abi.ru/products/Охлажденные/Вязанка/Филейская/Сосиски/P004553/","Сосиски «Филейские» Вес ц/о мгс ТМ «Вязанка»")</f>
        <v/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1" t="n">
        <v>0</v>
      </c>
      <c r="Y91" s="1222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79" t="n">
        <v>4680115885769</v>
      </c>
      <c r="E92" s="780" t="n"/>
      <c r="F92" s="1220" t="n">
        <v>1.4</v>
      </c>
      <c r="G92" s="32" t="n">
        <v>6</v>
      </c>
      <c r="H92" s="1220" t="n">
        <v>8.4</v>
      </c>
      <c r="I92" s="1220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9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1" t="n">
        <v>0</v>
      </c>
      <c r="Y92" s="1222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79" t="n">
        <v>4680115884410</v>
      </c>
      <c r="E93" s="780" t="n"/>
      <c r="F93" s="1220" t="n">
        <v>1.4</v>
      </c>
      <c r="G93" s="32" t="n">
        <v>6</v>
      </c>
      <c r="H93" s="1220" t="n">
        <v>8.4</v>
      </c>
      <c r="I93" s="1220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17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1" t="n">
        <v>0</v>
      </c>
      <c r="Y93" s="1222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79" t="n">
        <v>4680115884311</v>
      </c>
      <c r="E94" s="780" t="n"/>
      <c r="F94" s="1220" t="n">
        <v>0.3</v>
      </c>
      <c r="G94" s="32" t="n">
        <v>6</v>
      </c>
      <c r="H94" s="1220" t="n">
        <v>1.8</v>
      </c>
      <c r="I94" s="1220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5">
        <f>HYPERLINK("https://abi.ru/products/Охлажденные/Вязанка/Филейская/Сосиски/P004554/","Сосиски «Филейские» Фикс.вес 0,3 ц/о мгс ТМ «Вязанка»")</f>
        <v/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1" t="n">
        <v>0</v>
      </c>
      <c r="Y94" s="1222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79" t="n">
        <v>4680115885929</v>
      </c>
      <c r="E95" s="780" t="n"/>
      <c r="F95" s="1220" t="n">
        <v>0.42</v>
      </c>
      <c r="G95" s="32" t="n">
        <v>6</v>
      </c>
      <c r="H95" s="1220" t="n">
        <v>2.52</v>
      </c>
      <c r="I95" s="1220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5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1" t="n">
        <v>0</v>
      </c>
      <c r="Y95" s="1222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79" t="n">
        <v>4680115884403</v>
      </c>
      <c r="E96" s="780" t="n"/>
      <c r="F96" s="1220" t="n">
        <v>0.3</v>
      </c>
      <c r="G96" s="32" t="n">
        <v>6</v>
      </c>
      <c r="H96" s="1220" t="n">
        <v>1.8</v>
      </c>
      <c r="I96" s="1220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36">
        <f>HYPERLINK("https://abi.ru/products/Охлажденные/Вязанка/Филейская/Сосиски/P004557/","Сосиски «Филейские рубленые» ф/в 0,3 ц/о ТМ «Вязанка»")</f>
        <v/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1" t="n">
        <v>0</v>
      </c>
      <c r="Y96" s="1222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>
      <c r="A97" s="789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4" t="inlineStr">
        <is>
          <t>Итого</t>
        </is>
      </c>
      <c r="Q97" s="795" t="n"/>
      <c r="R97" s="795" t="n"/>
      <c r="S97" s="795" t="n"/>
      <c r="T97" s="795" t="n"/>
      <c r="U97" s="795" t="n"/>
      <c r="V97" s="796" t="n"/>
      <c r="W97" s="37" t="inlineStr">
        <is>
          <t>кор</t>
        </is>
      </c>
      <c r="X97" s="1223">
        <f>IFERROR(X91/H91,"0")+IFERROR(X92/H92,"0")+IFERROR(X93/H93,"0")+IFERROR(X94/H94,"0")+IFERROR(X95/H95,"0")+IFERROR(X96/H96,"0")</f>
        <v/>
      </c>
      <c r="Y97" s="1223">
        <f>IFERROR(Y91/H91,"0")+IFERROR(Y92/H92,"0")+IFERROR(Y93/H93,"0")+IFERROR(Y94/H94,"0")+IFERROR(Y95/H95,"0")+IFERROR(Y96/H96,"0")</f>
        <v/>
      </c>
      <c r="Z97" s="1223">
        <f>IFERROR(IF(Z91="",0,Z91),"0")+IFERROR(IF(Z92="",0,Z92),"0")+IFERROR(IF(Z93="",0,Z93),"0")+IFERROR(IF(Z94="",0,Z94),"0")+IFERROR(IF(Z95="",0,Z95),"0")+IFERROR(IF(Z96="",0,Z96),"0")</f>
        <v/>
      </c>
      <c r="AA97" s="1224" t="n"/>
      <c r="AB97" s="1224" t="n"/>
      <c r="AC97" s="1224" t="n"/>
    </row>
    <row r="98">
      <c r="A98" s="790" t="n"/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1" t="n"/>
      <c r="P98" s="794" t="inlineStr">
        <is>
          <t>Итого</t>
        </is>
      </c>
      <c r="Q98" s="795" t="n"/>
      <c r="R98" s="795" t="n"/>
      <c r="S98" s="795" t="n"/>
      <c r="T98" s="795" t="n"/>
      <c r="U98" s="795" t="n"/>
      <c r="V98" s="796" t="n"/>
      <c r="W98" s="37" t="inlineStr">
        <is>
          <t>кг</t>
        </is>
      </c>
      <c r="X98" s="1223">
        <f>IFERROR(SUM(X91:X96),"0")</f>
        <v/>
      </c>
      <c r="Y98" s="1223">
        <f>IFERROR(SUM(Y91:Y96),"0")</f>
        <v/>
      </c>
      <c r="Z98" s="37" t="n"/>
      <c r="AA98" s="1224" t="n"/>
      <c r="AB98" s="1224" t="n"/>
      <c r="AC98" s="1224" t="n"/>
    </row>
    <row r="99" ht="14.25" customHeight="1">
      <c r="A99" s="797" t="inlineStr">
        <is>
          <t>Сардельки</t>
        </is>
      </c>
      <c r="B99" s="790" t="n"/>
      <c r="C99" s="790" t="n"/>
      <c r="D99" s="790" t="n"/>
      <c r="E99" s="790" t="n"/>
      <c r="F99" s="790" t="n"/>
      <c r="G99" s="790" t="n"/>
      <c r="H99" s="790" t="n"/>
      <c r="I99" s="790" t="n"/>
      <c r="J99" s="790" t="n"/>
      <c r="K99" s="790" t="n"/>
      <c r="L99" s="790" t="n"/>
      <c r="M99" s="790" t="n"/>
      <c r="N99" s="790" t="n"/>
      <c r="O99" s="790" t="n"/>
      <c r="P99" s="790" t="n"/>
      <c r="Q99" s="790" t="n"/>
      <c r="R99" s="790" t="n"/>
      <c r="S99" s="790" t="n"/>
      <c r="T99" s="790" t="n"/>
      <c r="U99" s="790" t="n"/>
      <c r="V99" s="790" t="n"/>
      <c r="W99" s="790" t="n"/>
      <c r="X99" s="790" t="n"/>
      <c r="Y99" s="790" t="n"/>
      <c r="Z99" s="790" t="n"/>
      <c r="AA99" s="797" t="n"/>
      <c r="AB99" s="797" t="n"/>
      <c r="AC99" s="797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79" t="n">
        <v>4680115881532</v>
      </c>
      <c r="E100" s="780" t="n"/>
      <c r="F100" s="1220" t="n">
        <v>1.3</v>
      </c>
      <c r="G100" s="32" t="n">
        <v>6</v>
      </c>
      <c r="H100" s="1220" t="n">
        <v>7.8</v>
      </c>
      <c r="I100" s="1220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3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1" t="n">
        <v>0</v>
      </c>
      <c r="Y100" s="1222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79" t="n">
        <v>4680115881532</v>
      </c>
      <c r="E101" s="780" t="n"/>
      <c r="F101" s="1220" t="n">
        <v>1.4</v>
      </c>
      <c r="G101" s="32" t="n">
        <v>6</v>
      </c>
      <c r="H101" s="1220" t="n">
        <v>8.4</v>
      </c>
      <c r="I101" s="1220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3">
        <f>HYPERLINK("https://abi.ru/products/Охлажденные/Вязанка/Филейская/Сардельки/P003906/","Сардельки «Филейские» Весовые н/о ТМ «Вязанка»")</f>
        <v/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1" t="n">
        <v>0</v>
      </c>
      <c r="Y101" s="1222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79" t="n">
        <v>4680115881464</v>
      </c>
      <c r="E102" s="780" t="n"/>
      <c r="F102" s="1220" t="n">
        <v>0.4</v>
      </c>
      <c r="G102" s="32" t="n">
        <v>6</v>
      </c>
      <c r="H102" s="1220" t="n">
        <v>2.4</v>
      </c>
      <c r="I102" s="1220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37">
        <f>HYPERLINK("https://abi.ru/products/Охлажденные/Вязанка/Филейская/Сардельки/P003238/","Сардельки «Филейские» Фикс.вес 0,4 NDX ТМ «Вязанка»")</f>
        <v/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1" t="n">
        <v>0</v>
      </c>
      <c r="Y102" s="1222">
        <f>IFERROR(IF(X102="",0,CEILING((X102/$H102),1)*$H102),"")</f>
        <v/>
      </c>
      <c r="Z102" s="36">
        <f>IFERROR(IF(Y102=0,"",ROUNDUP(Y102/H102,0)*0.00902),"")</f>
        <v/>
      </c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>
      <c r="A103" s="789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4" t="inlineStr">
        <is>
          <t>Итого</t>
        </is>
      </c>
      <c r="Q103" s="795" t="n"/>
      <c r="R103" s="795" t="n"/>
      <c r="S103" s="795" t="n"/>
      <c r="T103" s="795" t="n"/>
      <c r="U103" s="795" t="n"/>
      <c r="V103" s="796" t="n"/>
      <c r="W103" s="37" t="inlineStr">
        <is>
          <t>кор</t>
        </is>
      </c>
      <c r="X103" s="1223">
        <f>IFERROR(X100/H100,"0")+IFERROR(X101/H101,"0")+IFERROR(X102/H102,"0")</f>
        <v/>
      </c>
      <c r="Y103" s="1223">
        <f>IFERROR(Y100/H100,"0")+IFERROR(Y101/H101,"0")+IFERROR(Y102/H102,"0")</f>
        <v/>
      </c>
      <c r="Z103" s="1223">
        <f>IFERROR(IF(Z100="",0,Z100),"0")+IFERROR(IF(Z101="",0,Z101),"0")+IFERROR(IF(Z102="",0,Z102),"0")</f>
        <v/>
      </c>
      <c r="AA103" s="1224" t="n"/>
      <c r="AB103" s="1224" t="n"/>
      <c r="AC103" s="1224" t="n"/>
    </row>
    <row r="104">
      <c r="A104" s="790" t="n"/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1" t="n"/>
      <c r="P104" s="794" t="inlineStr">
        <is>
          <t>Итого</t>
        </is>
      </c>
      <c r="Q104" s="795" t="n"/>
      <c r="R104" s="795" t="n"/>
      <c r="S104" s="795" t="n"/>
      <c r="T104" s="795" t="n"/>
      <c r="U104" s="795" t="n"/>
      <c r="V104" s="796" t="n"/>
      <c r="W104" s="37" t="inlineStr">
        <is>
          <t>кг</t>
        </is>
      </c>
      <c r="X104" s="1223">
        <f>IFERROR(SUM(X100:X102),"0")</f>
        <v/>
      </c>
      <c r="Y104" s="1223">
        <f>IFERROR(SUM(Y100:Y102),"0")</f>
        <v/>
      </c>
      <c r="Z104" s="37" t="n"/>
      <c r="AA104" s="1224" t="n"/>
      <c r="AB104" s="1224" t="n"/>
      <c r="AC104" s="1224" t="n"/>
    </row>
    <row r="105" ht="16.5" customHeight="1">
      <c r="A105" s="828" t="inlineStr">
        <is>
          <t>Молокуша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828" t="n"/>
      <c r="AB105" s="828" t="n"/>
      <c r="AC105" s="828" t="n"/>
    </row>
    <row r="106" ht="14.25" customHeight="1">
      <c r="A106" s="797" t="inlineStr">
        <is>
          <t>Вареные колбасы</t>
        </is>
      </c>
      <c r="B106" s="790" t="n"/>
      <c r="C106" s="790" t="n"/>
      <c r="D106" s="790" t="n"/>
      <c r="E106" s="790" t="n"/>
      <c r="F106" s="790" t="n"/>
      <c r="G106" s="790" t="n"/>
      <c r="H106" s="790" t="n"/>
      <c r="I106" s="790" t="n"/>
      <c r="J106" s="790" t="n"/>
      <c r="K106" s="790" t="n"/>
      <c r="L106" s="790" t="n"/>
      <c r="M106" s="790" t="n"/>
      <c r="N106" s="790" t="n"/>
      <c r="O106" s="790" t="n"/>
      <c r="P106" s="790" t="n"/>
      <c r="Q106" s="790" t="n"/>
      <c r="R106" s="790" t="n"/>
      <c r="S106" s="790" t="n"/>
      <c r="T106" s="790" t="n"/>
      <c r="U106" s="790" t="n"/>
      <c r="V106" s="790" t="n"/>
      <c r="W106" s="790" t="n"/>
      <c r="X106" s="790" t="n"/>
      <c r="Y106" s="790" t="n"/>
      <c r="Z106" s="790" t="n"/>
      <c r="AA106" s="797" t="n"/>
      <c r="AB106" s="797" t="n"/>
      <c r="AC106" s="797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79" t="n">
        <v>4680115881327</v>
      </c>
      <c r="E107" s="780" t="n"/>
      <c r="F107" s="1220" t="n">
        <v>1.35</v>
      </c>
      <c r="G107" s="32" t="n">
        <v>8</v>
      </c>
      <c r="H107" s="1220" t="n">
        <v>10.8</v>
      </c>
      <c r="I107" s="1220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29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1" t="n">
        <v>0</v>
      </c>
      <c r="Y107" s="1222">
        <f>IFERROR(IF(X107="",0,CEILING((X107/$H107),1)*$H107),"")</f>
        <v/>
      </c>
      <c r="Z107" s="36">
        <f>IFERROR(IF(Y107=0,"",ROUNDUP(Y107/H107,0)*0.02175),"")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79" t="n">
        <v>4680115881518</v>
      </c>
      <c r="E108" s="780" t="n"/>
      <c r="F108" s="1220" t="n">
        <v>0.4</v>
      </c>
      <c r="G108" s="32" t="n">
        <v>10</v>
      </c>
      <c r="H108" s="1220" t="n">
        <v>4</v>
      </c>
      <c r="I108" s="1220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1" t="n">
        <v>0</v>
      </c>
      <c r="Y108" s="1222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79" t="n">
        <v>4680115881303</v>
      </c>
      <c r="E109" s="780" t="n"/>
      <c r="F109" s="1220" t="n">
        <v>0.45</v>
      </c>
      <c r="G109" s="32" t="n">
        <v>10</v>
      </c>
      <c r="H109" s="1220" t="n">
        <v>4.5</v>
      </c>
      <c r="I109" s="1220" t="n">
        <v>4.71</v>
      </c>
      <c r="J109" s="32" t="n">
        <v>132</v>
      </c>
      <c r="K109" s="32" t="inlineStr">
        <is>
          <t>12</t>
        </is>
      </c>
      <c r="L109" s="32" t="inlineStr">
        <is>
          <t>Слой, мин. 1</t>
        </is>
      </c>
      <c r="M109" s="33" t="inlineStr">
        <is>
          <t>СК4</t>
        </is>
      </c>
      <c r="N109" s="33" t="n"/>
      <c r="O109" s="32" t="n">
        <v>50</v>
      </c>
      <c r="P109" s="1069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1" t="n">
        <v>0</v>
      </c>
      <c r="Y109" s="1222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inlineStr">
        <is>
          <t>Слой</t>
        </is>
      </c>
      <c r="AK109" s="68" t="n">
        <v>54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>
      <c r="A110" s="789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4" t="inlineStr">
        <is>
          <t>Итого</t>
        </is>
      </c>
      <c r="Q110" s="795" t="n"/>
      <c r="R110" s="795" t="n"/>
      <c r="S110" s="795" t="n"/>
      <c r="T110" s="795" t="n"/>
      <c r="U110" s="795" t="n"/>
      <c r="V110" s="796" t="n"/>
      <c r="W110" s="37" t="inlineStr">
        <is>
          <t>кор</t>
        </is>
      </c>
      <c r="X110" s="1223">
        <f>IFERROR(X107/H107,"0")+IFERROR(X108/H108,"0")+IFERROR(X109/H109,"0")</f>
        <v/>
      </c>
      <c r="Y110" s="1223">
        <f>IFERROR(Y107/H107,"0")+IFERROR(Y108/H108,"0")+IFERROR(Y109/H109,"0")</f>
        <v/>
      </c>
      <c r="Z110" s="1223">
        <f>IFERROR(IF(Z107="",0,Z107),"0")+IFERROR(IF(Z108="",0,Z108),"0")+IFERROR(IF(Z109="",0,Z109),"0")</f>
        <v/>
      </c>
      <c r="AA110" s="1224" t="n"/>
      <c r="AB110" s="1224" t="n"/>
      <c r="AC110" s="1224" t="n"/>
    </row>
    <row r="111">
      <c r="A111" s="790" t="n"/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1" t="n"/>
      <c r="P111" s="794" t="inlineStr">
        <is>
          <t>Итого</t>
        </is>
      </c>
      <c r="Q111" s="795" t="n"/>
      <c r="R111" s="795" t="n"/>
      <c r="S111" s="795" t="n"/>
      <c r="T111" s="795" t="n"/>
      <c r="U111" s="795" t="n"/>
      <c r="V111" s="796" t="n"/>
      <c r="W111" s="37" t="inlineStr">
        <is>
          <t>кг</t>
        </is>
      </c>
      <c r="X111" s="1223">
        <f>IFERROR(SUM(X107:X109),"0")</f>
        <v/>
      </c>
      <c r="Y111" s="1223">
        <f>IFERROR(SUM(Y107:Y109),"0")</f>
        <v/>
      </c>
      <c r="Z111" s="37" t="n"/>
      <c r="AA111" s="1224" t="n"/>
      <c r="AB111" s="1224" t="n"/>
      <c r="AC111" s="1224" t="n"/>
    </row>
    <row r="112" ht="14.25" customHeight="1">
      <c r="A112" s="797" t="inlineStr">
        <is>
          <t>Сосиски</t>
        </is>
      </c>
      <c r="B112" s="790" t="n"/>
      <c r="C112" s="790" t="n"/>
      <c r="D112" s="790" t="n"/>
      <c r="E112" s="790" t="n"/>
      <c r="F112" s="790" t="n"/>
      <c r="G112" s="790" t="n"/>
      <c r="H112" s="790" t="n"/>
      <c r="I112" s="790" t="n"/>
      <c r="J112" s="790" t="n"/>
      <c r="K112" s="790" t="n"/>
      <c r="L112" s="790" t="n"/>
      <c r="M112" s="790" t="n"/>
      <c r="N112" s="790" t="n"/>
      <c r="O112" s="790" t="n"/>
      <c r="P112" s="790" t="n"/>
      <c r="Q112" s="790" t="n"/>
      <c r="R112" s="790" t="n"/>
      <c r="S112" s="790" t="n"/>
      <c r="T112" s="790" t="n"/>
      <c r="U112" s="790" t="n"/>
      <c r="V112" s="790" t="n"/>
      <c r="W112" s="790" t="n"/>
      <c r="X112" s="790" t="n"/>
      <c r="Y112" s="790" t="n"/>
      <c r="Z112" s="790" t="n"/>
      <c r="AA112" s="797" t="n"/>
      <c r="AB112" s="797" t="n"/>
      <c r="AC112" s="797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79" t="n">
        <v>4607091386967</v>
      </c>
      <c r="E113" s="780" t="n"/>
      <c r="F113" s="1220" t="n">
        <v>1.35</v>
      </c>
      <c r="G113" s="32" t="n">
        <v>6</v>
      </c>
      <c r="H113" s="1220" t="n">
        <v>8.1</v>
      </c>
      <c r="I113" s="1220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3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1" t="n">
        <v>0</v>
      </c>
      <c r="Y113" s="1222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79" t="n">
        <v>4607091386967</v>
      </c>
      <c r="E114" s="780" t="n"/>
      <c r="F114" s="1220" t="n">
        <v>1.4</v>
      </c>
      <c r="G114" s="32" t="n">
        <v>6</v>
      </c>
      <c r="H114" s="1220" t="n">
        <v>8.4</v>
      </c>
      <c r="I114" s="1220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1" t="n">
        <v>0</v>
      </c>
      <c r="Y114" s="1222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79" t="n">
        <v>4607091385731</v>
      </c>
      <c r="E115" s="780" t="n"/>
      <c r="F115" s="1220" t="n">
        <v>0.45</v>
      </c>
      <c r="G115" s="32" t="n">
        <v>6</v>
      </c>
      <c r="H115" s="1220" t="n">
        <v>2.7</v>
      </c>
      <c r="I115" s="1220" t="n">
        <v>2.952</v>
      </c>
      <c r="J115" s="32" t="n">
        <v>182</v>
      </c>
      <c r="K115" s="32" t="inlineStr">
        <is>
          <t>14</t>
        </is>
      </c>
      <c r="L115" s="32" t="inlineStr">
        <is>
          <t>Палетта, мин. 1</t>
        </is>
      </c>
      <c r="M115" s="33" t="inlineStr">
        <is>
          <t>СК3</t>
        </is>
      </c>
      <c r="N115" s="33" t="n"/>
      <c r="O115" s="32" t="n">
        <v>45</v>
      </c>
      <c r="P115" s="1008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1" t="n">
        <v>0</v>
      </c>
      <c r="Y115" s="1222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inlineStr">
        <is>
          <t>Палетта</t>
        </is>
      </c>
      <c r="AK115" s="68" t="n">
        <v>491.4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79" t="n">
        <v>4680115880894</v>
      </c>
      <c r="E116" s="780" t="n"/>
      <c r="F116" s="1220" t="n">
        <v>0.33</v>
      </c>
      <c r="G116" s="32" t="n">
        <v>6</v>
      </c>
      <c r="H116" s="1220" t="n">
        <v>1.98</v>
      </c>
      <c r="I116" s="1220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0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1" t="n">
        <v>0</v>
      </c>
      <c r="Y116" s="1222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79" t="n">
        <v>4680115880214</v>
      </c>
      <c r="E117" s="780" t="n"/>
      <c r="F117" s="1220" t="n">
        <v>0.45</v>
      </c>
      <c r="G117" s="32" t="n">
        <v>6</v>
      </c>
      <c r="H117" s="1220" t="n">
        <v>2.7</v>
      </c>
      <c r="I117" s="1220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5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1" t="n">
        <v>0</v>
      </c>
      <c r="Y117" s="1222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Д-RU.РА05.В.34361/22, 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79" t="n">
        <v>4680115880214</v>
      </c>
      <c r="E118" s="780" t="n"/>
      <c r="F118" s="1220" t="n">
        <v>0.45</v>
      </c>
      <c r="G118" s="32" t="n">
        <v>4</v>
      </c>
      <c r="H118" s="1220" t="n">
        <v>1.8</v>
      </c>
      <c r="I118" s="1220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2" t="inlineStr">
        <is>
          <t>Сосиски «Молокуши миникушай» Фикс.вес 0,45 амицел ТМ «Вязанка»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1" t="n">
        <v>0</v>
      </c>
      <c r="Y118" s="1222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>
      <c r="A119" s="789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4" t="inlineStr">
        <is>
          <t>Итого</t>
        </is>
      </c>
      <c r="Q119" s="795" t="n"/>
      <c r="R119" s="795" t="n"/>
      <c r="S119" s="795" t="n"/>
      <c r="T119" s="795" t="n"/>
      <c r="U119" s="795" t="n"/>
      <c r="V119" s="796" t="n"/>
      <c r="W119" s="37" t="inlineStr">
        <is>
          <t>кор</t>
        </is>
      </c>
      <c r="X119" s="1223">
        <f>IFERROR(X113/H113,"0")+IFERROR(X114/H114,"0")+IFERROR(X115/H115,"0")+IFERROR(X116/H116,"0")+IFERROR(X117/H117,"0")+IFERROR(X118/H118,"0")</f>
        <v/>
      </c>
      <c r="Y119" s="1223">
        <f>IFERROR(Y113/H113,"0")+IFERROR(Y114/H114,"0")+IFERROR(Y115/H115,"0")+IFERROR(Y116/H116,"0")+IFERROR(Y117/H117,"0")+IFERROR(Y118/H118,"0")</f>
        <v/>
      </c>
      <c r="Z119" s="1223">
        <f>IFERROR(IF(Z113="",0,Z113),"0")+IFERROR(IF(Z114="",0,Z114),"0")+IFERROR(IF(Z115="",0,Z115),"0")+IFERROR(IF(Z116="",0,Z116),"0")+IFERROR(IF(Z117="",0,Z117),"0")+IFERROR(IF(Z118="",0,Z118),"0")</f>
        <v/>
      </c>
      <c r="AA119" s="1224" t="n"/>
      <c r="AB119" s="1224" t="n"/>
      <c r="AC119" s="1224" t="n"/>
    </row>
    <row r="120">
      <c r="A120" s="790" t="n"/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1" t="n"/>
      <c r="P120" s="794" t="inlineStr">
        <is>
          <t>Итого</t>
        </is>
      </c>
      <c r="Q120" s="795" t="n"/>
      <c r="R120" s="795" t="n"/>
      <c r="S120" s="795" t="n"/>
      <c r="T120" s="795" t="n"/>
      <c r="U120" s="795" t="n"/>
      <c r="V120" s="796" t="n"/>
      <c r="W120" s="37" t="inlineStr">
        <is>
          <t>кг</t>
        </is>
      </c>
      <c r="X120" s="1223">
        <f>IFERROR(SUM(X113:X118),"0")</f>
        <v/>
      </c>
      <c r="Y120" s="1223">
        <f>IFERROR(SUM(Y113:Y118),"0")</f>
        <v/>
      </c>
      <c r="Z120" s="37" t="n"/>
      <c r="AA120" s="1224" t="n"/>
      <c r="AB120" s="1224" t="n"/>
      <c r="AC120" s="1224" t="n"/>
    </row>
    <row r="121" ht="16.5" customHeight="1">
      <c r="A121" s="828" t="inlineStr">
        <is>
          <t>Сливушка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828" t="n"/>
      <c r="AB121" s="828" t="n"/>
      <c r="AC121" s="828" t="n"/>
    </row>
    <row r="122" ht="14.25" customHeight="1">
      <c r="A122" s="797" t="inlineStr">
        <is>
          <t>Вареные колбасы</t>
        </is>
      </c>
      <c r="B122" s="790" t="n"/>
      <c r="C122" s="790" t="n"/>
      <c r="D122" s="790" t="n"/>
      <c r="E122" s="790" t="n"/>
      <c r="F122" s="790" t="n"/>
      <c r="G122" s="790" t="n"/>
      <c r="H122" s="790" t="n"/>
      <c r="I122" s="790" t="n"/>
      <c r="J122" s="790" t="n"/>
      <c r="K122" s="790" t="n"/>
      <c r="L122" s="790" t="n"/>
      <c r="M122" s="790" t="n"/>
      <c r="N122" s="790" t="n"/>
      <c r="O122" s="790" t="n"/>
      <c r="P122" s="790" t="n"/>
      <c r="Q122" s="790" t="n"/>
      <c r="R122" s="790" t="n"/>
      <c r="S122" s="790" t="n"/>
      <c r="T122" s="790" t="n"/>
      <c r="U122" s="790" t="n"/>
      <c r="V122" s="790" t="n"/>
      <c r="W122" s="790" t="n"/>
      <c r="X122" s="790" t="n"/>
      <c r="Y122" s="790" t="n"/>
      <c r="Z122" s="790" t="n"/>
      <c r="AA122" s="797" t="n"/>
      <c r="AB122" s="797" t="n"/>
      <c r="AC122" s="797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79" t="n">
        <v>4680115882133</v>
      </c>
      <c r="E123" s="780" t="n"/>
      <c r="F123" s="1220" t="n">
        <v>1.35</v>
      </c>
      <c r="G123" s="32" t="n">
        <v>8</v>
      </c>
      <c r="H123" s="1220" t="n">
        <v>10.8</v>
      </c>
      <c r="I123" s="1220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1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1" t="n">
        <v>0</v>
      </c>
      <c r="Y123" s="1222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79" t="n">
        <v>4680115882133</v>
      </c>
      <c r="E124" s="780" t="n"/>
      <c r="F124" s="1220" t="n">
        <v>1.4</v>
      </c>
      <c r="G124" s="32" t="n">
        <v>8</v>
      </c>
      <c r="H124" s="1220" t="n">
        <v>11.2</v>
      </c>
      <c r="I124" s="1220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1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1" t="n">
        <v>0</v>
      </c>
      <c r="Y124" s="1222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79" t="n">
        <v>4680115880269</v>
      </c>
      <c r="E125" s="780" t="n"/>
      <c r="F125" s="1220" t="n">
        <v>0.375</v>
      </c>
      <c r="G125" s="32" t="n">
        <v>10</v>
      </c>
      <c r="H125" s="1220" t="n">
        <v>3.75</v>
      </c>
      <c r="I125" s="1220" t="n">
        <v>3.96</v>
      </c>
      <c r="J125" s="32" t="n">
        <v>132</v>
      </c>
      <c r="K125" s="32" t="inlineStr">
        <is>
          <t>12</t>
        </is>
      </c>
      <c r="L125" s="32" t="inlineStr">
        <is>
          <t>Слой, мин. 1</t>
        </is>
      </c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1" t="n">
        <v>0</v>
      </c>
      <c r="Y125" s="1222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inlineStr">
        <is>
          <t>Слой</t>
        </is>
      </c>
      <c r="AK125" s="68" t="n">
        <v>45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79" t="n">
        <v>4680115880429</v>
      </c>
      <c r="E126" s="780" t="n"/>
      <c r="F126" s="1220" t="n">
        <v>0.45</v>
      </c>
      <c r="G126" s="32" t="n">
        <v>10</v>
      </c>
      <c r="H126" s="1220" t="n">
        <v>4.5</v>
      </c>
      <c r="I126" s="1220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1" t="n">
        <v>0</v>
      </c>
      <c r="Y126" s="1222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79" t="n">
        <v>4680115881457</v>
      </c>
      <c r="E127" s="780" t="n"/>
      <c r="F127" s="1220" t="n">
        <v>0.75</v>
      </c>
      <c r="G127" s="32" t="n">
        <v>6</v>
      </c>
      <c r="H127" s="1220" t="n">
        <v>4.5</v>
      </c>
      <c r="I127" s="1220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2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1" t="n">
        <v>0</v>
      </c>
      <c r="Y127" s="1222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>
      <c r="A128" s="789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4" t="inlineStr">
        <is>
          <t>Итого</t>
        </is>
      </c>
      <c r="Q128" s="795" t="n"/>
      <c r="R128" s="795" t="n"/>
      <c r="S128" s="795" t="n"/>
      <c r="T128" s="795" t="n"/>
      <c r="U128" s="795" t="n"/>
      <c r="V128" s="796" t="n"/>
      <c r="W128" s="37" t="inlineStr">
        <is>
          <t>кор</t>
        </is>
      </c>
      <c r="X128" s="1223">
        <f>IFERROR(X123/H123,"0")+IFERROR(X124/H124,"0")+IFERROR(X125/H125,"0")+IFERROR(X126/H126,"0")+IFERROR(X127/H127,"0")</f>
        <v/>
      </c>
      <c r="Y128" s="1223">
        <f>IFERROR(Y123/H123,"0")+IFERROR(Y124/H124,"0")+IFERROR(Y125/H125,"0")+IFERROR(Y126/H126,"0")+IFERROR(Y127/H127,"0")</f>
        <v/>
      </c>
      <c r="Z128" s="1223">
        <f>IFERROR(IF(Z123="",0,Z123),"0")+IFERROR(IF(Z124="",0,Z124),"0")+IFERROR(IF(Z125="",0,Z125),"0")+IFERROR(IF(Z126="",0,Z126),"0")+IFERROR(IF(Z127="",0,Z127),"0")</f>
        <v/>
      </c>
      <c r="AA128" s="1224" t="n"/>
      <c r="AB128" s="1224" t="n"/>
      <c r="AC128" s="1224" t="n"/>
    </row>
    <row r="129">
      <c r="A129" s="790" t="n"/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1" t="n"/>
      <c r="P129" s="794" t="inlineStr">
        <is>
          <t>Итого</t>
        </is>
      </c>
      <c r="Q129" s="795" t="n"/>
      <c r="R129" s="795" t="n"/>
      <c r="S129" s="795" t="n"/>
      <c r="T129" s="795" t="n"/>
      <c r="U129" s="795" t="n"/>
      <c r="V129" s="796" t="n"/>
      <c r="W129" s="37" t="inlineStr">
        <is>
          <t>кг</t>
        </is>
      </c>
      <c r="X129" s="1223">
        <f>IFERROR(SUM(X123:X127),"0")</f>
        <v/>
      </c>
      <c r="Y129" s="1223">
        <f>IFERROR(SUM(Y123:Y127),"0")</f>
        <v/>
      </c>
      <c r="Z129" s="37" t="n"/>
      <c r="AA129" s="1224" t="n"/>
      <c r="AB129" s="1224" t="n"/>
      <c r="AC129" s="1224" t="n"/>
    </row>
    <row r="130" ht="14.25" customHeight="1">
      <c r="A130" s="797" t="inlineStr">
        <is>
          <t>Ветчины</t>
        </is>
      </c>
      <c r="B130" s="790" t="n"/>
      <c r="C130" s="790" t="n"/>
      <c r="D130" s="790" t="n"/>
      <c r="E130" s="790" t="n"/>
      <c r="F130" s="790" t="n"/>
      <c r="G130" s="790" t="n"/>
      <c r="H130" s="790" t="n"/>
      <c r="I130" s="790" t="n"/>
      <c r="J130" s="790" t="n"/>
      <c r="K130" s="790" t="n"/>
      <c r="L130" s="790" t="n"/>
      <c r="M130" s="790" t="n"/>
      <c r="N130" s="790" t="n"/>
      <c r="O130" s="790" t="n"/>
      <c r="P130" s="790" t="n"/>
      <c r="Q130" s="790" t="n"/>
      <c r="R130" s="790" t="n"/>
      <c r="S130" s="790" t="n"/>
      <c r="T130" s="790" t="n"/>
      <c r="U130" s="790" t="n"/>
      <c r="V130" s="790" t="n"/>
      <c r="W130" s="790" t="n"/>
      <c r="X130" s="790" t="n"/>
      <c r="Y130" s="790" t="n"/>
      <c r="Z130" s="790" t="n"/>
      <c r="AA130" s="797" t="n"/>
      <c r="AB130" s="797" t="n"/>
      <c r="AC130" s="797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79" t="n">
        <v>4680115881488</v>
      </c>
      <c r="E131" s="780" t="n"/>
      <c r="F131" s="1220" t="n">
        <v>1.35</v>
      </c>
      <c r="G131" s="32" t="n">
        <v>8</v>
      </c>
      <c r="H131" s="1220" t="n">
        <v>10.8</v>
      </c>
      <c r="I131" s="1220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0">
        <f>HYPERLINK("https://abi.ru/products/Охлажденные/Вязанка/Сливушка/Ветчины/P004607/","Ветчины «Сливушка с индейкой» вес п/а ТМ «Вязанка»")</f>
        <v/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1" t="n">
        <v>0</v>
      </c>
      <c r="Y131" s="1222">
        <f>IFERROR(IF(X131="",0,CEILING((X131/$H131),1)*$H131),"")</f>
        <v/>
      </c>
      <c r="Z131" s="36">
        <f>IFERROR(IF(Y131=0,"",ROUNDUP(Y131/H131,0)*0.02175),"")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P003575</t>
        </is>
      </c>
      <c r="C132" s="31" t="n">
        <v>4301020258</v>
      </c>
      <c r="D132" s="779" t="n">
        <v>4680115882775</v>
      </c>
      <c r="E132" s="780" t="n"/>
      <c r="F132" s="1220" t="n">
        <v>0.3</v>
      </c>
      <c r="G132" s="32" t="n">
        <v>8</v>
      </c>
      <c r="H132" s="1220" t="n">
        <v>2.4</v>
      </c>
      <c r="I132" s="1220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СК3</t>
        </is>
      </c>
      <c r="N132" s="33" t="n"/>
      <c r="O132" s="32" t="n">
        <v>50</v>
      </c>
      <c r="P132" s="95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1" t="n">
        <v>0</v>
      </c>
      <c r="Y132" s="1222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Д-RU.РА06.В.80711/22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79" t="n">
        <v>4680115882775</v>
      </c>
      <c r="E133" s="780" t="n"/>
      <c r="F133" s="1220" t="n">
        <v>0.3</v>
      </c>
      <c r="G133" s="32" t="n">
        <v>8</v>
      </c>
      <c r="H133" s="1220" t="n">
        <v>2.4</v>
      </c>
      <c r="I133" s="1220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1" t="n">
        <v>0</v>
      </c>
      <c r="Y133" s="1222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79" t="n">
        <v>4680115880658</v>
      </c>
      <c r="E134" s="780" t="n"/>
      <c r="F134" s="1220" t="n">
        <v>0.4</v>
      </c>
      <c r="G134" s="32" t="n">
        <v>6</v>
      </c>
      <c r="H134" s="1220" t="n">
        <v>2.4</v>
      </c>
      <c r="I134" s="1220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4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1" t="n">
        <v>0</v>
      </c>
      <c r="Y134" s="1222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789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4" t="inlineStr">
        <is>
          <t>Итого</t>
        </is>
      </c>
      <c r="Q135" s="795" t="n"/>
      <c r="R135" s="795" t="n"/>
      <c r="S135" s="795" t="n"/>
      <c r="T135" s="795" t="n"/>
      <c r="U135" s="795" t="n"/>
      <c r="V135" s="796" t="n"/>
      <c r="W135" s="37" t="inlineStr">
        <is>
          <t>кор</t>
        </is>
      </c>
      <c r="X135" s="1223">
        <f>IFERROR(X131/H131,"0")+IFERROR(X132/H132,"0")+IFERROR(X133/H133,"0")+IFERROR(X134/H134,"0")</f>
        <v/>
      </c>
      <c r="Y135" s="1223">
        <f>IFERROR(Y131/H131,"0")+IFERROR(Y132/H132,"0")+IFERROR(Y133/H133,"0")+IFERROR(Y134/H134,"0")</f>
        <v/>
      </c>
      <c r="Z135" s="1223">
        <f>IFERROR(IF(Z131="",0,Z131),"0")+IFERROR(IF(Z132="",0,Z132),"0")+IFERROR(IF(Z133="",0,Z133),"0")+IFERROR(IF(Z134="",0,Z134),"0")</f>
        <v/>
      </c>
      <c r="AA135" s="1224" t="n"/>
      <c r="AB135" s="1224" t="n"/>
      <c r="AC135" s="1224" t="n"/>
    </row>
    <row r="136">
      <c r="A136" s="790" t="n"/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1" t="n"/>
      <c r="P136" s="794" t="inlineStr">
        <is>
          <t>Итого</t>
        </is>
      </c>
      <c r="Q136" s="795" t="n"/>
      <c r="R136" s="795" t="n"/>
      <c r="S136" s="795" t="n"/>
      <c r="T136" s="795" t="n"/>
      <c r="U136" s="795" t="n"/>
      <c r="V136" s="796" t="n"/>
      <c r="W136" s="37" t="inlineStr">
        <is>
          <t>кг</t>
        </is>
      </c>
      <c r="X136" s="1223">
        <f>IFERROR(SUM(X131:X134),"0")</f>
        <v/>
      </c>
      <c r="Y136" s="1223">
        <f>IFERROR(SUM(Y131:Y134),"0")</f>
        <v/>
      </c>
      <c r="Z136" s="37" t="n"/>
      <c r="AA136" s="1224" t="n"/>
      <c r="AB136" s="1224" t="n"/>
      <c r="AC136" s="1224" t="n"/>
    </row>
    <row r="137" ht="14.25" customHeight="1">
      <c r="A137" s="797" t="inlineStr">
        <is>
          <t>Сосиски</t>
        </is>
      </c>
      <c r="B137" s="790" t="n"/>
      <c r="C137" s="790" t="n"/>
      <c r="D137" s="790" t="n"/>
      <c r="E137" s="790" t="n"/>
      <c r="F137" s="790" t="n"/>
      <c r="G137" s="790" t="n"/>
      <c r="H137" s="790" t="n"/>
      <c r="I137" s="790" t="n"/>
      <c r="J137" s="790" t="n"/>
      <c r="K137" s="790" t="n"/>
      <c r="L137" s="790" t="n"/>
      <c r="M137" s="790" t="n"/>
      <c r="N137" s="790" t="n"/>
      <c r="O137" s="790" t="n"/>
      <c r="P137" s="790" t="n"/>
      <c r="Q137" s="790" t="n"/>
      <c r="R137" s="790" t="n"/>
      <c r="S137" s="790" t="n"/>
      <c r="T137" s="790" t="n"/>
      <c r="U137" s="790" t="n"/>
      <c r="V137" s="790" t="n"/>
      <c r="W137" s="790" t="n"/>
      <c r="X137" s="790" t="n"/>
      <c r="Y137" s="790" t="n"/>
      <c r="Z137" s="790" t="n"/>
      <c r="AA137" s="797" t="n"/>
      <c r="AB137" s="797" t="n"/>
      <c r="AC137" s="797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79" t="n">
        <v>4607091385168</v>
      </c>
      <c r="E138" s="780" t="n"/>
      <c r="F138" s="1220" t="n">
        <v>1.35</v>
      </c>
      <c r="G138" s="32" t="n">
        <v>6</v>
      </c>
      <c r="H138" s="1220" t="n">
        <v>8.1</v>
      </c>
      <c r="I138" s="1220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4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1" t="n">
        <v>0</v>
      </c>
      <c r="Y138" s="1222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79" t="n">
        <v>4607091385168</v>
      </c>
      <c r="E139" s="780" t="n"/>
      <c r="F139" s="1220" t="n">
        <v>1.4</v>
      </c>
      <c r="G139" s="32" t="n">
        <v>6</v>
      </c>
      <c r="H139" s="1220" t="n">
        <v>8.4</v>
      </c>
      <c r="I139" s="1220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1" t="n">
        <v>0</v>
      </c>
      <c r="Y139" s="1222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79" t="n">
        <v>4680115884540</v>
      </c>
      <c r="E140" s="780" t="n"/>
      <c r="F140" s="1220" t="n">
        <v>1.4</v>
      </c>
      <c r="G140" s="32" t="n">
        <v>6</v>
      </c>
      <c r="H140" s="1220" t="n">
        <v>8.4</v>
      </c>
      <c r="I140" s="1220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3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1" t="n">
        <v>0</v>
      </c>
      <c r="Y140" s="1222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79" t="n">
        <v>4607091383256</v>
      </c>
      <c r="E141" s="780" t="n"/>
      <c r="F141" s="1220" t="n">
        <v>0.33</v>
      </c>
      <c r="G141" s="32" t="n">
        <v>6</v>
      </c>
      <c r="H141" s="1220" t="n">
        <v>1.98</v>
      </c>
      <c r="I141" s="1220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5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1" t="n">
        <v>0</v>
      </c>
      <c r="Y141" s="1222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79" t="n">
        <v>4607091385748</v>
      </c>
      <c r="E142" s="780" t="n"/>
      <c r="F142" s="1220" t="n">
        <v>0.45</v>
      </c>
      <c r="G142" s="32" t="n">
        <v>6</v>
      </c>
      <c r="H142" s="1220" t="n">
        <v>2.7</v>
      </c>
      <c r="I142" s="1220" t="n">
        <v>2.952</v>
      </c>
      <c r="J142" s="32" t="n">
        <v>182</v>
      </c>
      <c r="K142" s="32" t="inlineStr">
        <is>
          <t>14</t>
        </is>
      </c>
      <c r="L142" s="32" t="inlineStr">
        <is>
          <t>Палетта, мин. 1</t>
        </is>
      </c>
      <c r="M142" s="33" t="inlineStr">
        <is>
          <t>СК3</t>
        </is>
      </c>
      <c r="N142" s="33" t="n"/>
      <c r="O142" s="32" t="n">
        <v>45</v>
      </c>
      <c r="P142" s="923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1" t="n">
        <v>0</v>
      </c>
      <c r="Y142" s="1222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inlineStr">
        <is>
          <t>Палетта</t>
        </is>
      </c>
      <c r="AK142" s="68" t="n">
        <v>491.4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79" t="n">
        <v>4680115884533</v>
      </c>
      <c r="E143" s="780" t="n"/>
      <c r="F143" s="1220" t="n">
        <v>0.3</v>
      </c>
      <c r="G143" s="32" t="n">
        <v>6</v>
      </c>
      <c r="H143" s="1220" t="n">
        <v>1.8</v>
      </c>
      <c r="I143" s="1220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4">
        <f>HYPERLINK("https://abi.ru/products/Охлажденные/Вязанка/Сливушка/Сосиски/P004116/","Сосиски «Сливушки по-венски» ф/в 0,3 п/а ТМ «Вязанка»")</f>
        <v/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1" t="n">
        <v>0</v>
      </c>
      <c r="Y143" s="1222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79" t="n">
        <v>4680115882645</v>
      </c>
      <c r="E144" s="780" t="n"/>
      <c r="F144" s="1220" t="n">
        <v>0.3</v>
      </c>
      <c r="G144" s="32" t="n">
        <v>6</v>
      </c>
      <c r="H144" s="1220" t="n">
        <v>1.8</v>
      </c>
      <c r="I144" s="1220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4">
        <f>HYPERLINK("https://abi.ru/products/Охлажденные/Вязанка/Сливушка/Сосиски/P003464/","Сосиски «Сливушки с сыром» ф/в 0,3 п/а ТМ «Вязанка»")</f>
        <v/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1" t="n">
        <v>0</v>
      </c>
      <c r="Y144" s="1222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789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4" t="inlineStr">
        <is>
          <t>Итого</t>
        </is>
      </c>
      <c r="Q145" s="795" t="n"/>
      <c r="R145" s="795" t="n"/>
      <c r="S145" s="795" t="n"/>
      <c r="T145" s="795" t="n"/>
      <c r="U145" s="795" t="n"/>
      <c r="V145" s="796" t="n"/>
      <c r="W145" s="37" t="inlineStr">
        <is>
          <t>кор</t>
        </is>
      </c>
      <c r="X145" s="1223">
        <f>IFERROR(X138/H138,"0")+IFERROR(X139/H139,"0")+IFERROR(X140/H140,"0")+IFERROR(X141/H141,"0")+IFERROR(X142/H142,"0")+IFERROR(X143/H143,"0")+IFERROR(X144/H144,"0")</f>
        <v/>
      </c>
      <c r="Y145" s="1223">
        <f>IFERROR(Y138/H138,"0")+IFERROR(Y139/H139,"0")+IFERROR(Y140/H140,"0")+IFERROR(Y141/H141,"0")+IFERROR(Y142/H142,"0")+IFERROR(Y143/H143,"0")+IFERROR(Y144/H144,"0")</f>
        <v/>
      </c>
      <c r="Z145" s="1223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24" t="n"/>
      <c r="AB145" s="1224" t="n"/>
      <c r="AC145" s="1224" t="n"/>
    </row>
    <row r="146">
      <c r="A146" s="790" t="n"/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1" t="n"/>
      <c r="P146" s="794" t="inlineStr">
        <is>
          <t>Итого</t>
        </is>
      </c>
      <c r="Q146" s="795" t="n"/>
      <c r="R146" s="795" t="n"/>
      <c r="S146" s="795" t="n"/>
      <c r="T146" s="795" t="n"/>
      <c r="U146" s="795" t="n"/>
      <c r="V146" s="796" t="n"/>
      <c r="W146" s="37" t="inlineStr">
        <is>
          <t>кг</t>
        </is>
      </c>
      <c r="X146" s="1223">
        <f>IFERROR(SUM(X138:X144),"0")</f>
        <v/>
      </c>
      <c r="Y146" s="1223">
        <f>IFERROR(SUM(Y138:Y144),"0")</f>
        <v/>
      </c>
      <c r="Z146" s="37" t="n"/>
      <c r="AA146" s="1224" t="n"/>
      <c r="AB146" s="1224" t="n"/>
      <c r="AC146" s="1224" t="n"/>
    </row>
    <row r="147" ht="14.25" customHeight="1">
      <c r="A147" s="797" t="inlineStr">
        <is>
          <t>Сардельки</t>
        </is>
      </c>
      <c r="B147" s="790" t="n"/>
      <c r="C147" s="790" t="n"/>
      <c r="D147" s="790" t="n"/>
      <c r="E147" s="790" t="n"/>
      <c r="F147" s="790" t="n"/>
      <c r="G147" s="790" t="n"/>
      <c r="H147" s="790" t="n"/>
      <c r="I147" s="790" t="n"/>
      <c r="J147" s="790" t="n"/>
      <c r="K147" s="790" t="n"/>
      <c r="L147" s="790" t="n"/>
      <c r="M147" s="790" t="n"/>
      <c r="N147" s="790" t="n"/>
      <c r="O147" s="790" t="n"/>
      <c r="P147" s="790" t="n"/>
      <c r="Q147" s="790" t="n"/>
      <c r="R147" s="790" t="n"/>
      <c r="S147" s="790" t="n"/>
      <c r="T147" s="790" t="n"/>
      <c r="U147" s="790" t="n"/>
      <c r="V147" s="790" t="n"/>
      <c r="W147" s="790" t="n"/>
      <c r="X147" s="790" t="n"/>
      <c r="Y147" s="790" t="n"/>
      <c r="Z147" s="790" t="n"/>
      <c r="AA147" s="797" t="n"/>
      <c r="AB147" s="797" t="n"/>
      <c r="AC147" s="797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79" t="n">
        <v>4680115882652</v>
      </c>
      <c r="E148" s="780" t="n"/>
      <c r="F148" s="1220" t="n">
        <v>0.33</v>
      </c>
      <c r="G148" s="32" t="n">
        <v>6</v>
      </c>
      <c r="H148" s="1220" t="n">
        <v>1.98</v>
      </c>
      <c r="I148" s="1220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9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1" t="n">
        <v>0</v>
      </c>
      <c r="Y148" s="1222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79" t="n">
        <v>4680115880238</v>
      </c>
      <c r="E149" s="780" t="n"/>
      <c r="F149" s="1220" t="n">
        <v>0.33</v>
      </c>
      <c r="G149" s="32" t="n">
        <v>6</v>
      </c>
      <c r="H149" s="1220" t="n">
        <v>1.98</v>
      </c>
      <c r="I149" s="1220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3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1" t="n">
        <v>0</v>
      </c>
      <c r="Y149" s="1222">
        <f>IFERROR(IF(X149="",0,CEILING((X149/$H149),1)*$H149),"")</f>
        <v/>
      </c>
      <c r="Z149" s="36">
        <f>IFERROR(IF(Y149=0,"",ROUNDUP(Y149/H149,0)*0.00651),"")</f>
        <v/>
      </c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789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4" t="inlineStr">
        <is>
          <t>Итого</t>
        </is>
      </c>
      <c r="Q150" s="795" t="n"/>
      <c r="R150" s="795" t="n"/>
      <c r="S150" s="795" t="n"/>
      <c r="T150" s="795" t="n"/>
      <c r="U150" s="795" t="n"/>
      <c r="V150" s="796" t="n"/>
      <c r="W150" s="37" t="inlineStr">
        <is>
          <t>кор</t>
        </is>
      </c>
      <c r="X150" s="1223">
        <f>IFERROR(X148/H148,"0")+IFERROR(X149/H149,"0")</f>
        <v/>
      </c>
      <c r="Y150" s="1223">
        <f>IFERROR(Y148/H148,"0")+IFERROR(Y149/H149,"0")</f>
        <v/>
      </c>
      <c r="Z150" s="1223">
        <f>IFERROR(IF(Z148="",0,Z148),"0")+IFERROR(IF(Z149="",0,Z149),"0")</f>
        <v/>
      </c>
      <c r="AA150" s="1224" t="n"/>
      <c r="AB150" s="1224" t="n"/>
      <c r="AC150" s="1224" t="n"/>
    </row>
    <row r="151">
      <c r="A151" s="790" t="n"/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1" t="n"/>
      <c r="P151" s="794" t="inlineStr">
        <is>
          <t>Итого</t>
        </is>
      </c>
      <c r="Q151" s="795" t="n"/>
      <c r="R151" s="795" t="n"/>
      <c r="S151" s="795" t="n"/>
      <c r="T151" s="795" t="n"/>
      <c r="U151" s="795" t="n"/>
      <c r="V151" s="796" t="n"/>
      <c r="W151" s="37" t="inlineStr">
        <is>
          <t>кг</t>
        </is>
      </c>
      <c r="X151" s="1223">
        <f>IFERROR(SUM(X148:X149),"0")</f>
        <v/>
      </c>
      <c r="Y151" s="1223">
        <f>IFERROR(SUM(Y148:Y149),"0")</f>
        <v/>
      </c>
      <c r="Z151" s="37" t="n"/>
      <c r="AA151" s="1224" t="n"/>
      <c r="AB151" s="1224" t="n"/>
      <c r="AC151" s="1224" t="n"/>
    </row>
    <row r="152" ht="16.5" customHeight="1">
      <c r="A152" s="828" t="inlineStr">
        <is>
          <t>Халяль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828" t="n"/>
      <c r="AB152" s="828" t="n"/>
      <c r="AC152" s="828" t="n"/>
    </row>
    <row r="153" ht="14.25" customHeight="1">
      <c r="A153" s="797" t="inlineStr">
        <is>
          <t>Вареные колбасы</t>
        </is>
      </c>
      <c r="B153" s="790" t="n"/>
      <c r="C153" s="790" t="n"/>
      <c r="D153" s="790" t="n"/>
      <c r="E153" s="790" t="n"/>
      <c r="F153" s="790" t="n"/>
      <c r="G153" s="790" t="n"/>
      <c r="H153" s="790" t="n"/>
      <c r="I153" s="790" t="n"/>
      <c r="J153" s="790" t="n"/>
      <c r="K153" s="790" t="n"/>
      <c r="L153" s="790" t="n"/>
      <c r="M153" s="790" t="n"/>
      <c r="N153" s="790" t="n"/>
      <c r="O153" s="790" t="n"/>
      <c r="P153" s="790" t="n"/>
      <c r="Q153" s="790" t="n"/>
      <c r="R153" s="790" t="n"/>
      <c r="S153" s="790" t="n"/>
      <c r="T153" s="790" t="n"/>
      <c r="U153" s="790" t="n"/>
      <c r="V153" s="790" t="n"/>
      <c r="W153" s="790" t="n"/>
      <c r="X153" s="790" t="n"/>
      <c r="Y153" s="790" t="n"/>
      <c r="Z153" s="790" t="n"/>
      <c r="AA153" s="797" t="n"/>
      <c r="AB153" s="797" t="n"/>
      <c r="AC153" s="797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79" t="n">
        <v>4680115882577</v>
      </c>
      <c r="E154" s="780" t="n"/>
      <c r="F154" s="1220" t="n">
        <v>0.4</v>
      </c>
      <c r="G154" s="32" t="n">
        <v>8</v>
      </c>
      <c r="H154" s="1220" t="n">
        <v>3.2</v>
      </c>
      <c r="I154" s="1220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4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1" t="n">
        <v>0</v>
      </c>
      <c r="Y154" s="1222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79" t="n">
        <v>4680115882577</v>
      </c>
      <c r="E155" s="780" t="n"/>
      <c r="F155" s="1220" t="n">
        <v>0.4</v>
      </c>
      <c r="G155" s="32" t="n">
        <v>8</v>
      </c>
      <c r="H155" s="1220" t="n">
        <v>3.2</v>
      </c>
      <c r="I155" s="1220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1" t="n">
        <v>0</v>
      </c>
      <c r="Y155" s="1222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4" t="inlineStr">
        <is>
          <t>Итого</t>
        </is>
      </c>
      <c r="Q156" s="795" t="n"/>
      <c r="R156" s="795" t="n"/>
      <c r="S156" s="795" t="n"/>
      <c r="T156" s="795" t="n"/>
      <c r="U156" s="795" t="n"/>
      <c r="V156" s="796" t="n"/>
      <c r="W156" s="37" t="inlineStr">
        <is>
          <t>кор</t>
        </is>
      </c>
      <c r="X156" s="1223">
        <f>IFERROR(X154/H154,"0")+IFERROR(X155/H155,"0")</f>
        <v/>
      </c>
      <c r="Y156" s="1223">
        <f>IFERROR(Y154/H154,"0")+IFERROR(Y155/H155,"0")</f>
        <v/>
      </c>
      <c r="Z156" s="1223">
        <f>IFERROR(IF(Z154="",0,Z154),"0")+IFERROR(IF(Z155="",0,Z155),"0")</f>
        <v/>
      </c>
      <c r="AA156" s="1224" t="n"/>
      <c r="AB156" s="1224" t="n"/>
      <c r="AC156" s="1224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4" t="inlineStr">
        <is>
          <t>Итого</t>
        </is>
      </c>
      <c r="Q157" s="795" t="n"/>
      <c r="R157" s="795" t="n"/>
      <c r="S157" s="795" t="n"/>
      <c r="T157" s="795" t="n"/>
      <c r="U157" s="795" t="n"/>
      <c r="V157" s="796" t="n"/>
      <c r="W157" s="37" t="inlineStr">
        <is>
          <t>кг</t>
        </is>
      </c>
      <c r="X157" s="1223">
        <f>IFERROR(SUM(X154:X155),"0")</f>
        <v/>
      </c>
      <c r="Y157" s="1223">
        <f>IFERROR(SUM(Y154:Y155),"0")</f>
        <v/>
      </c>
      <c r="Z157" s="37" t="n"/>
      <c r="AA157" s="1224" t="n"/>
      <c r="AB157" s="1224" t="n"/>
      <c r="AC157" s="1224" t="n"/>
    </row>
    <row r="158" ht="14.25" customHeight="1">
      <c r="A158" s="797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7" t="n"/>
      <c r="AB158" s="797" t="n"/>
      <c r="AC158" s="797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79" t="n">
        <v>4680115883444</v>
      </c>
      <c r="E159" s="780" t="n"/>
      <c r="F159" s="1220" t="n">
        <v>0.35</v>
      </c>
      <c r="G159" s="32" t="n">
        <v>8</v>
      </c>
      <c r="H159" s="1220" t="n">
        <v>2.8</v>
      </c>
      <c r="I159" s="1220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1" t="n">
        <v>0</v>
      </c>
      <c r="Y159" s="1222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79" t="n">
        <v>4680115883444</v>
      </c>
      <c r="E160" s="780" t="n"/>
      <c r="F160" s="1220" t="n">
        <v>0.35</v>
      </c>
      <c r="G160" s="32" t="n">
        <v>8</v>
      </c>
      <c r="H160" s="1220" t="n">
        <v>2.8</v>
      </c>
      <c r="I160" s="1220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1" t="n">
        <v>0</v>
      </c>
      <c r="Y160" s="1222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4" t="inlineStr">
        <is>
          <t>Итого</t>
        </is>
      </c>
      <c r="Q161" s="795" t="n"/>
      <c r="R161" s="795" t="n"/>
      <c r="S161" s="795" t="n"/>
      <c r="T161" s="795" t="n"/>
      <c r="U161" s="795" t="n"/>
      <c r="V161" s="796" t="n"/>
      <c r="W161" s="37" t="inlineStr">
        <is>
          <t>кор</t>
        </is>
      </c>
      <c r="X161" s="1223">
        <f>IFERROR(X159/H159,"0")+IFERROR(X160/H160,"0")</f>
        <v/>
      </c>
      <c r="Y161" s="1223">
        <f>IFERROR(Y159/H159,"0")+IFERROR(Y160/H160,"0")</f>
        <v/>
      </c>
      <c r="Z161" s="1223">
        <f>IFERROR(IF(Z159="",0,Z159),"0")+IFERROR(IF(Z160="",0,Z160),"0")</f>
        <v/>
      </c>
      <c r="AA161" s="1224" t="n"/>
      <c r="AB161" s="1224" t="n"/>
      <c r="AC161" s="1224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4" t="inlineStr">
        <is>
          <t>Итого</t>
        </is>
      </c>
      <c r="Q162" s="795" t="n"/>
      <c r="R162" s="795" t="n"/>
      <c r="S162" s="795" t="n"/>
      <c r="T162" s="795" t="n"/>
      <c r="U162" s="795" t="n"/>
      <c r="V162" s="796" t="n"/>
      <c r="W162" s="37" t="inlineStr">
        <is>
          <t>кг</t>
        </is>
      </c>
      <c r="X162" s="1223">
        <f>IFERROR(SUM(X159:X160),"0")</f>
        <v/>
      </c>
      <c r="Y162" s="1223">
        <f>IFERROR(SUM(Y159:Y160),"0")</f>
        <v/>
      </c>
      <c r="Z162" s="37" t="n"/>
      <c r="AA162" s="1224" t="n"/>
      <c r="AB162" s="1224" t="n"/>
      <c r="AC162" s="1224" t="n"/>
    </row>
    <row r="163" ht="14.25" customHeight="1">
      <c r="A163" s="797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7" t="n"/>
      <c r="AB163" s="797" t="n"/>
      <c r="AC163" s="797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79" t="n">
        <v>4680115882584</v>
      </c>
      <c r="E164" s="780" t="n"/>
      <c r="F164" s="1220" t="n">
        <v>0.33</v>
      </c>
      <c r="G164" s="32" t="n">
        <v>8</v>
      </c>
      <c r="H164" s="1220" t="n">
        <v>2.64</v>
      </c>
      <c r="I164" s="1220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5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1" t="n">
        <v>0</v>
      </c>
      <c r="Y164" s="1222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79" t="n">
        <v>4680115882584</v>
      </c>
      <c r="E165" s="780" t="n"/>
      <c r="F165" s="1220" t="n">
        <v>0.33</v>
      </c>
      <c r="G165" s="32" t="n">
        <v>8</v>
      </c>
      <c r="H165" s="1220" t="n">
        <v>2.64</v>
      </c>
      <c r="I165" s="1220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6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1" t="n">
        <v>0</v>
      </c>
      <c r="Y165" s="1222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4" t="inlineStr">
        <is>
          <t>Итого</t>
        </is>
      </c>
      <c r="Q166" s="795" t="n"/>
      <c r="R166" s="795" t="n"/>
      <c r="S166" s="795" t="n"/>
      <c r="T166" s="795" t="n"/>
      <c r="U166" s="795" t="n"/>
      <c r="V166" s="796" t="n"/>
      <c r="W166" s="37" t="inlineStr">
        <is>
          <t>кор</t>
        </is>
      </c>
      <c r="X166" s="1223">
        <f>IFERROR(X164/H164,"0")+IFERROR(X165/H165,"0")</f>
        <v/>
      </c>
      <c r="Y166" s="1223">
        <f>IFERROR(Y164/H164,"0")+IFERROR(Y165/H165,"0")</f>
        <v/>
      </c>
      <c r="Z166" s="1223">
        <f>IFERROR(IF(Z164="",0,Z164),"0")+IFERROR(IF(Z165="",0,Z165),"0")</f>
        <v/>
      </c>
      <c r="AA166" s="1224" t="n"/>
      <c r="AB166" s="1224" t="n"/>
      <c r="AC166" s="1224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4" t="inlineStr">
        <is>
          <t>Итого</t>
        </is>
      </c>
      <c r="Q167" s="795" t="n"/>
      <c r="R167" s="795" t="n"/>
      <c r="S167" s="795" t="n"/>
      <c r="T167" s="795" t="n"/>
      <c r="U167" s="795" t="n"/>
      <c r="V167" s="796" t="n"/>
      <c r="W167" s="37" t="inlineStr">
        <is>
          <t>кг</t>
        </is>
      </c>
      <c r="X167" s="1223">
        <f>IFERROR(SUM(X164:X165),"0")</f>
        <v/>
      </c>
      <c r="Y167" s="1223">
        <f>IFERROR(SUM(Y164:Y165),"0")</f>
        <v/>
      </c>
      <c r="Z167" s="37" t="n"/>
      <c r="AA167" s="1224" t="n"/>
      <c r="AB167" s="1224" t="n"/>
      <c r="AC167" s="1224" t="n"/>
    </row>
    <row r="168" ht="16.5" customHeight="1">
      <c r="A168" s="828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8" t="n"/>
      <c r="AB168" s="828" t="n"/>
      <c r="AC168" s="828" t="n"/>
    </row>
    <row r="169" ht="14.25" customHeight="1">
      <c r="A169" s="797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7" t="n"/>
      <c r="AB169" s="797" t="n"/>
      <c r="AC169" s="797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79" t="n">
        <v>4607091384604</v>
      </c>
      <c r="E170" s="780" t="n"/>
      <c r="F170" s="1220" t="n">
        <v>0.4</v>
      </c>
      <c r="G170" s="32" t="n">
        <v>10</v>
      </c>
      <c r="H170" s="1220" t="n">
        <v>4</v>
      </c>
      <c r="I170" s="1220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1" t="n">
        <v>0</v>
      </c>
      <c r="Y170" s="1222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4" t="inlineStr">
        <is>
          <t>Итого</t>
        </is>
      </c>
      <c r="Q171" s="795" t="n"/>
      <c r="R171" s="795" t="n"/>
      <c r="S171" s="795" t="n"/>
      <c r="T171" s="795" t="n"/>
      <c r="U171" s="795" t="n"/>
      <c r="V171" s="796" t="n"/>
      <c r="W171" s="37" t="inlineStr">
        <is>
          <t>кор</t>
        </is>
      </c>
      <c r="X171" s="1223">
        <f>IFERROR(X170/H170,"0")</f>
        <v/>
      </c>
      <c r="Y171" s="1223">
        <f>IFERROR(Y170/H170,"0")</f>
        <v/>
      </c>
      <c r="Z171" s="1223">
        <f>IFERROR(IF(Z170="",0,Z170),"0")</f>
        <v/>
      </c>
      <c r="AA171" s="1224" t="n"/>
      <c r="AB171" s="1224" t="n"/>
      <c r="AC171" s="1224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4" t="inlineStr">
        <is>
          <t>Итого</t>
        </is>
      </c>
      <c r="Q172" s="795" t="n"/>
      <c r="R172" s="795" t="n"/>
      <c r="S172" s="795" t="n"/>
      <c r="T172" s="795" t="n"/>
      <c r="U172" s="795" t="n"/>
      <c r="V172" s="796" t="n"/>
      <c r="W172" s="37" t="inlineStr">
        <is>
          <t>кг</t>
        </is>
      </c>
      <c r="X172" s="1223">
        <f>IFERROR(SUM(X170:X170),"0")</f>
        <v/>
      </c>
      <c r="Y172" s="1223">
        <f>IFERROR(SUM(Y170:Y170),"0")</f>
        <v/>
      </c>
      <c r="Z172" s="37" t="n"/>
      <c r="AA172" s="1224" t="n"/>
      <c r="AB172" s="1224" t="n"/>
      <c r="AC172" s="1224" t="n"/>
    </row>
    <row r="173" ht="14.25" customHeight="1">
      <c r="A173" s="797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7" t="n"/>
      <c r="AB173" s="797" t="n"/>
      <c r="AC173" s="797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79" t="n">
        <v>4607091387667</v>
      </c>
      <c r="E174" s="780" t="n"/>
      <c r="F174" s="1220" t="n">
        <v>0.9</v>
      </c>
      <c r="G174" s="32" t="n">
        <v>10</v>
      </c>
      <c r="H174" s="1220" t="n">
        <v>9</v>
      </c>
      <c r="I174" s="1220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1" t="n">
        <v>0</v>
      </c>
      <c r="Y174" s="1222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79" t="n">
        <v>4607091387636</v>
      </c>
      <c r="E175" s="780" t="n"/>
      <c r="F175" s="1220" t="n">
        <v>0.7</v>
      </c>
      <c r="G175" s="32" t="n">
        <v>6</v>
      </c>
      <c r="H175" s="1220" t="n">
        <v>4.2</v>
      </c>
      <c r="I175" s="1220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1" t="n">
        <v>0</v>
      </c>
      <c r="Y175" s="1222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79" t="n">
        <v>4607091382426</v>
      </c>
      <c r="E176" s="780" t="n"/>
      <c r="F176" s="1220" t="n">
        <v>0.9</v>
      </c>
      <c r="G176" s="32" t="n">
        <v>10</v>
      </c>
      <c r="H176" s="1220" t="n">
        <v>9</v>
      </c>
      <c r="I176" s="1220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1" t="n">
        <v>0</v>
      </c>
      <c r="Y176" s="1222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79" t="n">
        <v>4607091386547</v>
      </c>
      <c r="E177" s="780" t="n"/>
      <c r="F177" s="1220" t="n">
        <v>0.35</v>
      </c>
      <c r="G177" s="32" t="n">
        <v>8</v>
      </c>
      <c r="H177" s="1220" t="n">
        <v>2.8</v>
      </c>
      <c r="I177" s="1220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1" t="n">
        <v>0</v>
      </c>
      <c r="Y177" s="1222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79" t="n">
        <v>4607091382464</v>
      </c>
      <c r="E178" s="780" t="n"/>
      <c r="F178" s="1220" t="n">
        <v>0.35</v>
      </c>
      <c r="G178" s="32" t="n">
        <v>8</v>
      </c>
      <c r="H178" s="1220" t="n">
        <v>2.8</v>
      </c>
      <c r="I178" s="1220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1" t="n">
        <v>0</v>
      </c>
      <c r="Y178" s="1222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4" t="inlineStr">
        <is>
          <t>Итого</t>
        </is>
      </c>
      <c r="Q179" s="795" t="n"/>
      <c r="R179" s="795" t="n"/>
      <c r="S179" s="795" t="n"/>
      <c r="T179" s="795" t="n"/>
      <c r="U179" s="795" t="n"/>
      <c r="V179" s="796" t="n"/>
      <c r="W179" s="37" t="inlineStr">
        <is>
          <t>кор</t>
        </is>
      </c>
      <c r="X179" s="1223">
        <f>IFERROR(X174/H174,"0")+IFERROR(X175/H175,"0")+IFERROR(X176/H176,"0")+IFERROR(X177/H177,"0")+IFERROR(X178/H178,"0")</f>
        <v/>
      </c>
      <c r="Y179" s="1223">
        <f>IFERROR(Y174/H174,"0")+IFERROR(Y175/H175,"0")+IFERROR(Y176/H176,"0")+IFERROR(Y177/H177,"0")+IFERROR(Y178/H178,"0")</f>
        <v/>
      </c>
      <c r="Z179" s="1223">
        <f>IFERROR(IF(Z174="",0,Z174),"0")+IFERROR(IF(Z175="",0,Z175),"0")+IFERROR(IF(Z176="",0,Z176),"0")+IFERROR(IF(Z177="",0,Z177),"0")+IFERROR(IF(Z178="",0,Z178),"0")</f>
        <v/>
      </c>
      <c r="AA179" s="1224" t="n"/>
      <c r="AB179" s="1224" t="n"/>
      <c r="AC179" s="1224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4" t="inlineStr">
        <is>
          <t>Итого</t>
        </is>
      </c>
      <c r="Q180" s="795" t="n"/>
      <c r="R180" s="795" t="n"/>
      <c r="S180" s="795" t="n"/>
      <c r="T180" s="795" t="n"/>
      <c r="U180" s="795" t="n"/>
      <c r="V180" s="796" t="n"/>
      <c r="W180" s="37" t="inlineStr">
        <is>
          <t>кг</t>
        </is>
      </c>
      <c r="X180" s="1223">
        <f>IFERROR(SUM(X174:X178),"0")</f>
        <v/>
      </c>
      <c r="Y180" s="1223">
        <f>IFERROR(SUM(Y174:Y178),"0")</f>
        <v/>
      </c>
      <c r="Z180" s="37" t="n"/>
      <c r="AA180" s="1224" t="n"/>
      <c r="AB180" s="1224" t="n"/>
      <c r="AC180" s="1224" t="n"/>
    </row>
    <row r="181" ht="14.25" customHeight="1">
      <c r="A181" s="797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7" t="n"/>
      <c r="AB181" s="797" t="n"/>
      <c r="AC181" s="797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79" t="n">
        <v>4607091386264</v>
      </c>
      <c r="E182" s="780" t="n"/>
      <c r="F182" s="1220" t="n">
        <v>0.5</v>
      </c>
      <c r="G182" s="32" t="n">
        <v>6</v>
      </c>
      <c r="H182" s="1220" t="n">
        <v>3</v>
      </c>
      <c r="I182" s="1220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6">
        <f>HYPERLINK("https://abi.ru/products/Охлажденные/Вязанка/Вязанка/Сосиски/P003992/","Сосиски «Венские» Фикс.вес 0,5 п/а мгс ТМ «Вязанка»")</f>
        <v/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1" t="n">
        <v>0</v>
      </c>
      <c r="Y182" s="1222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79" t="n">
        <v>4607091385427</v>
      </c>
      <c r="E183" s="780" t="n"/>
      <c r="F183" s="1220" t="n">
        <v>0.5</v>
      </c>
      <c r="G183" s="32" t="n">
        <v>6</v>
      </c>
      <c r="H183" s="1220" t="n">
        <v>3</v>
      </c>
      <c r="I183" s="1220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9">
        <f>HYPERLINK("https://abi.ru/products/Охлажденные/Вязанка/Вязанка/Сосиски/P003030/","Сосиски Рубленые Вязанка Фикс.вес 0,5 п/а мгс Вязанка")</f>
        <v/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1" t="n">
        <v>0</v>
      </c>
      <c r="Y183" s="1222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4" t="inlineStr">
        <is>
          <t>Итого</t>
        </is>
      </c>
      <c r="Q184" s="795" t="n"/>
      <c r="R184" s="795" t="n"/>
      <c r="S184" s="795" t="n"/>
      <c r="T184" s="795" t="n"/>
      <c r="U184" s="795" t="n"/>
      <c r="V184" s="796" t="n"/>
      <c r="W184" s="37" t="inlineStr">
        <is>
          <t>кор</t>
        </is>
      </c>
      <c r="X184" s="1223">
        <f>IFERROR(X182/H182,"0")+IFERROR(X183/H183,"0")</f>
        <v/>
      </c>
      <c r="Y184" s="1223">
        <f>IFERROR(Y182/H182,"0")+IFERROR(Y183/H183,"0")</f>
        <v/>
      </c>
      <c r="Z184" s="1223">
        <f>IFERROR(IF(Z182="",0,Z182),"0")+IFERROR(IF(Z183="",0,Z183),"0")</f>
        <v/>
      </c>
      <c r="AA184" s="1224" t="n"/>
      <c r="AB184" s="1224" t="n"/>
      <c r="AC184" s="1224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4" t="inlineStr">
        <is>
          <t>Итого</t>
        </is>
      </c>
      <c r="Q185" s="795" t="n"/>
      <c r="R185" s="795" t="n"/>
      <c r="S185" s="795" t="n"/>
      <c r="T185" s="795" t="n"/>
      <c r="U185" s="795" t="n"/>
      <c r="V185" s="796" t="n"/>
      <c r="W185" s="37" t="inlineStr">
        <is>
          <t>кг</t>
        </is>
      </c>
      <c r="X185" s="1223">
        <f>IFERROR(SUM(X182:X183),"0")</f>
        <v/>
      </c>
      <c r="Y185" s="1223">
        <f>IFERROR(SUM(Y182:Y183),"0")</f>
        <v/>
      </c>
      <c r="Z185" s="37" t="n"/>
      <c r="AA185" s="1224" t="n"/>
      <c r="AB185" s="1224" t="n"/>
      <c r="AC185" s="1224" t="n"/>
    </row>
    <row r="186" ht="27.75" customHeight="1">
      <c r="A186" s="873" t="inlineStr">
        <is>
          <t>Стародворье</t>
        </is>
      </c>
      <c r="B186" s="874" t="n"/>
      <c r="C186" s="874" t="n"/>
      <c r="D186" s="874" t="n"/>
      <c r="E186" s="874" t="n"/>
      <c r="F186" s="874" t="n"/>
      <c r="G186" s="874" t="n"/>
      <c r="H186" s="874" t="n"/>
      <c r="I186" s="874" t="n"/>
      <c r="J186" s="874" t="n"/>
      <c r="K186" s="874" t="n"/>
      <c r="L186" s="874" t="n"/>
      <c r="M186" s="874" t="n"/>
      <c r="N186" s="874" t="n"/>
      <c r="O186" s="874" t="n"/>
      <c r="P186" s="874" t="n"/>
      <c r="Q186" s="874" t="n"/>
      <c r="R186" s="874" t="n"/>
      <c r="S186" s="874" t="n"/>
      <c r="T186" s="874" t="n"/>
      <c r="U186" s="874" t="n"/>
      <c r="V186" s="874" t="n"/>
      <c r="W186" s="874" t="n"/>
      <c r="X186" s="874" t="n"/>
      <c r="Y186" s="874" t="n"/>
      <c r="Z186" s="874" t="n"/>
      <c r="AA186" s="48" t="n"/>
      <c r="AB186" s="48" t="n"/>
      <c r="AC186" s="48" t="n"/>
    </row>
    <row r="187" ht="16.5" customHeight="1">
      <c r="A187" s="828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8" t="n"/>
      <c r="AB187" s="828" t="n"/>
      <c r="AC187" s="828" t="n"/>
    </row>
    <row r="188" ht="14.25" customHeight="1">
      <c r="A188" s="797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7" t="n"/>
      <c r="AB188" s="797" t="n"/>
      <c r="AC188" s="797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79" t="n">
        <v>4680115886223</v>
      </c>
      <c r="E189" s="780" t="n"/>
      <c r="F189" s="1220" t="n">
        <v>0.33</v>
      </c>
      <c r="G189" s="32" t="n">
        <v>6</v>
      </c>
      <c r="H189" s="1220" t="n">
        <v>1.98</v>
      </c>
      <c r="I189" s="1220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6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1" t="n">
        <v>0</v>
      </c>
      <c r="Y189" s="1222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4" t="inlineStr">
        <is>
          <t>Итого</t>
        </is>
      </c>
      <c r="Q190" s="795" t="n"/>
      <c r="R190" s="795" t="n"/>
      <c r="S190" s="795" t="n"/>
      <c r="T190" s="795" t="n"/>
      <c r="U190" s="795" t="n"/>
      <c r="V190" s="796" t="n"/>
      <c r="W190" s="37" t="inlineStr">
        <is>
          <t>кор</t>
        </is>
      </c>
      <c r="X190" s="1223">
        <f>IFERROR(X189/H189,"0")</f>
        <v/>
      </c>
      <c r="Y190" s="1223">
        <f>IFERROR(Y189/H189,"0")</f>
        <v/>
      </c>
      <c r="Z190" s="1223">
        <f>IFERROR(IF(Z189="",0,Z189),"0")</f>
        <v/>
      </c>
      <c r="AA190" s="1224" t="n"/>
      <c r="AB190" s="1224" t="n"/>
      <c r="AC190" s="1224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4" t="inlineStr">
        <is>
          <t>Итого</t>
        </is>
      </c>
      <c r="Q191" s="795" t="n"/>
      <c r="R191" s="795" t="n"/>
      <c r="S191" s="795" t="n"/>
      <c r="T191" s="795" t="n"/>
      <c r="U191" s="795" t="n"/>
      <c r="V191" s="796" t="n"/>
      <c r="W191" s="37" t="inlineStr">
        <is>
          <t>кг</t>
        </is>
      </c>
      <c r="X191" s="1223">
        <f>IFERROR(SUM(X189:X189),"0")</f>
        <v/>
      </c>
      <c r="Y191" s="1223">
        <f>IFERROR(SUM(Y189:Y189),"0")</f>
        <v/>
      </c>
      <c r="Z191" s="37" t="n"/>
      <c r="AA191" s="1224" t="n"/>
      <c r="AB191" s="1224" t="n"/>
      <c r="AC191" s="1224" t="n"/>
    </row>
    <row r="192" ht="14.25" customHeight="1">
      <c r="A192" s="797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7" t="n"/>
      <c r="AB192" s="797" t="n"/>
      <c r="AC192" s="797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79" t="n">
        <v>4680115880993</v>
      </c>
      <c r="E193" s="780" t="n"/>
      <c r="F193" s="1220" t="n">
        <v>0.7</v>
      </c>
      <c r="G193" s="32" t="n">
        <v>6</v>
      </c>
      <c r="H193" s="1220" t="n">
        <v>4.2</v>
      </c>
      <c r="I193" s="1220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1" t="n">
        <v>0</v>
      </c>
      <c r="Y193" s="1222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79" t="n">
        <v>4680115881761</v>
      </c>
      <c r="E194" s="780" t="n"/>
      <c r="F194" s="1220" t="n">
        <v>0.7</v>
      </c>
      <c r="G194" s="32" t="n">
        <v>6</v>
      </c>
      <c r="H194" s="1220" t="n">
        <v>4.2</v>
      </c>
      <c r="I194" s="1220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1" t="n">
        <v>0</v>
      </c>
      <c r="Y194" s="1222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79" t="n">
        <v>4680115881563</v>
      </c>
      <c r="E195" s="780" t="n"/>
      <c r="F195" s="1220" t="n">
        <v>0.7</v>
      </c>
      <c r="G195" s="32" t="n">
        <v>6</v>
      </c>
      <c r="H195" s="1220" t="n">
        <v>4.2</v>
      </c>
      <c r="I195" s="1220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1" t="n">
        <v>0</v>
      </c>
      <c r="Y195" s="1222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79" t="n">
        <v>4680115880986</v>
      </c>
      <c r="E196" s="780" t="n"/>
      <c r="F196" s="1220" t="n">
        <v>0.35</v>
      </c>
      <c r="G196" s="32" t="n">
        <v>6</v>
      </c>
      <c r="H196" s="1220" t="n">
        <v>2.1</v>
      </c>
      <c r="I196" s="1220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1" t="n">
        <v>0</v>
      </c>
      <c r="Y196" s="1222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79" t="n">
        <v>4680115881785</v>
      </c>
      <c r="E197" s="780" t="n"/>
      <c r="F197" s="1220" t="n">
        <v>0.35</v>
      </c>
      <c r="G197" s="32" t="n">
        <v>6</v>
      </c>
      <c r="H197" s="1220" t="n">
        <v>2.1</v>
      </c>
      <c r="I197" s="1220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1" t="n">
        <v>0</v>
      </c>
      <c r="Y197" s="1222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79" t="n">
        <v>4680115881679</v>
      </c>
      <c r="E198" s="780" t="n"/>
      <c r="F198" s="1220" t="n">
        <v>0.35</v>
      </c>
      <c r="G198" s="32" t="n">
        <v>6</v>
      </c>
      <c r="H198" s="1220" t="n">
        <v>2.1</v>
      </c>
      <c r="I198" s="1220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1" t="n">
        <v>0</v>
      </c>
      <c r="Y198" s="1222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79" t="n">
        <v>4680115880191</v>
      </c>
      <c r="E199" s="780" t="n"/>
      <c r="F199" s="1220" t="n">
        <v>0.4</v>
      </c>
      <c r="G199" s="32" t="n">
        <v>6</v>
      </c>
      <c r="H199" s="1220" t="n">
        <v>2.4</v>
      </c>
      <c r="I199" s="1220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7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1" t="n">
        <v>0</v>
      </c>
      <c r="Y199" s="1222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79" t="n">
        <v>4680115883963</v>
      </c>
      <c r="E200" s="780" t="n"/>
      <c r="F200" s="1220" t="n">
        <v>0.28</v>
      </c>
      <c r="G200" s="32" t="n">
        <v>6</v>
      </c>
      <c r="H200" s="1220" t="n">
        <v>1.68</v>
      </c>
      <c r="I200" s="1220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1" t="n">
        <v>0</v>
      </c>
      <c r="Y200" s="1222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4" t="inlineStr">
        <is>
          <t>Итого</t>
        </is>
      </c>
      <c r="Q201" s="795" t="n"/>
      <c r="R201" s="795" t="n"/>
      <c r="S201" s="795" t="n"/>
      <c r="T201" s="795" t="n"/>
      <c r="U201" s="795" t="n"/>
      <c r="V201" s="796" t="n"/>
      <c r="W201" s="37" t="inlineStr">
        <is>
          <t>кор</t>
        </is>
      </c>
      <c r="X201" s="1223">
        <f>IFERROR(X193/H193,"0")+IFERROR(X194/H194,"0")+IFERROR(X195/H195,"0")+IFERROR(X196/H196,"0")+IFERROR(X197/H197,"0")+IFERROR(X198/H198,"0")+IFERROR(X199/H199,"0")+IFERROR(X200/H200,"0")</f>
        <v/>
      </c>
      <c r="Y201" s="1223">
        <f>IFERROR(Y193/H193,"0")+IFERROR(Y194/H194,"0")+IFERROR(Y195/H195,"0")+IFERROR(Y196/H196,"0")+IFERROR(Y197/H197,"0")+IFERROR(Y198/H198,"0")+IFERROR(Y199/H199,"0")+IFERROR(Y200/H200,"0")</f>
        <v/>
      </c>
      <c r="Z201" s="122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4" t="n"/>
      <c r="AB201" s="1224" t="n"/>
      <c r="AC201" s="1224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4" t="inlineStr">
        <is>
          <t>Итого</t>
        </is>
      </c>
      <c r="Q202" s="795" t="n"/>
      <c r="R202" s="795" t="n"/>
      <c r="S202" s="795" t="n"/>
      <c r="T202" s="795" t="n"/>
      <c r="U202" s="795" t="n"/>
      <c r="V202" s="796" t="n"/>
      <c r="W202" s="37" t="inlineStr">
        <is>
          <t>кг</t>
        </is>
      </c>
      <c r="X202" s="1223">
        <f>IFERROR(SUM(X193:X200),"0")</f>
        <v/>
      </c>
      <c r="Y202" s="1223">
        <f>IFERROR(SUM(Y193:Y200),"0")</f>
        <v/>
      </c>
      <c r="Z202" s="37" t="n"/>
      <c r="AA202" s="1224" t="n"/>
      <c r="AB202" s="1224" t="n"/>
      <c r="AC202" s="1224" t="n"/>
    </row>
    <row r="203" ht="16.5" customHeight="1">
      <c r="A203" s="828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8" t="n"/>
      <c r="AB203" s="828" t="n"/>
      <c r="AC203" s="828" t="n"/>
    </row>
    <row r="204" ht="14.25" customHeight="1">
      <c r="A204" s="797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7" t="n"/>
      <c r="AB204" s="797" t="n"/>
      <c r="AC204" s="797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79" t="n">
        <v>4680115881402</v>
      </c>
      <c r="E205" s="780" t="n"/>
      <c r="F205" s="1220" t="n">
        <v>1.35</v>
      </c>
      <c r="G205" s="32" t="n">
        <v>8</v>
      </c>
      <c r="H205" s="1220" t="n">
        <v>10.8</v>
      </c>
      <c r="I205" s="1220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1" t="n">
        <v>0</v>
      </c>
      <c r="Y205" s="1222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79" t="n">
        <v>4680115881396</v>
      </c>
      <c r="E206" s="780" t="n"/>
      <c r="F206" s="1220" t="n">
        <v>0.45</v>
      </c>
      <c r="G206" s="32" t="n">
        <v>6</v>
      </c>
      <c r="H206" s="1220" t="n">
        <v>2.7</v>
      </c>
      <c r="I206" s="1220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1" t="n">
        <v>0</v>
      </c>
      <c r="Y206" s="1222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4" t="inlineStr">
        <is>
          <t>Итого</t>
        </is>
      </c>
      <c r="Q207" s="795" t="n"/>
      <c r="R207" s="795" t="n"/>
      <c r="S207" s="795" t="n"/>
      <c r="T207" s="795" t="n"/>
      <c r="U207" s="795" t="n"/>
      <c r="V207" s="796" t="n"/>
      <c r="W207" s="37" t="inlineStr">
        <is>
          <t>кор</t>
        </is>
      </c>
      <c r="X207" s="1223">
        <f>IFERROR(X205/H205,"0")+IFERROR(X206/H206,"0")</f>
        <v/>
      </c>
      <c r="Y207" s="1223">
        <f>IFERROR(Y205/H205,"0")+IFERROR(Y206/H206,"0")</f>
        <v/>
      </c>
      <c r="Z207" s="1223">
        <f>IFERROR(IF(Z205="",0,Z205),"0")+IFERROR(IF(Z206="",0,Z206),"0")</f>
        <v/>
      </c>
      <c r="AA207" s="1224" t="n"/>
      <c r="AB207" s="1224" t="n"/>
      <c r="AC207" s="1224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4" t="inlineStr">
        <is>
          <t>Итого</t>
        </is>
      </c>
      <c r="Q208" s="795" t="n"/>
      <c r="R208" s="795" t="n"/>
      <c r="S208" s="795" t="n"/>
      <c r="T208" s="795" t="n"/>
      <c r="U208" s="795" t="n"/>
      <c r="V208" s="796" t="n"/>
      <c r="W208" s="37" t="inlineStr">
        <is>
          <t>кг</t>
        </is>
      </c>
      <c r="X208" s="1223">
        <f>IFERROR(SUM(X205:X206),"0")</f>
        <v/>
      </c>
      <c r="Y208" s="1223">
        <f>IFERROR(SUM(Y205:Y206),"0")</f>
        <v/>
      </c>
      <c r="Z208" s="37" t="n"/>
      <c r="AA208" s="1224" t="n"/>
      <c r="AB208" s="1224" t="n"/>
      <c r="AC208" s="1224" t="n"/>
    </row>
    <row r="209" ht="14.25" customHeight="1">
      <c r="A209" s="797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7" t="n"/>
      <c r="AB209" s="797" t="n"/>
      <c r="AC209" s="797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79" t="n">
        <v>4680115882935</v>
      </c>
      <c r="E210" s="780" t="n"/>
      <c r="F210" s="1220" t="n">
        <v>1.35</v>
      </c>
      <c r="G210" s="32" t="n">
        <v>8</v>
      </c>
      <c r="H210" s="1220" t="n">
        <v>10.8</v>
      </c>
      <c r="I210" s="1220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1" t="n">
        <v>0</v>
      </c>
      <c r="Y210" s="1222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79" t="n">
        <v>4680115880764</v>
      </c>
      <c r="E211" s="780" t="n"/>
      <c r="F211" s="1220" t="n">
        <v>0.35</v>
      </c>
      <c r="G211" s="32" t="n">
        <v>6</v>
      </c>
      <c r="H211" s="1220" t="n">
        <v>2.1</v>
      </c>
      <c r="I211" s="1220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1" t="n">
        <v>0</v>
      </c>
      <c r="Y211" s="1222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4" t="inlineStr">
        <is>
          <t>Итого</t>
        </is>
      </c>
      <c r="Q212" s="795" t="n"/>
      <c r="R212" s="795" t="n"/>
      <c r="S212" s="795" t="n"/>
      <c r="T212" s="795" t="n"/>
      <c r="U212" s="795" t="n"/>
      <c r="V212" s="796" t="n"/>
      <c r="W212" s="37" t="inlineStr">
        <is>
          <t>кор</t>
        </is>
      </c>
      <c r="X212" s="1223">
        <f>IFERROR(X210/H210,"0")+IFERROR(X211/H211,"0")</f>
        <v/>
      </c>
      <c r="Y212" s="1223">
        <f>IFERROR(Y210/H210,"0")+IFERROR(Y211/H211,"0")</f>
        <v/>
      </c>
      <c r="Z212" s="1223">
        <f>IFERROR(IF(Z210="",0,Z210),"0")+IFERROR(IF(Z211="",0,Z211),"0")</f>
        <v/>
      </c>
      <c r="AA212" s="1224" t="n"/>
      <c r="AB212" s="1224" t="n"/>
      <c r="AC212" s="1224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4" t="inlineStr">
        <is>
          <t>Итого</t>
        </is>
      </c>
      <c r="Q213" s="795" t="n"/>
      <c r="R213" s="795" t="n"/>
      <c r="S213" s="795" t="n"/>
      <c r="T213" s="795" t="n"/>
      <c r="U213" s="795" t="n"/>
      <c r="V213" s="796" t="n"/>
      <c r="W213" s="37" t="inlineStr">
        <is>
          <t>кг</t>
        </is>
      </c>
      <c r="X213" s="1223">
        <f>IFERROR(SUM(X210:X211),"0")</f>
        <v/>
      </c>
      <c r="Y213" s="1223">
        <f>IFERROR(SUM(Y210:Y211),"0")</f>
        <v/>
      </c>
      <c r="Z213" s="37" t="n"/>
      <c r="AA213" s="1224" t="n"/>
      <c r="AB213" s="1224" t="n"/>
      <c r="AC213" s="1224" t="n"/>
    </row>
    <row r="214" ht="14.25" customHeight="1">
      <c r="A214" s="797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7" t="n"/>
      <c r="AB214" s="797" t="n"/>
      <c r="AC214" s="797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79" t="n">
        <v>4680115882683</v>
      </c>
      <c r="E215" s="780" t="n"/>
      <c r="F215" s="1220" t="n">
        <v>0.9</v>
      </c>
      <c r="G215" s="32" t="n">
        <v>6</v>
      </c>
      <c r="H215" s="1220" t="n">
        <v>5.4</v>
      </c>
      <c r="I215" s="1220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1" t="n">
        <v>0</v>
      </c>
      <c r="Y215" s="1222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79" t="n">
        <v>4680115882690</v>
      </c>
      <c r="E216" s="780" t="n"/>
      <c r="F216" s="1220" t="n">
        <v>0.9</v>
      </c>
      <c r="G216" s="32" t="n">
        <v>6</v>
      </c>
      <c r="H216" s="1220" t="n">
        <v>5.4</v>
      </c>
      <c r="I216" s="1220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1" t="n">
        <v>0</v>
      </c>
      <c r="Y216" s="1222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79" t="n">
        <v>4680115882669</v>
      </c>
      <c r="E217" s="780" t="n"/>
      <c r="F217" s="1220" t="n">
        <v>0.9</v>
      </c>
      <c r="G217" s="32" t="n">
        <v>6</v>
      </c>
      <c r="H217" s="1220" t="n">
        <v>5.4</v>
      </c>
      <c r="I217" s="1220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1" t="n">
        <v>0</v>
      </c>
      <c r="Y217" s="1222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79" t="n">
        <v>4680115882676</v>
      </c>
      <c r="E218" s="780" t="n"/>
      <c r="F218" s="1220" t="n">
        <v>0.9</v>
      </c>
      <c r="G218" s="32" t="n">
        <v>6</v>
      </c>
      <c r="H218" s="1220" t="n">
        <v>5.4</v>
      </c>
      <c r="I218" s="1220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1" t="n">
        <v>0</v>
      </c>
      <c r="Y218" s="1222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79" t="n">
        <v>4680115884014</v>
      </c>
      <c r="E219" s="780" t="n"/>
      <c r="F219" s="1220" t="n">
        <v>0.3</v>
      </c>
      <c r="G219" s="32" t="n">
        <v>6</v>
      </c>
      <c r="H219" s="1220" t="n">
        <v>1.8</v>
      </c>
      <c r="I219" s="1220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1" t="n">
        <v>0</v>
      </c>
      <c r="Y219" s="1222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79" t="n">
        <v>4680115884007</v>
      </c>
      <c r="E220" s="780" t="n"/>
      <c r="F220" s="1220" t="n">
        <v>0.3</v>
      </c>
      <c r="G220" s="32" t="n">
        <v>6</v>
      </c>
      <c r="H220" s="1220" t="n">
        <v>1.8</v>
      </c>
      <c r="I220" s="1220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1" t="n">
        <v>0</v>
      </c>
      <c r="Y220" s="1222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79" t="n">
        <v>4680115884038</v>
      </c>
      <c r="E221" s="780" t="n"/>
      <c r="F221" s="1220" t="n">
        <v>0.3</v>
      </c>
      <c r="G221" s="32" t="n">
        <v>6</v>
      </c>
      <c r="H221" s="1220" t="n">
        <v>1.8</v>
      </c>
      <c r="I221" s="1220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1" t="n">
        <v>0</v>
      </c>
      <c r="Y221" s="1222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79" t="n">
        <v>4680115884021</v>
      </c>
      <c r="E222" s="780" t="n"/>
      <c r="F222" s="1220" t="n">
        <v>0.3</v>
      </c>
      <c r="G222" s="32" t="n">
        <v>6</v>
      </c>
      <c r="H222" s="1220" t="n">
        <v>1.8</v>
      </c>
      <c r="I222" s="1220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1" t="n">
        <v>0</v>
      </c>
      <c r="Y222" s="1222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4" t="inlineStr">
        <is>
          <t>Итого</t>
        </is>
      </c>
      <c r="Q223" s="795" t="n"/>
      <c r="R223" s="795" t="n"/>
      <c r="S223" s="795" t="n"/>
      <c r="T223" s="795" t="n"/>
      <c r="U223" s="795" t="n"/>
      <c r="V223" s="796" t="n"/>
      <c r="W223" s="37" t="inlineStr">
        <is>
          <t>кор</t>
        </is>
      </c>
      <c r="X223" s="1223">
        <f>IFERROR(X215/H215,"0")+IFERROR(X216/H216,"0")+IFERROR(X217/H217,"0")+IFERROR(X218/H218,"0")+IFERROR(X219/H219,"0")+IFERROR(X220/H220,"0")+IFERROR(X221/H221,"0")+IFERROR(X222/H222,"0")</f>
        <v/>
      </c>
      <c r="Y223" s="1223">
        <f>IFERROR(Y215/H215,"0")+IFERROR(Y216/H216,"0")+IFERROR(Y217/H217,"0")+IFERROR(Y218/H218,"0")+IFERROR(Y219/H219,"0")+IFERROR(Y220/H220,"0")+IFERROR(Y221/H221,"0")+IFERROR(Y222/H222,"0")</f>
        <v/>
      </c>
      <c r="Z223" s="122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4" t="n"/>
      <c r="AB223" s="1224" t="n"/>
      <c r="AC223" s="1224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4" t="inlineStr">
        <is>
          <t>Итого</t>
        </is>
      </c>
      <c r="Q224" s="795" t="n"/>
      <c r="R224" s="795" t="n"/>
      <c r="S224" s="795" t="n"/>
      <c r="T224" s="795" t="n"/>
      <c r="U224" s="795" t="n"/>
      <c r="V224" s="796" t="n"/>
      <c r="W224" s="37" t="inlineStr">
        <is>
          <t>кг</t>
        </is>
      </c>
      <c r="X224" s="1223">
        <f>IFERROR(SUM(X215:X222),"0")</f>
        <v/>
      </c>
      <c r="Y224" s="1223">
        <f>IFERROR(SUM(Y215:Y222),"0")</f>
        <v/>
      </c>
      <c r="Z224" s="37" t="n"/>
      <c r="AA224" s="1224" t="n"/>
      <c r="AB224" s="1224" t="n"/>
      <c r="AC224" s="1224" t="n"/>
    </row>
    <row r="225" ht="14.25" customHeight="1">
      <c r="A225" s="797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7" t="n"/>
      <c r="AB225" s="797" t="n"/>
      <c r="AC225" s="797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79" t="n">
        <v>4680115881594</v>
      </c>
      <c r="E226" s="780" t="n"/>
      <c r="F226" s="1220" t="n">
        <v>1.35</v>
      </c>
      <c r="G226" s="32" t="n">
        <v>6</v>
      </c>
      <c r="H226" s="1220" t="n">
        <v>8.1</v>
      </c>
      <c r="I226" s="1220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1" t="n">
        <v>0</v>
      </c>
      <c r="Y226" s="1222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79" t="n">
        <v>4680115880962</v>
      </c>
      <c r="E227" s="780" t="n"/>
      <c r="F227" s="1220" t="n">
        <v>1.3</v>
      </c>
      <c r="G227" s="32" t="n">
        <v>6</v>
      </c>
      <c r="H227" s="1220" t="n">
        <v>7.8</v>
      </c>
      <c r="I227" s="1220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8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1" t="n">
        <v>0</v>
      </c>
      <c r="Y227" s="1222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79" t="n">
        <v>4680115881617</v>
      </c>
      <c r="E228" s="780" t="n"/>
      <c r="F228" s="1220" t="n">
        <v>1.35</v>
      </c>
      <c r="G228" s="32" t="n">
        <v>6</v>
      </c>
      <c r="H228" s="1220" t="n">
        <v>8.1</v>
      </c>
      <c r="I228" s="1220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8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1" t="n">
        <v>0</v>
      </c>
      <c r="Y228" s="1222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79" t="n">
        <v>4680115880573</v>
      </c>
      <c r="E229" s="780" t="n"/>
      <c r="F229" s="1220" t="n">
        <v>1.45</v>
      </c>
      <c r="G229" s="32" t="n">
        <v>6</v>
      </c>
      <c r="H229" s="1220" t="n">
        <v>8.699999999999999</v>
      </c>
      <c r="I229" s="1220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0">
        <f>HYPERLINK("https://abi.ru/products/Охлажденные/Стародворье/Сочинка/Сосиски/P003959/","Сосиски «Сочинки» Весовой п/а ТМ «Стародворье»")</f>
        <v/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1" t="n">
        <v>0</v>
      </c>
      <c r="Y229" s="1222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79" t="n">
        <v>4680115882195</v>
      </c>
      <c r="E230" s="780" t="n"/>
      <c r="F230" s="1220" t="n">
        <v>0.4</v>
      </c>
      <c r="G230" s="32" t="n">
        <v>6</v>
      </c>
      <c r="H230" s="1220" t="n">
        <v>2.4</v>
      </c>
      <c r="I230" s="1220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1" t="n">
        <v>0</v>
      </c>
      <c r="Y230" s="1222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79" t="n">
        <v>4680115882607</v>
      </c>
      <c r="E231" s="780" t="n"/>
      <c r="F231" s="1220" t="n">
        <v>0.3</v>
      </c>
      <c r="G231" s="32" t="n">
        <v>6</v>
      </c>
      <c r="H231" s="1220" t="n">
        <v>1.8</v>
      </c>
      <c r="I231" s="1220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1" t="n">
        <v>0</v>
      </c>
      <c r="Y231" s="1222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79" t="n">
        <v>4680115880092</v>
      </c>
      <c r="E232" s="780" t="n"/>
      <c r="F232" s="1220" t="n">
        <v>0.4</v>
      </c>
      <c r="G232" s="32" t="n">
        <v>6</v>
      </c>
      <c r="H232" s="1220" t="n">
        <v>2.4</v>
      </c>
      <c r="I232" s="1220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1" t="n">
        <v>0</v>
      </c>
      <c r="Y232" s="1222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79" t="n">
        <v>4680115880221</v>
      </c>
      <c r="E233" s="780" t="n"/>
      <c r="F233" s="1220" t="n">
        <v>0.4</v>
      </c>
      <c r="G233" s="32" t="n">
        <v>6</v>
      </c>
      <c r="H233" s="1220" t="n">
        <v>2.4</v>
      </c>
      <c r="I233" s="1220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1" t="n">
        <v>0</v>
      </c>
      <c r="Y233" s="1222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79" t="n">
        <v>4680115882942</v>
      </c>
      <c r="E234" s="780" t="n"/>
      <c r="F234" s="1220" t="n">
        <v>0.3</v>
      </c>
      <c r="G234" s="32" t="n">
        <v>6</v>
      </c>
      <c r="H234" s="1220" t="n">
        <v>1.8</v>
      </c>
      <c r="I234" s="1220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4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1" t="n">
        <v>0</v>
      </c>
      <c r="Y234" s="1222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79" t="n">
        <v>4680115880504</v>
      </c>
      <c r="E235" s="780" t="n"/>
      <c r="F235" s="1220" t="n">
        <v>0.4</v>
      </c>
      <c r="G235" s="32" t="n">
        <v>6</v>
      </c>
      <c r="H235" s="1220" t="n">
        <v>2.4</v>
      </c>
      <c r="I235" s="1220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1" t="n">
        <v>0</v>
      </c>
      <c r="Y235" s="1222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79" t="n">
        <v>4680115882164</v>
      </c>
      <c r="E236" s="780" t="n"/>
      <c r="F236" s="1220" t="n">
        <v>0.4</v>
      </c>
      <c r="G236" s="32" t="n">
        <v>6</v>
      </c>
      <c r="H236" s="1220" t="n">
        <v>2.4</v>
      </c>
      <c r="I236" s="1220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1" t="n">
        <v>0</v>
      </c>
      <c r="Y236" s="1222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4" t="inlineStr">
        <is>
          <t>Итого</t>
        </is>
      </c>
      <c r="Q237" s="795" t="n"/>
      <c r="R237" s="795" t="n"/>
      <c r="S237" s="795" t="n"/>
      <c r="T237" s="795" t="n"/>
      <c r="U237" s="795" t="n"/>
      <c r="V237" s="796" t="n"/>
      <c r="W237" s="37" t="inlineStr">
        <is>
          <t>кор</t>
        </is>
      </c>
      <c r="X237" s="122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4" t="n"/>
      <c r="AB237" s="1224" t="n"/>
      <c r="AC237" s="1224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4" t="inlineStr">
        <is>
          <t>Итого</t>
        </is>
      </c>
      <c r="Q238" s="795" t="n"/>
      <c r="R238" s="795" t="n"/>
      <c r="S238" s="795" t="n"/>
      <c r="T238" s="795" t="n"/>
      <c r="U238" s="795" t="n"/>
      <c r="V238" s="796" t="n"/>
      <c r="W238" s="37" t="inlineStr">
        <is>
          <t>кг</t>
        </is>
      </c>
      <c r="X238" s="1223">
        <f>IFERROR(SUM(X226:X236),"0")</f>
        <v/>
      </c>
      <c r="Y238" s="1223">
        <f>IFERROR(SUM(Y226:Y236),"0")</f>
        <v/>
      </c>
      <c r="Z238" s="37" t="n"/>
      <c r="AA238" s="1224" t="n"/>
      <c r="AB238" s="1224" t="n"/>
      <c r="AC238" s="1224" t="n"/>
    </row>
    <row r="239" ht="14.25" customHeight="1">
      <c r="A239" s="797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7" t="n"/>
      <c r="AB239" s="797" t="n"/>
      <c r="AC239" s="797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79" t="n">
        <v>4680115882874</v>
      </c>
      <c r="E240" s="780" t="n"/>
      <c r="F240" s="1220" t="n">
        <v>0.8</v>
      </c>
      <c r="G240" s="32" t="n">
        <v>4</v>
      </c>
      <c r="H240" s="1220" t="n">
        <v>3.2</v>
      </c>
      <c r="I240" s="1220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71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1" t="n">
        <v>0</v>
      </c>
      <c r="Y240" s="1222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79" t="n">
        <v>4680115882874</v>
      </c>
      <c r="E241" s="780" t="n"/>
      <c r="F241" s="1220" t="n">
        <v>0.8</v>
      </c>
      <c r="G241" s="32" t="n">
        <v>4</v>
      </c>
      <c r="H241" s="1220" t="n">
        <v>3.2</v>
      </c>
      <c r="I241" s="1220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18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1" t="n">
        <v>0</v>
      </c>
      <c r="Y241" s="1222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79" t="n">
        <v>4680115882874</v>
      </c>
      <c r="E242" s="780" t="n"/>
      <c r="F242" s="1220" t="n">
        <v>0.8</v>
      </c>
      <c r="G242" s="32" t="n">
        <v>4</v>
      </c>
      <c r="H242" s="1220" t="n">
        <v>3.2</v>
      </c>
      <c r="I242" s="1220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4" t="inlineStr">
        <is>
          <t>Сардельки «Сочинки» Весовой черева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1" t="n">
        <v>0</v>
      </c>
      <c r="Y242" s="1222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79" t="n">
        <v>4680115884434</v>
      </c>
      <c r="E243" s="780" t="n"/>
      <c r="F243" s="1220" t="n">
        <v>0.8</v>
      </c>
      <c r="G243" s="32" t="n">
        <v>4</v>
      </c>
      <c r="H243" s="1220" t="n">
        <v>3.2</v>
      </c>
      <c r="I243" s="1220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1" t="n">
        <v>0</v>
      </c>
      <c r="Y243" s="1222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79" t="n">
        <v>4680115880818</v>
      </c>
      <c r="E244" s="780" t="n"/>
      <c r="F244" s="1220" t="n">
        <v>0.4</v>
      </c>
      <c r="G244" s="32" t="n">
        <v>6</v>
      </c>
      <c r="H244" s="1220" t="n">
        <v>2.4</v>
      </c>
      <c r="I244" s="1220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1" t="n">
        <v>0</v>
      </c>
      <c r="Y244" s="1222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79" t="n">
        <v>4680115880801</v>
      </c>
      <c r="E245" s="780" t="n"/>
      <c r="F245" s="1220" t="n">
        <v>0.4</v>
      </c>
      <c r="G245" s="32" t="n">
        <v>6</v>
      </c>
      <c r="H245" s="1220" t="n">
        <v>2.4</v>
      </c>
      <c r="I245" s="1220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1" t="n">
        <v>0</v>
      </c>
      <c r="Y245" s="1222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4" t="inlineStr">
        <is>
          <t>Итого</t>
        </is>
      </c>
      <c r="Q246" s="795" t="n"/>
      <c r="R246" s="795" t="n"/>
      <c r="S246" s="795" t="n"/>
      <c r="T246" s="795" t="n"/>
      <c r="U246" s="795" t="n"/>
      <c r="V246" s="796" t="n"/>
      <c r="W246" s="37" t="inlineStr">
        <is>
          <t>кор</t>
        </is>
      </c>
      <c r="X246" s="1223">
        <f>IFERROR(X240/H240,"0")+IFERROR(X241/H241,"0")+IFERROR(X242/H242,"0")+IFERROR(X243/H243,"0")+IFERROR(X244/H244,"0")+IFERROR(X245/H245,"0")</f>
        <v/>
      </c>
      <c r="Y246" s="1223">
        <f>IFERROR(Y240/H240,"0")+IFERROR(Y241/H241,"0")+IFERROR(Y242/H242,"0")+IFERROR(Y243/H243,"0")+IFERROR(Y244/H244,"0")+IFERROR(Y245/H245,"0")</f>
        <v/>
      </c>
      <c r="Z246" s="1223">
        <f>IFERROR(IF(Z240="",0,Z240),"0")+IFERROR(IF(Z241="",0,Z241),"0")+IFERROR(IF(Z242="",0,Z242),"0")+IFERROR(IF(Z243="",0,Z243),"0")+IFERROR(IF(Z244="",0,Z244),"0")+IFERROR(IF(Z245="",0,Z245),"0")</f>
        <v/>
      </c>
      <c r="AA246" s="1224" t="n"/>
      <c r="AB246" s="1224" t="n"/>
      <c r="AC246" s="1224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4" t="inlineStr">
        <is>
          <t>Итого</t>
        </is>
      </c>
      <c r="Q247" s="795" t="n"/>
      <c r="R247" s="795" t="n"/>
      <c r="S247" s="795" t="n"/>
      <c r="T247" s="795" t="n"/>
      <c r="U247" s="795" t="n"/>
      <c r="V247" s="796" t="n"/>
      <c r="W247" s="37" t="inlineStr">
        <is>
          <t>кг</t>
        </is>
      </c>
      <c r="X247" s="1223">
        <f>IFERROR(SUM(X240:X245),"0")</f>
        <v/>
      </c>
      <c r="Y247" s="1223">
        <f>IFERROR(SUM(Y240:Y245),"0")</f>
        <v/>
      </c>
      <c r="Z247" s="37" t="n"/>
      <c r="AA247" s="1224" t="n"/>
      <c r="AB247" s="1224" t="n"/>
      <c r="AC247" s="1224" t="n"/>
    </row>
    <row r="248" ht="16.5" customHeight="1">
      <c r="A248" s="828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8" t="n"/>
      <c r="AB248" s="828" t="n"/>
      <c r="AC248" s="828" t="n"/>
    </row>
    <row r="249" ht="14.25" customHeight="1">
      <c r="A249" s="797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7" t="n"/>
      <c r="AB249" s="797" t="n"/>
      <c r="AC249" s="797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779" t="n">
        <v>4680115884274</v>
      </c>
      <c r="E250" s="780" t="n"/>
      <c r="F250" s="1220" t="n">
        <v>1.45</v>
      </c>
      <c r="G250" s="32" t="n">
        <v>8</v>
      </c>
      <c r="H250" s="1220" t="n">
        <v>11.6</v>
      </c>
      <c r="I250" s="1220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89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1" t="n">
        <v>0</v>
      </c>
      <c r="Y250" s="1222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779" t="n">
        <v>4680115884274</v>
      </c>
      <c r="E251" s="780" t="n"/>
      <c r="F251" s="1220" t="n">
        <v>1.45</v>
      </c>
      <c r="G251" s="32" t="n">
        <v>8</v>
      </c>
      <c r="H251" s="1220" t="n">
        <v>11.6</v>
      </c>
      <c r="I251" s="1220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1" t="n">
        <v>0</v>
      </c>
      <c r="Y251" s="1222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79" t="n">
        <v>4680115884298</v>
      </c>
      <c r="E252" s="780" t="n"/>
      <c r="F252" s="1220" t="n">
        <v>1.45</v>
      </c>
      <c r="G252" s="32" t="n">
        <v>8</v>
      </c>
      <c r="H252" s="1220" t="n">
        <v>11.6</v>
      </c>
      <c r="I252" s="1220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9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1" t="n">
        <v>0</v>
      </c>
      <c r="Y252" s="1222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779" t="n">
        <v>4680115884250</v>
      </c>
      <c r="E253" s="780" t="n"/>
      <c r="F253" s="1220" t="n">
        <v>1.45</v>
      </c>
      <c r="G253" s="32" t="n">
        <v>8</v>
      </c>
      <c r="H253" s="1220" t="n">
        <v>11.6</v>
      </c>
      <c r="I253" s="1220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6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1" t="n">
        <v>0</v>
      </c>
      <c r="Y253" s="1222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779" t="n">
        <v>4680115884250</v>
      </c>
      <c r="E254" s="780" t="n"/>
      <c r="F254" s="1220" t="n">
        <v>1.45</v>
      </c>
      <c r="G254" s="32" t="n">
        <v>8</v>
      </c>
      <c r="H254" s="1220" t="n">
        <v>11.6</v>
      </c>
      <c r="I254" s="1220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1" t="n">
        <v>0</v>
      </c>
      <c r="Y254" s="1222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79" t="n">
        <v>4680115884281</v>
      </c>
      <c r="E255" s="780" t="n"/>
      <c r="F255" s="1220" t="n">
        <v>0.4</v>
      </c>
      <c r="G255" s="32" t="n">
        <v>10</v>
      </c>
      <c r="H255" s="1220" t="n">
        <v>4</v>
      </c>
      <c r="I255" s="1220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6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1" t="n">
        <v>0</v>
      </c>
      <c r="Y255" s="1222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79" t="n">
        <v>4680115884199</v>
      </c>
      <c r="E256" s="780" t="n"/>
      <c r="F256" s="1220" t="n">
        <v>0.37</v>
      </c>
      <c r="G256" s="32" t="n">
        <v>10</v>
      </c>
      <c r="H256" s="1220" t="n">
        <v>3.7</v>
      </c>
      <c r="I256" s="1220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1" t="n">
        <v>0</v>
      </c>
      <c r="Y256" s="1222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79" t="n">
        <v>4680115884267</v>
      </c>
      <c r="E257" s="780" t="n"/>
      <c r="F257" s="1220" t="n">
        <v>0.4</v>
      </c>
      <c r="G257" s="32" t="n">
        <v>10</v>
      </c>
      <c r="H257" s="1220" t="n">
        <v>4</v>
      </c>
      <c r="I257" s="1220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1" t="n">
        <v>0</v>
      </c>
      <c r="Y257" s="1222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4" t="inlineStr">
        <is>
          <t>Итого</t>
        </is>
      </c>
      <c r="Q258" s="795" t="n"/>
      <c r="R258" s="795" t="n"/>
      <c r="S258" s="795" t="n"/>
      <c r="T258" s="795" t="n"/>
      <c r="U258" s="795" t="n"/>
      <c r="V258" s="796" t="n"/>
      <c r="W258" s="37" t="inlineStr">
        <is>
          <t>кор</t>
        </is>
      </c>
      <c r="X258" s="1223">
        <f>IFERROR(X250/H250,"0")+IFERROR(X251/H251,"0")+IFERROR(X252/H252,"0")+IFERROR(X253/H253,"0")+IFERROR(X254/H254,"0")+IFERROR(X255/H255,"0")+IFERROR(X256/H256,"0")+IFERROR(X257/H257,"0")</f>
        <v/>
      </c>
      <c r="Y258" s="1223">
        <f>IFERROR(Y250/H250,"0")+IFERROR(Y251/H251,"0")+IFERROR(Y252/H252,"0")+IFERROR(Y253/H253,"0")+IFERROR(Y254/H254,"0")+IFERROR(Y255/H255,"0")+IFERROR(Y256/H256,"0")+IFERROR(Y257/H257,"0")</f>
        <v/>
      </c>
      <c r="Z258" s="122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4" t="n"/>
      <c r="AB258" s="1224" t="n"/>
      <c r="AC258" s="1224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4" t="inlineStr">
        <is>
          <t>Итого</t>
        </is>
      </c>
      <c r="Q259" s="795" t="n"/>
      <c r="R259" s="795" t="n"/>
      <c r="S259" s="795" t="n"/>
      <c r="T259" s="795" t="n"/>
      <c r="U259" s="795" t="n"/>
      <c r="V259" s="796" t="n"/>
      <c r="W259" s="37" t="inlineStr">
        <is>
          <t>кг</t>
        </is>
      </c>
      <c r="X259" s="1223">
        <f>IFERROR(SUM(X250:X257),"0")</f>
        <v/>
      </c>
      <c r="Y259" s="1223">
        <f>IFERROR(SUM(Y250:Y257),"0")</f>
        <v/>
      </c>
      <c r="Z259" s="37" t="n"/>
      <c r="AA259" s="1224" t="n"/>
      <c r="AB259" s="1224" t="n"/>
      <c r="AC259" s="1224" t="n"/>
    </row>
    <row r="260" ht="16.5" customHeight="1">
      <c r="A260" s="828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8" t="n"/>
      <c r="AB260" s="828" t="n"/>
      <c r="AC260" s="828" t="n"/>
    </row>
    <row r="261" ht="14.25" customHeight="1">
      <c r="A261" s="797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7" t="n"/>
      <c r="AB261" s="797" t="n"/>
      <c r="AC261" s="797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779" t="n">
        <v>4680115884137</v>
      </c>
      <c r="E262" s="780" t="n"/>
      <c r="F262" s="1220" t="n">
        <v>1.45</v>
      </c>
      <c r="G262" s="32" t="n">
        <v>8</v>
      </c>
      <c r="H262" s="1220" t="n">
        <v>11.6</v>
      </c>
      <c r="I262" s="1220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17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1" t="n">
        <v>0</v>
      </c>
      <c r="Y262" s="1222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Д-RU.РА02.В.62676/22, 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779" t="n">
        <v>4680115884137</v>
      </c>
      <c r="E263" s="780" t="n"/>
      <c r="F263" s="1220" t="n">
        <v>1.45</v>
      </c>
      <c r="G263" s="32" t="n">
        <v>8</v>
      </c>
      <c r="H263" s="1220" t="n">
        <v>11.6</v>
      </c>
      <c r="I263" s="1220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18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1" t="n">
        <v>0</v>
      </c>
      <c r="Y263" s="1222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79" t="n">
        <v>4680115884236</v>
      </c>
      <c r="E264" s="780" t="n"/>
      <c r="F264" s="1220" t="n">
        <v>1.45</v>
      </c>
      <c r="G264" s="32" t="n">
        <v>8</v>
      </c>
      <c r="H264" s="1220" t="n">
        <v>11.6</v>
      </c>
      <c r="I264" s="1220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1" t="n">
        <v>0</v>
      </c>
      <c r="Y264" s="1222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779" t="n">
        <v>4680115884175</v>
      </c>
      <c r="E265" s="780" t="n"/>
      <c r="F265" s="1220" t="n">
        <v>1.45</v>
      </c>
      <c r="G265" s="32" t="n">
        <v>8</v>
      </c>
      <c r="H265" s="1220" t="n">
        <v>11.6</v>
      </c>
      <c r="I265" s="1220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44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1" t="n">
        <v>0</v>
      </c>
      <c r="Y265" s="1222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779" t="n">
        <v>4680115884175</v>
      </c>
      <c r="E266" s="780" t="n"/>
      <c r="F266" s="1220" t="n">
        <v>1.45</v>
      </c>
      <c r="G266" s="32" t="n">
        <v>8</v>
      </c>
      <c r="H266" s="1220" t="n">
        <v>11.6</v>
      </c>
      <c r="I266" s="1220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5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1" t="n">
        <v>0</v>
      </c>
      <c r="Y266" s="1222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79" t="n">
        <v>4680115884144</v>
      </c>
      <c r="E267" s="780" t="n"/>
      <c r="F267" s="1220" t="n">
        <v>0.4</v>
      </c>
      <c r="G267" s="32" t="n">
        <v>10</v>
      </c>
      <c r="H267" s="1220" t="n">
        <v>4</v>
      </c>
      <c r="I267" s="1220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1" t="n">
        <v>0</v>
      </c>
      <c r="Y267" s="1222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79" t="n">
        <v>4680115885288</v>
      </c>
      <c r="E268" s="780" t="n"/>
      <c r="F268" s="1220" t="n">
        <v>0.37</v>
      </c>
      <c r="G268" s="32" t="n">
        <v>10</v>
      </c>
      <c r="H268" s="1220" t="n">
        <v>3.7</v>
      </c>
      <c r="I268" s="1220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1" t="n">
        <v>0</v>
      </c>
      <c r="Y268" s="1222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79" t="n">
        <v>4680115884182</v>
      </c>
      <c r="E269" s="780" t="n"/>
      <c r="F269" s="1220" t="n">
        <v>0.37</v>
      </c>
      <c r="G269" s="32" t="n">
        <v>10</v>
      </c>
      <c r="H269" s="1220" t="n">
        <v>3.7</v>
      </c>
      <c r="I269" s="1220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1" t="n">
        <v>0</v>
      </c>
      <c r="Y269" s="1222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79" t="n">
        <v>4680115884205</v>
      </c>
      <c r="E270" s="780" t="n"/>
      <c r="F270" s="1220" t="n">
        <v>0.4</v>
      </c>
      <c r="G270" s="32" t="n">
        <v>10</v>
      </c>
      <c r="H270" s="1220" t="n">
        <v>4</v>
      </c>
      <c r="I270" s="1220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1" t="n">
        <v>0</v>
      </c>
      <c r="Y270" s="1222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4" t="inlineStr">
        <is>
          <t>Итого</t>
        </is>
      </c>
      <c r="Q271" s="795" t="n"/>
      <c r="R271" s="795" t="n"/>
      <c r="S271" s="795" t="n"/>
      <c r="T271" s="795" t="n"/>
      <c r="U271" s="795" t="n"/>
      <c r="V271" s="796" t="n"/>
      <c r="W271" s="37" t="inlineStr">
        <is>
          <t>кор</t>
        </is>
      </c>
      <c r="X271" s="1223">
        <f>IFERROR(X262/H262,"0")+IFERROR(X263/H263,"0")+IFERROR(X264/H264,"0")+IFERROR(X265/H265,"0")+IFERROR(X266/H266,"0")+IFERROR(X267/H267,"0")+IFERROR(X268/H268,"0")+IFERROR(X269/H269,"0")+IFERROR(X270/H270,"0")</f>
        <v/>
      </c>
      <c r="Y271" s="1223">
        <f>IFERROR(Y262/H262,"0")+IFERROR(Y263/H263,"0")+IFERROR(Y264/H264,"0")+IFERROR(Y265/H265,"0")+IFERROR(Y266/H266,"0")+IFERROR(Y267/H267,"0")+IFERROR(Y268/H268,"0")+IFERROR(Y269/H269,"0")+IFERROR(Y270/H270,"0")</f>
        <v/>
      </c>
      <c r="Z271" s="122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4" t="n"/>
      <c r="AB271" s="1224" t="n"/>
      <c r="AC271" s="1224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4" t="inlineStr">
        <is>
          <t>Итого</t>
        </is>
      </c>
      <c r="Q272" s="795" t="n"/>
      <c r="R272" s="795" t="n"/>
      <c r="S272" s="795" t="n"/>
      <c r="T272" s="795" t="n"/>
      <c r="U272" s="795" t="n"/>
      <c r="V272" s="796" t="n"/>
      <c r="W272" s="37" t="inlineStr">
        <is>
          <t>кг</t>
        </is>
      </c>
      <c r="X272" s="1223">
        <f>IFERROR(SUM(X262:X270),"0")</f>
        <v/>
      </c>
      <c r="Y272" s="1223">
        <f>IFERROR(SUM(Y262:Y270),"0")</f>
        <v/>
      </c>
      <c r="Z272" s="37" t="n"/>
      <c r="AA272" s="1224" t="n"/>
      <c r="AB272" s="1224" t="n"/>
      <c r="AC272" s="1224" t="n"/>
    </row>
    <row r="273" ht="14.25" customHeight="1">
      <c r="A273" s="797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7" t="n"/>
      <c r="AB273" s="797" t="n"/>
      <c r="AC273" s="797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79" t="n">
        <v>4680115885721</v>
      </c>
      <c r="E274" s="780" t="n"/>
      <c r="F274" s="1220" t="n">
        <v>0.33</v>
      </c>
      <c r="G274" s="32" t="n">
        <v>6</v>
      </c>
      <c r="H274" s="1220" t="n">
        <v>1.98</v>
      </c>
      <c r="I274" s="1220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1" t="n">
        <v>0</v>
      </c>
      <c r="Y274" s="1222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4" t="inlineStr">
        <is>
          <t>Итого</t>
        </is>
      </c>
      <c r="Q275" s="795" t="n"/>
      <c r="R275" s="795" t="n"/>
      <c r="S275" s="795" t="n"/>
      <c r="T275" s="795" t="n"/>
      <c r="U275" s="795" t="n"/>
      <c r="V275" s="796" t="n"/>
      <c r="W275" s="37" t="inlineStr">
        <is>
          <t>кор</t>
        </is>
      </c>
      <c r="X275" s="1223">
        <f>IFERROR(X274/H274,"0")</f>
        <v/>
      </c>
      <c r="Y275" s="1223">
        <f>IFERROR(Y274/H274,"0")</f>
        <v/>
      </c>
      <c r="Z275" s="1223">
        <f>IFERROR(IF(Z274="",0,Z274),"0")</f>
        <v/>
      </c>
      <c r="AA275" s="1224" t="n"/>
      <c r="AB275" s="1224" t="n"/>
      <c r="AC275" s="1224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4" t="inlineStr">
        <is>
          <t>Итого</t>
        </is>
      </c>
      <c r="Q276" s="795" t="n"/>
      <c r="R276" s="795" t="n"/>
      <c r="S276" s="795" t="n"/>
      <c r="T276" s="795" t="n"/>
      <c r="U276" s="795" t="n"/>
      <c r="V276" s="796" t="n"/>
      <c r="W276" s="37" t="inlineStr">
        <is>
          <t>кг</t>
        </is>
      </c>
      <c r="X276" s="1223">
        <f>IFERROR(SUM(X274:X274),"0")</f>
        <v/>
      </c>
      <c r="Y276" s="1223">
        <f>IFERROR(SUM(Y274:Y274),"0")</f>
        <v/>
      </c>
      <c r="Z276" s="37" t="n"/>
      <c r="AA276" s="1224" t="n"/>
      <c r="AB276" s="1224" t="n"/>
      <c r="AC276" s="1224" t="n"/>
    </row>
    <row r="277" ht="16.5" customHeight="1">
      <c r="A277" s="828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8" t="n"/>
      <c r="AB277" s="828" t="n"/>
      <c r="AC277" s="828" t="n"/>
    </row>
    <row r="278" ht="14.25" customHeight="1">
      <c r="A278" s="797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7" t="n"/>
      <c r="AB278" s="797" t="n"/>
      <c r="AC278" s="797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79" t="n">
        <v>4680115885837</v>
      </c>
      <c r="E279" s="780" t="n"/>
      <c r="F279" s="1220" t="n">
        <v>1.35</v>
      </c>
      <c r="G279" s="32" t="n">
        <v>8</v>
      </c>
      <c r="H279" s="1220" t="n">
        <v>10.8</v>
      </c>
      <c r="I279" s="1220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1" t="n">
        <v>0</v>
      </c>
      <c r="Y279" s="1222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79" t="n">
        <v>4607091387452</v>
      </c>
      <c r="E280" s="780" t="n"/>
      <c r="F280" s="1220" t="n">
        <v>1.35</v>
      </c>
      <c r="G280" s="32" t="n">
        <v>8</v>
      </c>
      <c r="H280" s="1220" t="n">
        <v>10.8</v>
      </c>
      <c r="I280" s="1220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28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1" t="n">
        <v>0</v>
      </c>
      <c r="Y280" s="1222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79" t="n">
        <v>4680115885806</v>
      </c>
      <c r="E281" s="780" t="n"/>
      <c r="F281" s="1220" t="n">
        <v>1.35</v>
      </c>
      <c r="G281" s="32" t="n">
        <v>8</v>
      </c>
      <c r="H281" s="1220" t="n">
        <v>10.8</v>
      </c>
      <c r="I281" s="1220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08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1" t="n">
        <v>0</v>
      </c>
      <c r="Y281" s="1222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779" t="n">
        <v>4680115885806</v>
      </c>
      <c r="E282" s="780" t="n"/>
      <c r="F282" s="1220" t="n">
        <v>1.35</v>
      </c>
      <c r="G282" s="32" t="n">
        <v>8</v>
      </c>
      <c r="H282" s="1220" t="n">
        <v>10.8</v>
      </c>
      <c r="I282" s="1220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09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1" t="n">
        <v>0</v>
      </c>
      <c r="Y282" s="1222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79" t="n">
        <v>4680115885851</v>
      </c>
      <c r="E283" s="780" t="n"/>
      <c r="F283" s="1220" t="n">
        <v>1.35</v>
      </c>
      <c r="G283" s="32" t="n">
        <v>8</v>
      </c>
      <c r="H283" s="1220" t="n">
        <v>10.8</v>
      </c>
      <c r="I283" s="1220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1" t="n">
        <v>0</v>
      </c>
      <c r="Y283" s="1222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79" t="n">
        <v>4607091385984</v>
      </c>
      <c r="E284" s="780" t="n"/>
      <c r="F284" s="1220" t="n">
        <v>1.35</v>
      </c>
      <c r="G284" s="32" t="n">
        <v>8</v>
      </c>
      <c r="H284" s="1220" t="n">
        <v>10.8</v>
      </c>
      <c r="I284" s="1220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7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1" t="n">
        <v>0</v>
      </c>
      <c r="Y284" s="1222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79" t="n">
        <v>4680115885844</v>
      </c>
      <c r="E285" s="780" t="n"/>
      <c r="F285" s="1220" t="n">
        <v>0.4</v>
      </c>
      <c r="G285" s="32" t="n">
        <v>10</v>
      </c>
      <c r="H285" s="1220" t="n">
        <v>4</v>
      </c>
      <c r="I285" s="1220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1" t="n">
        <v>0</v>
      </c>
      <c r="Y285" s="1222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79" t="n">
        <v>4607091387469</v>
      </c>
      <c r="E286" s="780" t="n"/>
      <c r="F286" s="1220" t="n">
        <v>0.5</v>
      </c>
      <c r="G286" s="32" t="n">
        <v>10</v>
      </c>
      <c r="H286" s="1220" t="n">
        <v>5</v>
      </c>
      <c r="I286" s="1220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89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1" t="n">
        <v>0</v>
      </c>
      <c r="Y286" s="1222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79" t="n">
        <v>4680115885820</v>
      </c>
      <c r="E287" s="780" t="n"/>
      <c r="F287" s="1220" t="n">
        <v>0.4</v>
      </c>
      <c r="G287" s="32" t="n">
        <v>10</v>
      </c>
      <c r="H287" s="1220" t="n">
        <v>4</v>
      </c>
      <c r="I287" s="1220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07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1" t="n">
        <v>0</v>
      </c>
      <c r="Y287" s="1222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79" t="n">
        <v>4607091387438</v>
      </c>
      <c r="E288" s="780" t="n"/>
      <c r="F288" s="1220" t="n">
        <v>0.5</v>
      </c>
      <c r="G288" s="32" t="n">
        <v>10</v>
      </c>
      <c r="H288" s="1220" t="n">
        <v>5</v>
      </c>
      <c r="I288" s="1220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5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1" t="n">
        <v>0</v>
      </c>
      <c r="Y288" s="1222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4" t="inlineStr">
        <is>
          <t>Итого</t>
        </is>
      </c>
      <c r="Q289" s="795" t="n"/>
      <c r="R289" s="795" t="n"/>
      <c r="S289" s="795" t="n"/>
      <c r="T289" s="795" t="n"/>
      <c r="U289" s="795" t="n"/>
      <c r="V289" s="796" t="n"/>
      <c r="W289" s="37" t="inlineStr">
        <is>
          <t>кор</t>
        </is>
      </c>
      <c r="X289" s="1223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3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4" t="n"/>
      <c r="AB289" s="1224" t="n"/>
      <c r="AC289" s="1224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4" t="inlineStr">
        <is>
          <t>Итого</t>
        </is>
      </c>
      <c r="Q290" s="795" t="n"/>
      <c r="R290" s="795" t="n"/>
      <c r="S290" s="795" t="n"/>
      <c r="T290" s="795" t="n"/>
      <c r="U290" s="795" t="n"/>
      <c r="V290" s="796" t="n"/>
      <c r="W290" s="37" t="inlineStr">
        <is>
          <t>кг</t>
        </is>
      </c>
      <c r="X290" s="1223">
        <f>IFERROR(SUM(X279:X288),"0")</f>
        <v/>
      </c>
      <c r="Y290" s="1223">
        <f>IFERROR(SUM(Y279:Y288),"0")</f>
        <v/>
      </c>
      <c r="Z290" s="37" t="n"/>
      <c r="AA290" s="1224" t="n"/>
      <c r="AB290" s="1224" t="n"/>
      <c r="AC290" s="1224" t="n"/>
    </row>
    <row r="291" ht="16.5" customHeight="1">
      <c r="A291" s="828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8" t="n"/>
      <c r="AB291" s="828" t="n"/>
      <c r="AC291" s="828" t="n"/>
    </row>
    <row r="292" ht="14.25" customHeight="1">
      <c r="A292" s="797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7" t="n"/>
      <c r="AB292" s="797" t="n"/>
      <c r="AC292" s="797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79" t="n">
        <v>4680115885707</v>
      </c>
      <c r="E293" s="780" t="n"/>
      <c r="F293" s="1220" t="n">
        <v>0.9</v>
      </c>
      <c r="G293" s="32" t="n">
        <v>10</v>
      </c>
      <c r="H293" s="1220" t="n">
        <v>9</v>
      </c>
      <c r="I293" s="1220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1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1" t="n">
        <v>0</v>
      </c>
      <c r="Y293" s="1222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4" t="inlineStr">
        <is>
          <t>Итого</t>
        </is>
      </c>
      <c r="Q294" s="795" t="n"/>
      <c r="R294" s="795" t="n"/>
      <c r="S294" s="795" t="n"/>
      <c r="T294" s="795" t="n"/>
      <c r="U294" s="795" t="n"/>
      <c r="V294" s="796" t="n"/>
      <c r="W294" s="37" t="inlineStr">
        <is>
          <t>кор</t>
        </is>
      </c>
      <c r="X294" s="1223">
        <f>IFERROR(X293/H293,"0")</f>
        <v/>
      </c>
      <c r="Y294" s="1223">
        <f>IFERROR(Y293/H293,"0")</f>
        <v/>
      </c>
      <c r="Z294" s="1223">
        <f>IFERROR(IF(Z293="",0,Z293),"0")</f>
        <v/>
      </c>
      <c r="AA294" s="1224" t="n"/>
      <c r="AB294" s="1224" t="n"/>
      <c r="AC294" s="1224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4" t="inlineStr">
        <is>
          <t>Итого</t>
        </is>
      </c>
      <c r="Q295" s="795" t="n"/>
      <c r="R295" s="795" t="n"/>
      <c r="S295" s="795" t="n"/>
      <c r="T295" s="795" t="n"/>
      <c r="U295" s="795" t="n"/>
      <c r="V295" s="796" t="n"/>
      <c r="W295" s="37" t="inlineStr">
        <is>
          <t>кг</t>
        </is>
      </c>
      <c r="X295" s="1223">
        <f>IFERROR(SUM(X293:X293),"0")</f>
        <v/>
      </c>
      <c r="Y295" s="1223">
        <f>IFERROR(SUM(Y293:Y293),"0")</f>
        <v/>
      </c>
      <c r="Z295" s="37" t="n"/>
      <c r="AA295" s="1224" t="n"/>
      <c r="AB295" s="1224" t="n"/>
      <c r="AC295" s="1224" t="n"/>
    </row>
    <row r="296" ht="16.5" customHeight="1">
      <c r="A296" s="828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8" t="n"/>
      <c r="AB296" s="828" t="n"/>
      <c r="AC296" s="828" t="n"/>
    </row>
    <row r="297" ht="14.25" customHeight="1">
      <c r="A297" s="797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7" t="n"/>
      <c r="AB297" s="797" t="n"/>
      <c r="AC297" s="797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79" t="n">
        <v>4607091383423</v>
      </c>
      <c r="E298" s="780" t="n"/>
      <c r="F298" s="1220" t="n">
        <v>1.35</v>
      </c>
      <c r="G298" s="32" t="n">
        <v>8</v>
      </c>
      <c r="H298" s="1220" t="n">
        <v>10.8</v>
      </c>
      <c r="I298" s="1220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3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1" t="n">
        <v>0</v>
      </c>
      <c r="Y298" s="1222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79" t="n">
        <v>4680115885691</v>
      </c>
      <c r="E299" s="780" t="n"/>
      <c r="F299" s="1220" t="n">
        <v>1.35</v>
      </c>
      <c r="G299" s="32" t="n">
        <v>8</v>
      </c>
      <c r="H299" s="1220" t="n">
        <v>10.8</v>
      </c>
      <c r="I299" s="1220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0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1" t="n">
        <v>0</v>
      </c>
      <c r="Y299" s="1222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79" t="n">
        <v>4680115885660</v>
      </c>
      <c r="E300" s="780" t="n"/>
      <c r="F300" s="1220" t="n">
        <v>1.35</v>
      </c>
      <c r="G300" s="32" t="n">
        <v>8</v>
      </c>
      <c r="H300" s="1220" t="n">
        <v>10.8</v>
      </c>
      <c r="I300" s="1220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1" t="n">
        <v>0</v>
      </c>
      <c r="Y300" s="1222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4" t="inlineStr">
        <is>
          <t>Итого</t>
        </is>
      </c>
      <c r="Q301" s="795" t="n"/>
      <c r="R301" s="795" t="n"/>
      <c r="S301" s="795" t="n"/>
      <c r="T301" s="795" t="n"/>
      <c r="U301" s="795" t="n"/>
      <c r="V301" s="796" t="n"/>
      <c r="W301" s="37" t="inlineStr">
        <is>
          <t>кор</t>
        </is>
      </c>
      <c r="X301" s="1223">
        <f>IFERROR(X298/H298,"0")+IFERROR(X299/H299,"0")+IFERROR(X300/H300,"0")</f>
        <v/>
      </c>
      <c r="Y301" s="1223">
        <f>IFERROR(Y298/H298,"0")+IFERROR(Y299/H299,"0")+IFERROR(Y300/H300,"0")</f>
        <v/>
      </c>
      <c r="Z301" s="1223">
        <f>IFERROR(IF(Z298="",0,Z298),"0")+IFERROR(IF(Z299="",0,Z299),"0")+IFERROR(IF(Z300="",0,Z300),"0")</f>
        <v/>
      </c>
      <c r="AA301" s="1224" t="n"/>
      <c r="AB301" s="1224" t="n"/>
      <c r="AC301" s="1224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4" t="inlineStr">
        <is>
          <t>Итого</t>
        </is>
      </c>
      <c r="Q302" s="795" t="n"/>
      <c r="R302" s="795" t="n"/>
      <c r="S302" s="795" t="n"/>
      <c r="T302" s="795" t="n"/>
      <c r="U302" s="795" t="n"/>
      <c r="V302" s="796" t="n"/>
      <c r="W302" s="37" t="inlineStr">
        <is>
          <t>кг</t>
        </is>
      </c>
      <c r="X302" s="1223">
        <f>IFERROR(SUM(X298:X300),"0")</f>
        <v/>
      </c>
      <c r="Y302" s="1223">
        <f>IFERROR(SUM(Y298:Y300),"0")</f>
        <v/>
      </c>
      <c r="Z302" s="37" t="n"/>
      <c r="AA302" s="1224" t="n"/>
      <c r="AB302" s="1224" t="n"/>
      <c r="AC302" s="1224" t="n"/>
    </row>
    <row r="303" ht="16.5" customHeight="1">
      <c r="A303" s="828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8" t="n"/>
      <c r="AB303" s="828" t="n"/>
      <c r="AC303" s="828" t="n"/>
    </row>
    <row r="304" ht="14.25" customHeight="1">
      <c r="A304" s="797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7" t="n"/>
      <c r="AB304" s="797" t="n"/>
      <c r="AC304" s="797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79" t="n">
        <v>4680115881556</v>
      </c>
      <c r="E305" s="780" t="n"/>
      <c r="F305" s="1220" t="n">
        <v>1</v>
      </c>
      <c r="G305" s="32" t="n">
        <v>4</v>
      </c>
      <c r="H305" s="1220" t="n">
        <v>4</v>
      </c>
      <c r="I305" s="1220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1" t="n">
        <v>0</v>
      </c>
      <c r="Y305" s="1222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79" t="n">
        <v>4680115881037</v>
      </c>
      <c r="E306" s="780" t="n"/>
      <c r="F306" s="1220" t="n">
        <v>0.84</v>
      </c>
      <c r="G306" s="32" t="n">
        <v>4</v>
      </c>
      <c r="H306" s="1220" t="n">
        <v>3.36</v>
      </c>
      <c r="I306" s="1220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8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1" t="n">
        <v>0</v>
      </c>
      <c r="Y306" s="1222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79" t="n">
        <v>4680115886186</v>
      </c>
      <c r="E307" s="780" t="n"/>
      <c r="F307" s="1220" t="n">
        <v>0.3</v>
      </c>
      <c r="G307" s="32" t="n">
        <v>6</v>
      </c>
      <c r="H307" s="1220" t="n">
        <v>1.8</v>
      </c>
      <c r="I307" s="1220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1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1" t="n">
        <v>0</v>
      </c>
      <c r="Y307" s="1222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79" t="n">
        <v>4680115881228</v>
      </c>
      <c r="E308" s="780" t="n"/>
      <c r="F308" s="1220" t="n">
        <v>0.4</v>
      </c>
      <c r="G308" s="32" t="n">
        <v>6</v>
      </c>
      <c r="H308" s="1220" t="n">
        <v>2.4</v>
      </c>
      <c r="I308" s="1220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1" t="n">
        <v>0</v>
      </c>
      <c r="Y308" s="1222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79" t="n">
        <v>4680115881211</v>
      </c>
      <c r="E309" s="780" t="n"/>
      <c r="F309" s="1220" t="n">
        <v>0.4</v>
      </c>
      <c r="G309" s="32" t="n">
        <v>6</v>
      </c>
      <c r="H309" s="1220" t="n">
        <v>2.4</v>
      </c>
      <c r="I309" s="1220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3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1" t="n">
        <v>0</v>
      </c>
      <c r="Y309" s="1222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79" t="n">
        <v>4680115881020</v>
      </c>
      <c r="E310" s="780" t="n"/>
      <c r="F310" s="1220" t="n">
        <v>0.84</v>
      </c>
      <c r="G310" s="32" t="n">
        <v>4</v>
      </c>
      <c r="H310" s="1220" t="n">
        <v>3.36</v>
      </c>
      <c r="I310" s="1220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2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1" t="n">
        <v>0</v>
      </c>
      <c r="Y310" s="1222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4" t="inlineStr">
        <is>
          <t>Итого</t>
        </is>
      </c>
      <c r="Q311" s="795" t="n"/>
      <c r="R311" s="795" t="n"/>
      <c r="S311" s="795" t="n"/>
      <c r="T311" s="795" t="n"/>
      <c r="U311" s="795" t="n"/>
      <c r="V311" s="796" t="n"/>
      <c r="W311" s="37" t="inlineStr">
        <is>
          <t>кор</t>
        </is>
      </c>
      <c r="X311" s="1223">
        <f>IFERROR(X305/H305,"0")+IFERROR(X306/H306,"0")+IFERROR(X307/H307,"0")+IFERROR(X308/H308,"0")+IFERROR(X309/H309,"0")+IFERROR(X310/H310,"0")</f>
        <v/>
      </c>
      <c r="Y311" s="1223">
        <f>IFERROR(Y305/H305,"0")+IFERROR(Y306/H306,"0")+IFERROR(Y307/H307,"0")+IFERROR(Y308/H308,"0")+IFERROR(Y309/H309,"0")+IFERROR(Y310/H310,"0")</f>
        <v/>
      </c>
      <c r="Z311" s="1223">
        <f>IFERROR(IF(Z305="",0,Z305),"0")+IFERROR(IF(Z306="",0,Z306),"0")+IFERROR(IF(Z307="",0,Z307),"0")+IFERROR(IF(Z308="",0,Z308),"0")+IFERROR(IF(Z309="",0,Z309),"0")+IFERROR(IF(Z310="",0,Z310),"0")</f>
        <v/>
      </c>
      <c r="AA311" s="1224" t="n"/>
      <c r="AB311" s="1224" t="n"/>
      <c r="AC311" s="1224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4" t="inlineStr">
        <is>
          <t>Итого</t>
        </is>
      </c>
      <c r="Q312" s="795" t="n"/>
      <c r="R312" s="795" t="n"/>
      <c r="S312" s="795" t="n"/>
      <c r="T312" s="795" t="n"/>
      <c r="U312" s="795" t="n"/>
      <c r="V312" s="796" t="n"/>
      <c r="W312" s="37" t="inlineStr">
        <is>
          <t>кг</t>
        </is>
      </c>
      <c r="X312" s="1223">
        <f>IFERROR(SUM(X305:X310),"0")</f>
        <v/>
      </c>
      <c r="Y312" s="1223">
        <f>IFERROR(SUM(Y305:Y310),"0")</f>
        <v/>
      </c>
      <c r="Z312" s="37" t="n"/>
      <c r="AA312" s="1224" t="n"/>
      <c r="AB312" s="1224" t="n"/>
      <c r="AC312" s="1224" t="n"/>
    </row>
    <row r="313" ht="16.5" customHeight="1">
      <c r="A313" s="828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8" t="n"/>
      <c r="AB313" s="828" t="n"/>
      <c r="AC313" s="828" t="n"/>
    </row>
    <row r="314" ht="14.25" customHeight="1">
      <c r="A314" s="797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7" t="n"/>
      <c r="AB314" s="797" t="n"/>
      <c r="AC314" s="797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79" t="n">
        <v>4607091389296</v>
      </c>
      <c r="E315" s="780" t="n"/>
      <c r="F315" s="1220" t="n">
        <v>0.4</v>
      </c>
      <c r="G315" s="32" t="n">
        <v>10</v>
      </c>
      <c r="H315" s="1220" t="n">
        <v>4</v>
      </c>
      <c r="I315" s="1220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1" t="n">
        <v>0</v>
      </c>
      <c r="Y315" s="1222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4" t="inlineStr">
        <is>
          <t>Итого</t>
        </is>
      </c>
      <c r="Q316" s="795" t="n"/>
      <c r="R316" s="795" t="n"/>
      <c r="S316" s="795" t="n"/>
      <c r="T316" s="795" t="n"/>
      <c r="U316" s="795" t="n"/>
      <c r="V316" s="796" t="n"/>
      <c r="W316" s="37" t="inlineStr">
        <is>
          <t>кор</t>
        </is>
      </c>
      <c r="X316" s="1223">
        <f>IFERROR(X315/H315,"0")</f>
        <v/>
      </c>
      <c r="Y316" s="1223">
        <f>IFERROR(Y315/H315,"0")</f>
        <v/>
      </c>
      <c r="Z316" s="1223">
        <f>IFERROR(IF(Z315="",0,Z315),"0")</f>
        <v/>
      </c>
      <c r="AA316" s="1224" t="n"/>
      <c r="AB316" s="1224" t="n"/>
      <c r="AC316" s="1224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4" t="inlineStr">
        <is>
          <t>Итого</t>
        </is>
      </c>
      <c r="Q317" s="795" t="n"/>
      <c r="R317" s="795" t="n"/>
      <c r="S317" s="795" t="n"/>
      <c r="T317" s="795" t="n"/>
      <c r="U317" s="795" t="n"/>
      <c r="V317" s="796" t="n"/>
      <c r="W317" s="37" t="inlineStr">
        <is>
          <t>кг</t>
        </is>
      </c>
      <c r="X317" s="1223">
        <f>IFERROR(SUM(X315:X315),"0")</f>
        <v/>
      </c>
      <c r="Y317" s="1223">
        <f>IFERROR(SUM(Y315:Y315),"0")</f>
        <v/>
      </c>
      <c r="Z317" s="37" t="n"/>
      <c r="AA317" s="1224" t="n"/>
      <c r="AB317" s="1224" t="n"/>
      <c r="AC317" s="1224" t="n"/>
    </row>
    <row r="318" ht="14.25" customHeight="1">
      <c r="A318" s="797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7" t="n"/>
      <c r="AB318" s="797" t="n"/>
      <c r="AC318" s="797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79" t="n">
        <v>4680115880344</v>
      </c>
      <c r="E319" s="780" t="n"/>
      <c r="F319" s="1220" t="n">
        <v>0.28</v>
      </c>
      <c r="G319" s="32" t="n">
        <v>6</v>
      </c>
      <c r="H319" s="1220" t="n">
        <v>1.68</v>
      </c>
      <c r="I319" s="1220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198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1" t="n">
        <v>0</v>
      </c>
      <c r="Y319" s="1222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4" t="inlineStr">
        <is>
          <t>Итого</t>
        </is>
      </c>
      <c r="Q320" s="795" t="n"/>
      <c r="R320" s="795" t="n"/>
      <c r="S320" s="795" t="n"/>
      <c r="T320" s="795" t="n"/>
      <c r="U320" s="795" t="n"/>
      <c r="V320" s="796" t="n"/>
      <c r="W320" s="37" t="inlineStr">
        <is>
          <t>кор</t>
        </is>
      </c>
      <c r="X320" s="1223">
        <f>IFERROR(X319/H319,"0")</f>
        <v/>
      </c>
      <c r="Y320" s="1223">
        <f>IFERROR(Y319/H319,"0")</f>
        <v/>
      </c>
      <c r="Z320" s="1223">
        <f>IFERROR(IF(Z319="",0,Z319),"0")</f>
        <v/>
      </c>
      <c r="AA320" s="1224" t="n"/>
      <c r="AB320" s="1224" t="n"/>
      <c r="AC320" s="1224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4" t="inlineStr">
        <is>
          <t>Итого</t>
        </is>
      </c>
      <c r="Q321" s="795" t="n"/>
      <c r="R321" s="795" t="n"/>
      <c r="S321" s="795" t="n"/>
      <c r="T321" s="795" t="n"/>
      <c r="U321" s="795" t="n"/>
      <c r="V321" s="796" t="n"/>
      <c r="W321" s="37" t="inlineStr">
        <is>
          <t>кг</t>
        </is>
      </c>
      <c r="X321" s="1223">
        <f>IFERROR(SUM(X319:X319),"0")</f>
        <v/>
      </c>
      <c r="Y321" s="1223">
        <f>IFERROR(SUM(Y319:Y319),"0")</f>
        <v/>
      </c>
      <c r="Z321" s="37" t="n"/>
      <c r="AA321" s="1224" t="n"/>
      <c r="AB321" s="1224" t="n"/>
      <c r="AC321" s="1224" t="n"/>
    </row>
    <row r="322" ht="14.25" customHeight="1">
      <c r="A322" s="797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7" t="n"/>
      <c r="AB322" s="797" t="n"/>
      <c r="AC322" s="797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79" t="n">
        <v>4680115884618</v>
      </c>
      <c r="E323" s="780" t="n"/>
      <c r="F323" s="1220" t="n">
        <v>0.6</v>
      </c>
      <c r="G323" s="32" t="n">
        <v>6</v>
      </c>
      <c r="H323" s="1220" t="n">
        <v>3.6</v>
      </c>
      <c r="I323" s="1220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1" t="n">
        <v>0</v>
      </c>
      <c r="Y323" s="1222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4" t="inlineStr">
        <is>
          <t>Итого</t>
        </is>
      </c>
      <c r="Q324" s="795" t="n"/>
      <c r="R324" s="795" t="n"/>
      <c r="S324" s="795" t="n"/>
      <c r="T324" s="795" t="n"/>
      <c r="U324" s="795" t="n"/>
      <c r="V324" s="796" t="n"/>
      <c r="W324" s="37" t="inlineStr">
        <is>
          <t>кор</t>
        </is>
      </c>
      <c r="X324" s="1223">
        <f>IFERROR(X323/H323,"0")</f>
        <v/>
      </c>
      <c r="Y324" s="1223">
        <f>IFERROR(Y323/H323,"0")</f>
        <v/>
      </c>
      <c r="Z324" s="1223">
        <f>IFERROR(IF(Z323="",0,Z323),"0")</f>
        <v/>
      </c>
      <c r="AA324" s="1224" t="n"/>
      <c r="AB324" s="1224" t="n"/>
      <c r="AC324" s="1224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4" t="inlineStr">
        <is>
          <t>Итого</t>
        </is>
      </c>
      <c r="Q325" s="795" t="n"/>
      <c r="R325" s="795" t="n"/>
      <c r="S325" s="795" t="n"/>
      <c r="T325" s="795" t="n"/>
      <c r="U325" s="795" t="n"/>
      <c r="V325" s="796" t="n"/>
      <c r="W325" s="37" t="inlineStr">
        <is>
          <t>кг</t>
        </is>
      </c>
      <c r="X325" s="1223">
        <f>IFERROR(SUM(X323:X323),"0")</f>
        <v/>
      </c>
      <c r="Y325" s="1223">
        <f>IFERROR(SUM(Y323:Y323),"0")</f>
        <v/>
      </c>
      <c r="Z325" s="37" t="n"/>
      <c r="AA325" s="1224" t="n"/>
      <c r="AB325" s="1224" t="n"/>
      <c r="AC325" s="1224" t="n"/>
    </row>
    <row r="326" ht="16.5" customHeight="1">
      <c r="A326" s="828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8" t="n"/>
      <c r="AB326" s="828" t="n"/>
      <c r="AC326" s="828" t="n"/>
    </row>
    <row r="327" ht="14.25" customHeight="1">
      <c r="A327" s="797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7" t="n"/>
      <c r="AB327" s="797" t="n"/>
      <c r="AC327" s="797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79" t="n">
        <v>4607091389807</v>
      </c>
      <c r="E328" s="780" t="n"/>
      <c r="F328" s="1220" t="n">
        <v>0.4</v>
      </c>
      <c r="G328" s="32" t="n">
        <v>10</v>
      </c>
      <c r="H328" s="1220" t="n">
        <v>4</v>
      </c>
      <c r="I328" s="1220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6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1" t="n">
        <v>0</v>
      </c>
      <c r="Y328" s="1222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4" t="inlineStr">
        <is>
          <t>Итого</t>
        </is>
      </c>
      <c r="Q329" s="795" t="n"/>
      <c r="R329" s="795" t="n"/>
      <c r="S329" s="795" t="n"/>
      <c r="T329" s="795" t="n"/>
      <c r="U329" s="795" t="n"/>
      <c r="V329" s="796" t="n"/>
      <c r="W329" s="37" t="inlineStr">
        <is>
          <t>кор</t>
        </is>
      </c>
      <c r="X329" s="1223">
        <f>IFERROR(X328/H328,"0")</f>
        <v/>
      </c>
      <c r="Y329" s="1223">
        <f>IFERROR(Y328/H328,"0")</f>
        <v/>
      </c>
      <c r="Z329" s="1223">
        <f>IFERROR(IF(Z328="",0,Z328),"0")</f>
        <v/>
      </c>
      <c r="AA329" s="1224" t="n"/>
      <c r="AB329" s="1224" t="n"/>
      <c r="AC329" s="1224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4" t="inlineStr">
        <is>
          <t>Итого</t>
        </is>
      </c>
      <c r="Q330" s="795" t="n"/>
      <c r="R330" s="795" t="n"/>
      <c r="S330" s="795" t="n"/>
      <c r="T330" s="795" t="n"/>
      <c r="U330" s="795" t="n"/>
      <c r="V330" s="796" t="n"/>
      <c r="W330" s="37" t="inlineStr">
        <is>
          <t>кг</t>
        </is>
      </c>
      <c r="X330" s="1223">
        <f>IFERROR(SUM(X328:X328),"0")</f>
        <v/>
      </c>
      <c r="Y330" s="1223">
        <f>IFERROR(SUM(Y328:Y328),"0")</f>
        <v/>
      </c>
      <c r="Z330" s="37" t="n"/>
      <c r="AA330" s="1224" t="n"/>
      <c r="AB330" s="1224" t="n"/>
      <c r="AC330" s="1224" t="n"/>
    </row>
    <row r="331" ht="14.25" customHeight="1">
      <c r="A331" s="797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7" t="n"/>
      <c r="AB331" s="797" t="n"/>
      <c r="AC331" s="797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79" t="n">
        <v>4680115880481</v>
      </c>
      <c r="E332" s="780" t="n"/>
      <c r="F332" s="1220" t="n">
        <v>0.28</v>
      </c>
      <c r="G332" s="32" t="n">
        <v>6</v>
      </c>
      <c r="H332" s="1220" t="n">
        <v>1.68</v>
      </c>
      <c r="I332" s="1220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9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1" t="n">
        <v>0</v>
      </c>
      <c r="Y332" s="1222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4" t="inlineStr">
        <is>
          <t>Итого</t>
        </is>
      </c>
      <c r="Q333" s="795" t="n"/>
      <c r="R333" s="795" t="n"/>
      <c r="S333" s="795" t="n"/>
      <c r="T333" s="795" t="n"/>
      <c r="U333" s="795" t="n"/>
      <c r="V333" s="796" t="n"/>
      <c r="W333" s="37" t="inlineStr">
        <is>
          <t>кор</t>
        </is>
      </c>
      <c r="X333" s="1223">
        <f>IFERROR(X332/H332,"0")</f>
        <v/>
      </c>
      <c r="Y333" s="1223">
        <f>IFERROR(Y332/H332,"0")</f>
        <v/>
      </c>
      <c r="Z333" s="1223">
        <f>IFERROR(IF(Z332="",0,Z332),"0")</f>
        <v/>
      </c>
      <c r="AA333" s="1224" t="n"/>
      <c r="AB333" s="1224" t="n"/>
      <c r="AC333" s="1224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4" t="inlineStr">
        <is>
          <t>Итого</t>
        </is>
      </c>
      <c r="Q334" s="795" t="n"/>
      <c r="R334" s="795" t="n"/>
      <c r="S334" s="795" t="n"/>
      <c r="T334" s="795" t="n"/>
      <c r="U334" s="795" t="n"/>
      <c r="V334" s="796" t="n"/>
      <c r="W334" s="37" t="inlineStr">
        <is>
          <t>кг</t>
        </is>
      </c>
      <c r="X334" s="1223">
        <f>IFERROR(SUM(X332:X332),"0")</f>
        <v/>
      </c>
      <c r="Y334" s="1223">
        <f>IFERROR(SUM(Y332:Y332),"0")</f>
        <v/>
      </c>
      <c r="Z334" s="37" t="n"/>
      <c r="AA334" s="1224" t="n"/>
      <c r="AB334" s="1224" t="n"/>
      <c r="AC334" s="1224" t="n"/>
    </row>
    <row r="335" ht="14.25" customHeight="1">
      <c r="A335" s="797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7" t="n"/>
      <c r="AB335" s="797" t="n"/>
      <c r="AC335" s="797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79" t="n">
        <v>4680115880412</v>
      </c>
      <c r="E336" s="780" t="n"/>
      <c r="F336" s="1220" t="n">
        <v>0.33</v>
      </c>
      <c r="G336" s="32" t="n">
        <v>6</v>
      </c>
      <c r="H336" s="1220" t="n">
        <v>1.98</v>
      </c>
      <c r="I336" s="1220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4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1" t="n">
        <v>0</v>
      </c>
      <c r="Y336" s="1222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79" t="n">
        <v>4680115880511</v>
      </c>
      <c r="E337" s="780" t="n"/>
      <c r="F337" s="1220" t="n">
        <v>0.33</v>
      </c>
      <c r="G337" s="32" t="n">
        <v>6</v>
      </c>
      <c r="H337" s="1220" t="n">
        <v>1.98</v>
      </c>
      <c r="I337" s="1220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8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1" t="n">
        <v>0</v>
      </c>
      <c r="Y337" s="1222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4" t="inlineStr">
        <is>
          <t>Итого</t>
        </is>
      </c>
      <c r="Q338" s="795" t="n"/>
      <c r="R338" s="795" t="n"/>
      <c r="S338" s="795" t="n"/>
      <c r="T338" s="795" t="n"/>
      <c r="U338" s="795" t="n"/>
      <c r="V338" s="796" t="n"/>
      <c r="W338" s="37" t="inlineStr">
        <is>
          <t>кор</t>
        </is>
      </c>
      <c r="X338" s="1223">
        <f>IFERROR(X336/H336,"0")+IFERROR(X337/H337,"0")</f>
        <v/>
      </c>
      <c r="Y338" s="1223">
        <f>IFERROR(Y336/H336,"0")+IFERROR(Y337/H337,"0")</f>
        <v/>
      </c>
      <c r="Z338" s="1223">
        <f>IFERROR(IF(Z336="",0,Z336),"0")+IFERROR(IF(Z337="",0,Z337),"0")</f>
        <v/>
      </c>
      <c r="AA338" s="1224" t="n"/>
      <c r="AB338" s="1224" t="n"/>
      <c r="AC338" s="1224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4" t="inlineStr">
        <is>
          <t>Итого</t>
        </is>
      </c>
      <c r="Q339" s="795" t="n"/>
      <c r="R339" s="795" t="n"/>
      <c r="S339" s="795" t="n"/>
      <c r="T339" s="795" t="n"/>
      <c r="U339" s="795" t="n"/>
      <c r="V339" s="796" t="n"/>
      <c r="W339" s="37" t="inlineStr">
        <is>
          <t>кг</t>
        </is>
      </c>
      <c r="X339" s="1223">
        <f>IFERROR(SUM(X336:X337),"0")</f>
        <v/>
      </c>
      <c r="Y339" s="1223">
        <f>IFERROR(SUM(Y336:Y337),"0")</f>
        <v/>
      </c>
      <c r="Z339" s="37" t="n"/>
      <c r="AA339" s="1224" t="n"/>
      <c r="AB339" s="1224" t="n"/>
      <c r="AC339" s="1224" t="n"/>
    </row>
    <row r="340" ht="16.5" customHeight="1">
      <c r="A340" s="828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8" t="n"/>
      <c r="AB340" s="828" t="n"/>
      <c r="AC340" s="828" t="n"/>
    </row>
    <row r="341" ht="14.25" customHeight="1">
      <c r="A341" s="797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7" t="n"/>
      <c r="AB341" s="797" t="n"/>
      <c r="AC341" s="797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79" t="n">
        <v>4680115882973</v>
      </c>
      <c r="E342" s="780" t="n"/>
      <c r="F342" s="1220" t="n">
        <v>0.7</v>
      </c>
      <c r="G342" s="32" t="n">
        <v>6</v>
      </c>
      <c r="H342" s="1220" t="n">
        <v>4.2</v>
      </c>
      <c r="I342" s="1220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8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1" t="n">
        <v>0</v>
      </c>
      <c r="Y342" s="1222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4" t="inlineStr">
        <is>
          <t>Итого</t>
        </is>
      </c>
      <c r="Q343" s="795" t="n"/>
      <c r="R343" s="795" t="n"/>
      <c r="S343" s="795" t="n"/>
      <c r="T343" s="795" t="n"/>
      <c r="U343" s="795" t="n"/>
      <c r="V343" s="796" t="n"/>
      <c r="W343" s="37" t="inlineStr">
        <is>
          <t>кор</t>
        </is>
      </c>
      <c r="X343" s="1223">
        <f>IFERROR(X342/H342,"0")</f>
        <v/>
      </c>
      <c r="Y343" s="1223">
        <f>IFERROR(Y342/H342,"0")</f>
        <v/>
      </c>
      <c r="Z343" s="1223">
        <f>IFERROR(IF(Z342="",0,Z342),"0")</f>
        <v/>
      </c>
      <c r="AA343" s="1224" t="n"/>
      <c r="AB343" s="1224" t="n"/>
      <c r="AC343" s="1224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4" t="inlineStr">
        <is>
          <t>Итого</t>
        </is>
      </c>
      <c r="Q344" s="795" t="n"/>
      <c r="R344" s="795" t="n"/>
      <c r="S344" s="795" t="n"/>
      <c r="T344" s="795" t="n"/>
      <c r="U344" s="795" t="n"/>
      <c r="V344" s="796" t="n"/>
      <c r="W344" s="37" t="inlineStr">
        <is>
          <t>кг</t>
        </is>
      </c>
      <c r="X344" s="1223">
        <f>IFERROR(SUM(X342:X342),"0")</f>
        <v/>
      </c>
      <c r="Y344" s="1223">
        <f>IFERROR(SUM(Y342:Y342),"0")</f>
        <v/>
      </c>
      <c r="Z344" s="37" t="n"/>
      <c r="AA344" s="1224" t="n"/>
      <c r="AB344" s="1224" t="n"/>
      <c r="AC344" s="1224" t="n"/>
    </row>
    <row r="345" ht="14.25" customHeight="1">
      <c r="A345" s="797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7" t="n"/>
      <c r="AB345" s="797" t="n"/>
      <c r="AC345" s="797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79" t="n">
        <v>4607091389845</v>
      </c>
      <c r="E346" s="780" t="n"/>
      <c r="F346" s="1220" t="n">
        <v>0.35</v>
      </c>
      <c r="G346" s="32" t="n">
        <v>6</v>
      </c>
      <c r="H346" s="1220" t="n">
        <v>2.1</v>
      </c>
      <c r="I346" s="1220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1" t="n">
        <v>0</v>
      </c>
      <c r="Y346" s="1222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79" t="n">
        <v>4680115882881</v>
      </c>
      <c r="E347" s="780" t="n"/>
      <c r="F347" s="1220" t="n">
        <v>0.28</v>
      </c>
      <c r="G347" s="32" t="n">
        <v>6</v>
      </c>
      <c r="H347" s="1220" t="n">
        <v>1.68</v>
      </c>
      <c r="I347" s="1220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1" t="n">
        <v>0</v>
      </c>
      <c r="Y347" s="1222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4" t="inlineStr">
        <is>
          <t>Итого</t>
        </is>
      </c>
      <c r="Q348" s="795" t="n"/>
      <c r="R348" s="795" t="n"/>
      <c r="S348" s="795" t="n"/>
      <c r="T348" s="795" t="n"/>
      <c r="U348" s="795" t="n"/>
      <c r="V348" s="796" t="n"/>
      <c r="W348" s="37" t="inlineStr">
        <is>
          <t>кор</t>
        </is>
      </c>
      <c r="X348" s="1223">
        <f>IFERROR(X346/H346,"0")+IFERROR(X347/H347,"0")</f>
        <v/>
      </c>
      <c r="Y348" s="1223">
        <f>IFERROR(Y346/H346,"0")+IFERROR(Y347/H347,"0")</f>
        <v/>
      </c>
      <c r="Z348" s="1223">
        <f>IFERROR(IF(Z346="",0,Z346),"0")+IFERROR(IF(Z347="",0,Z347),"0")</f>
        <v/>
      </c>
      <c r="AA348" s="1224" t="n"/>
      <c r="AB348" s="1224" t="n"/>
      <c r="AC348" s="1224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4" t="inlineStr">
        <is>
          <t>Итого</t>
        </is>
      </c>
      <c r="Q349" s="795" t="n"/>
      <c r="R349" s="795" t="n"/>
      <c r="S349" s="795" t="n"/>
      <c r="T349" s="795" t="n"/>
      <c r="U349" s="795" t="n"/>
      <c r="V349" s="796" t="n"/>
      <c r="W349" s="37" t="inlineStr">
        <is>
          <t>кг</t>
        </is>
      </c>
      <c r="X349" s="1223">
        <f>IFERROR(SUM(X346:X347),"0")</f>
        <v/>
      </c>
      <c r="Y349" s="1223">
        <f>IFERROR(SUM(Y346:Y347),"0")</f>
        <v/>
      </c>
      <c r="Z349" s="37" t="n"/>
      <c r="AA349" s="1224" t="n"/>
      <c r="AB349" s="1224" t="n"/>
      <c r="AC349" s="1224" t="n"/>
    </row>
    <row r="350" ht="14.25" customHeight="1">
      <c r="A350" s="797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7" t="n"/>
      <c r="AB350" s="797" t="n"/>
      <c r="AC350" s="797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79" t="n">
        <v>4680115883390</v>
      </c>
      <c r="E351" s="780" t="n"/>
      <c r="F351" s="1220" t="n">
        <v>0.3</v>
      </c>
      <c r="G351" s="32" t="n">
        <v>6</v>
      </c>
      <c r="H351" s="1220" t="n">
        <v>1.8</v>
      </c>
      <c r="I351" s="1220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5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1" t="n">
        <v>0</v>
      </c>
      <c r="Y351" s="1222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4" t="inlineStr">
        <is>
          <t>Итого</t>
        </is>
      </c>
      <c r="Q352" s="795" t="n"/>
      <c r="R352" s="795" t="n"/>
      <c r="S352" s="795" t="n"/>
      <c r="T352" s="795" t="n"/>
      <c r="U352" s="795" t="n"/>
      <c r="V352" s="796" t="n"/>
      <c r="W352" s="37" t="inlineStr">
        <is>
          <t>кор</t>
        </is>
      </c>
      <c r="X352" s="1223">
        <f>IFERROR(X351/H351,"0")</f>
        <v/>
      </c>
      <c r="Y352" s="1223">
        <f>IFERROR(Y351/H351,"0")</f>
        <v/>
      </c>
      <c r="Z352" s="1223">
        <f>IFERROR(IF(Z351="",0,Z351),"0")</f>
        <v/>
      </c>
      <c r="AA352" s="1224" t="n"/>
      <c r="AB352" s="1224" t="n"/>
      <c r="AC352" s="1224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4" t="inlineStr">
        <is>
          <t>Итого</t>
        </is>
      </c>
      <c r="Q353" s="795" t="n"/>
      <c r="R353" s="795" t="n"/>
      <c r="S353" s="795" t="n"/>
      <c r="T353" s="795" t="n"/>
      <c r="U353" s="795" t="n"/>
      <c r="V353" s="796" t="n"/>
      <c r="W353" s="37" t="inlineStr">
        <is>
          <t>кг</t>
        </is>
      </c>
      <c r="X353" s="1223">
        <f>IFERROR(SUM(X351:X351),"0")</f>
        <v/>
      </c>
      <c r="Y353" s="1223">
        <f>IFERROR(SUM(Y351:Y351),"0")</f>
        <v/>
      </c>
      <c r="Z353" s="37" t="n"/>
      <c r="AA353" s="1224" t="n"/>
      <c r="AB353" s="1224" t="n"/>
      <c r="AC353" s="1224" t="n"/>
    </row>
    <row r="354" ht="16.5" customHeight="1">
      <c r="A354" s="828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8" t="n"/>
      <c r="AB354" s="828" t="n"/>
      <c r="AC354" s="828" t="n"/>
    </row>
    <row r="355" ht="14.25" customHeight="1">
      <c r="A355" s="797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7" t="n"/>
      <c r="AB355" s="797" t="n"/>
      <c r="AC355" s="797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79" t="n">
        <v>4680115885615</v>
      </c>
      <c r="E356" s="780" t="n"/>
      <c r="F356" s="1220" t="n">
        <v>1.35</v>
      </c>
      <c r="G356" s="32" t="n">
        <v>8</v>
      </c>
      <c r="H356" s="1220" t="n">
        <v>10.8</v>
      </c>
      <c r="I356" s="1220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8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1" t="n">
        <v>0</v>
      </c>
      <c r="Y356" s="1222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779" t="n">
        <v>4680115885554</v>
      </c>
      <c r="E357" s="780" t="n"/>
      <c r="F357" s="1220" t="n">
        <v>1.35</v>
      </c>
      <c r="G357" s="32" t="n">
        <v>8</v>
      </c>
      <c r="H357" s="1220" t="n">
        <v>10.8</v>
      </c>
      <c r="I357" s="1220" t="n">
        <v>11.28</v>
      </c>
      <c r="J357" s="32" t="n">
        <v>56</v>
      </c>
      <c r="K357" s="32" t="inlineStr">
        <is>
          <t>8</t>
        </is>
      </c>
      <c r="L357" s="32" t="n"/>
      <c r="M357" s="33" t="inlineStr">
        <is>
          <t>СК3</t>
        </is>
      </c>
      <c r="N357" s="33" t="n"/>
      <c r="O357" s="32" t="n">
        <v>55</v>
      </c>
      <c r="P357" s="117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1" t="n">
        <v>0</v>
      </c>
      <c r="Y357" s="1222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779" t="n">
        <v>4680115885554</v>
      </c>
      <c r="E358" s="780" t="n"/>
      <c r="F358" s="1220" t="n">
        <v>1.35</v>
      </c>
      <c r="G358" s="32" t="n">
        <v>8</v>
      </c>
      <c r="H358" s="1220" t="n">
        <v>10.8</v>
      </c>
      <c r="I358" s="1220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39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1" t="n">
        <v>0</v>
      </c>
      <c r="Y358" s="1222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79" t="n">
        <v>4680115885646</v>
      </c>
      <c r="E359" s="780" t="n"/>
      <c r="F359" s="1220" t="n">
        <v>1.35</v>
      </c>
      <c r="G359" s="32" t="n">
        <v>8</v>
      </c>
      <c r="H359" s="1220" t="n">
        <v>10.8</v>
      </c>
      <c r="I359" s="1220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1" t="n">
        <v>0</v>
      </c>
      <c r="Y359" s="1222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79" t="n">
        <v>4680115885622</v>
      </c>
      <c r="E360" s="780" t="n"/>
      <c r="F360" s="1220" t="n">
        <v>0.4</v>
      </c>
      <c r="G360" s="32" t="n">
        <v>10</v>
      </c>
      <c r="H360" s="1220" t="n">
        <v>4</v>
      </c>
      <c r="I360" s="1220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2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1" t="n">
        <v>0</v>
      </c>
      <c r="Y360" s="1222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79" t="n">
        <v>4680115881938</v>
      </c>
      <c r="E361" s="780" t="n"/>
      <c r="F361" s="1220" t="n">
        <v>0.4</v>
      </c>
      <c r="G361" s="32" t="n">
        <v>10</v>
      </c>
      <c r="H361" s="1220" t="n">
        <v>4</v>
      </c>
      <c r="I361" s="1220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1" t="n">
        <v>0</v>
      </c>
      <c r="Y361" s="1222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79" t="n">
        <v>4607091387346</v>
      </c>
      <c r="E362" s="780" t="n"/>
      <c r="F362" s="1220" t="n">
        <v>0.4</v>
      </c>
      <c r="G362" s="32" t="n">
        <v>10</v>
      </c>
      <c r="H362" s="1220" t="n">
        <v>4</v>
      </c>
      <c r="I362" s="1220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1" t="n">
        <v>0</v>
      </c>
      <c r="Y362" s="1222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79" t="n">
        <v>4680115885608</v>
      </c>
      <c r="E363" s="780" t="n"/>
      <c r="F363" s="1220" t="n">
        <v>0.4</v>
      </c>
      <c r="G363" s="32" t="n">
        <v>10</v>
      </c>
      <c r="H363" s="1220" t="n">
        <v>4</v>
      </c>
      <c r="I363" s="1220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1" t="n">
        <v>0</v>
      </c>
      <c r="Y363" s="1222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79" t="n">
        <v>4607091386011</v>
      </c>
      <c r="E364" s="780" t="n"/>
      <c r="F364" s="1220" t="n">
        <v>0.5</v>
      </c>
      <c r="G364" s="32" t="n">
        <v>10</v>
      </c>
      <c r="H364" s="1220" t="n">
        <v>5</v>
      </c>
      <c r="I364" s="1220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1" t="n">
        <v>0</v>
      </c>
      <c r="Y364" s="1222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89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4" t="inlineStr">
        <is>
          <t>Итого</t>
        </is>
      </c>
      <c r="Q365" s="795" t="n"/>
      <c r="R365" s="795" t="n"/>
      <c r="S365" s="795" t="n"/>
      <c r="T365" s="795" t="n"/>
      <c r="U365" s="795" t="n"/>
      <c r="V365" s="796" t="n"/>
      <c r="W365" s="37" t="inlineStr">
        <is>
          <t>кор</t>
        </is>
      </c>
      <c r="X365" s="1223">
        <f>IFERROR(X356/H356,"0")+IFERROR(X357/H357,"0")+IFERROR(X358/H358,"0")+IFERROR(X359/H359,"0")+IFERROR(X360/H360,"0")+IFERROR(X361/H361,"0")+IFERROR(X362/H362,"0")+IFERROR(X363/H363,"0")+IFERROR(X364/H364,"0")</f>
        <v/>
      </c>
      <c r="Y365" s="1223">
        <f>IFERROR(Y356/H356,"0")+IFERROR(Y357/H357,"0")+IFERROR(Y358/H358,"0")+IFERROR(Y359/H359,"0")+IFERROR(Y360/H360,"0")+IFERROR(Y361/H361,"0")+IFERROR(Y362/H362,"0")+IFERROR(Y363/H363,"0")+IFERROR(Y364/H364,"0")</f>
        <v/>
      </c>
      <c r="Z365" s="122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4" t="n"/>
      <c r="AB365" s="1224" t="n"/>
      <c r="AC365" s="1224" t="n"/>
    </row>
    <row r="366">
      <c r="A366" s="790" t="n"/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1" t="n"/>
      <c r="P366" s="794" t="inlineStr">
        <is>
          <t>Итого</t>
        </is>
      </c>
      <c r="Q366" s="795" t="n"/>
      <c r="R366" s="795" t="n"/>
      <c r="S366" s="795" t="n"/>
      <c r="T366" s="795" t="n"/>
      <c r="U366" s="795" t="n"/>
      <c r="V366" s="796" t="n"/>
      <c r="W366" s="37" t="inlineStr">
        <is>
          <t>кг</t>
        </is>
      </c>
      <c r="X366" s="1223">
        <f>IFERROR(SUM(X356:X364),"0")</f>
        <v/>
      </c>
      <c r="Y366" s="1223">
        <f>IFERROR(SUM(Y356:Y364),"0")</f>
        <v/>
      </c>
      <c r="Z366" s="37" t="n"/>
      <c r="AA366" s="1224" t="n"/>
      <c r="AB366" s="1224" t="n"/>
      <c r="AC366" s="1224" t="n"/>
    </row>
    <row r="367" ht="14.25" customHeight="1">
      <c r="A367" s="797" t="inlineStr">
        <is>
          <t>Копченые колбасы</t>
        </is>
      </c>
      <c r="B367" s="790" t="n"/>
      <c r="C367" s="790" t="n"/>
      <c r="D367" s="790" t="n"/>
      <c r="E367" s="790" t="n"/>
      <c r="F367" s="790" t="n"/>
      <c r="G367" s="790" t="n"/>
      <c r="H367" s="790" t="n"/>
      <c r="I367" s="790" t="n"/>
      <c r="J367" s="790" t="n"/>
      <c r="K367" s="790" t="n"/>
      <c r="L367" s="790" t="n"/>
      <c r="M367" s="790" t="n"/>
      <c r="N367" s="790" t="n"/>
      <c r="O367" s="790" t="n"/>
      <c r="P367" s="790" t="n"/>
      <c r="Q367" s="790" t="n"/>
      <c r="R367" s="790" t="n"/>
      <c r="S367" s="790" t="n"/>
      <c r="T367" s="790" t="n"/>
      <c r="U367" s="790" t="n"/>
      <c r="V367" s="790" t="n"/>
      <c r="W367" s="790" t="n"/>
      <c r="X367" s="790" t="n"/>
      <c r="Y367" s="790" t="n"/>
      <c r="Z367" s="790" t="n"/>
      <c r="AA367" s="797" t="n"/>
      <c r="AB367" s="797" t="n"/>
      <c r="AC367" s="797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79" t="n">
        <v>4607091387193</v>
      </c>
      <c r="E368" s="780" t="n"/>
      <c r="F368" s="1220" t="n">
        <v>0.7</v>
      </c>
      <c r="G368" s="32" t="n">
        <v>6</v>
      </c>
      <c r="H368" s="1220" t="n">
        <v>4.2</v>
      </c>
      <c r="I368" s="1220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1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1" t="n">
        <v>0</v>
      </c>
      <c r="Y368" s="1222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79" t="n">
        <v>4607091387230</v>
      </c>
      <c r="E369" s="780" t="n"/>
      <c r="F369" s="1220" t="n">
        <v>0.7</v>
      </c>
      <c r="G369" s="32" t="n">
        <v>6</v>
      </c>
      <c r="H369" s="1220" t="n">
        <v>4.2</v>
      </c>
      <c r="I369" s="1220" t="n">
        <v>4.47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1" t="n">
        <v>0</v>
      </c>
      <c r="Y369" s="1222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79" t="n">
        <v>4607091387292</v>
      </c>
      <c r="E370" s="780" t="n"/>
      <c r="F370" s="1220" t="n">
        <v>0.73</v>
      </c>
      <c r="G370" s="32" t="n">
        <v>6</v>
      </c>
      <c r="H370" s="1220" t="n">
        <v>4.38</v>
      </c>
      <c r="I370" s="1220" t="n">
        <v>4.65</v>
      </c>
      <c r="J370" s="32" t="n">
        <v>132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77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1" t="n">
        <v>0</v>
      </c>
      <c r="Y370" s="1222">
        <f>IFERROR(IF(X370="",0,CEILING((X370/$H370),1)*$H370),"")</f>
        <v/>
      </c>
      <c r="Z370" s="36">
        <f>IFERROR(IF(Y370=0,"",ROUNDUP(Y370/H370,0)*0.00902),"")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79" t="n">
        <v>4607091387285</v>
      </c>
      <c r="E371" s="780" t="n"/>
      <c r="F371" s="1220" t="n">
        <v>0.35</v>
      </c>
      <c r="G371" s="32" t="n">
        <v>6</v>
      </c>
      <c r="H371" s="1220" t="n">
        <v>2.1</v>
      </c>
      <c r="I371" s="1220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1" t="n">
        <v>0</v>
      </c>
      <c r="Y371" s="1222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89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4" t="inlineStr">
        <is>
          <t>Итого</t>
        </is>
      </c>
      <c r="Q372" s="795" t="n"/>
      <c r="R372" s="795" t="n"/>
      <c r="S372" s="795" t="n"/>
      <c r="T372" s="795" t="n"/>
      <c r="U372" s="795" t="n"/>
      <c r="V372" s="796" t="n"/>
      <c r="W372" s="37" t="inlineStr">
        <is>
          <t>кор</t>
        </is>
      </c>
      <c r="X372" s="1223">
        <f>IFERROR(X368/H368,"0")+IFERROR(X369/H369,"0")+IFERROR(X370/H370,"0")+IFERROR(X371/H371,"0")</f>
        <v/>
      </c>
      <c r="Y372" s="1223">
        <f>IFERROR(Y368/H368,"0")+IFERROR(Y369/H369,"0")+IFERROR(Y370/H370,"0")+IFERROR(Y371/H371,"0")</f>
        <v/>
      </c>
      <c r="Z372" s="1223">
        <f>IFERROR(IF(Z368="",0,Z368),"0")+IFERROR(IF(Z369="",0,Z369),"0")+IFERROR(IF(Z370="",0,Z370),"0")+IFERROR(IF(Z371="",0,Z371),"0")</f>
        <v/>
      </c>
      <c r="AA372" s="1224" t="n"/>
      <c r="AB372" s="1224" t="n"/>
      <c r="AC372" s="1224" t="n"/>
    </row>
    <row r="373">
      <c r="A373" s="790" t="n"/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1" t="n"/>
      <c r="P373" s="794" t="inlineStr">
        <is>
          <t>Итого</t>
        </is>
      </c>
      <c r="Q373" s="795" t="n"/>
      <c r="R373" s="795" t="n"/>
      <c r="S373" s="795" t="n"/>
      <c r="T373" s="795" t="n"/>
      <c r="U373" s="795" t="n"/>
      <c r="V373" s="796" t="n"/>
      <c r="W373" s="37" t="inlineStr">
        <is>
          <t>кг</t>
        </is>
      </c>
      <c r="X373" s="1223">
        <f>IFERROR(SUM(X368:X371),"0")</f>
        <v/>
      </c>
      <c r="Y373" s="1223">
        <f>IFERROR(SUM(Y368:Y371),"0")</f>
        <v/>
      </c>
      <c r="Z373" s="37" t="n"/>
      <c r="AA373" s="1224" t="n"/>
      <c r="AB373" s="1224" t="n"/>
      <c r="AC373" s="1224" t="n"/>
    </row>
    <row r="374" ht="14.25" customHeight="1">
      <c r="A374" s="797" t="inlineStr">
        <is>
          <t>Сосиски</t>
        </is>
      </c>
      <c r="B374" s="790" t="n"/>
      <c r="C374" s="790" t="n"/>
      <c r="D374" s="790" t="n"/>
      <c r="E374" s="790" t="n"/>
      <c r="F374" s="790" t="n"/>
      <c r="G374" s="790" t="n"/>
      <c r="H374" s="790" t="n"/>
      <c r="I374" s="790" t="n"/>
      <c r="J374" s="790" t="n"/>
      <c r="K374" s="790" t="n"/>
      <c r="L374" s="790" t="n"/>
      <c r="M374" s="790" t="n"/>
      <c r="N374" s="790" t="n"/>
      <c r="O374" s="790" t="n"/>
      <c r="P374" s="790" t="n"/>
      <c r="Q374" s="790" t="n"/>
      <c r="R374" s="790" t="n"/>
      <c r="S374" s="790" t="n"/>
      <c r="T374" s="790" t="n"/>
      <c r="U374" s="790" t="n"/>
      <c r="V374" s="790" t="n"/>
      <c r="W374" s="790" t="n"/>
      <c r="X374" s="790" t="n"/>
      <c r="Y374" s="790" t="n"/>
      <c r="Z374" s="790" t="n"/>
      <c r="AA374" s="797" t="n"/>
      <c r="AB374" s="797" t="n"/>
      <c r="AC374" s="797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79" t="n">
        <v>4607091387766</v>
      </c>
      <c r="E375" s="780" t="n"/>
      <c r="F375" s="1220" t="n">
        <v>1.3</v>
      </c>
      <c r="G375" s="32" t="n">
        <v>6</v>
      </c>
      <c r="H375" s="1220" t="n">
        <v>7.8</v>
      </c>
      <c r="I375" s="1220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2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1" t="n">
        <v>0</v>
      </c>
      <c r="Y375" s="1222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79" t="n">
        <v>4607091387957</v>
      </c>
      <c r="E376" s="780" t="n"/>
      <c r="F376" s="1220" t="n">
        <v>1.3</v>
      </c>
      <c r="G376" s="32" t="n">
        <v>6</v>
      </c>
      <c r="H376" s="1220" t="n">
        <v>7.8</v>
      </c>
      <c r="I376" s="1220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1" t="n">
        <v>0</v>
      </c>
      <c r="Y376" s="1222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79" t="n">
        <v>4607091387964</v>
      </c>
      <c r="E377" s="780" t="n"/>
      <c r="F377" s="1220" t="n">
        <v>1.35</v>
      </c>
      <c r="G377" s="32" t="n">
        <v>6</v>
      </c>
      <c r="H377" s="1220" t="n">
        <v>8.1</v>
      </c>
      <c r="I377" s="1220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1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1" t="n">
        <v>0</v>
      </c>
      <c r="Y377" s="1222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79" t="n">
        <v>4680115884588</v>
      </c>
      <c r="E378" s="780" t="n"/>
      <c r="F378" s="1220" t="n">
        <v>0.5</v>
      </c>
      <c r="G378" s="32" t="n">
        <v>6</v>
      </c>
      <c r="H378" s="1220" t="n">
        <v>3</v>
      </c>
      <c r="I378" s="1220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1" t="n">
        <v>0</v>
      </c>
      <c r="Y378" s="1222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79" t="n">
        <v>4607091387537</v>
      </c>
      <c r="E379" s="780" t="n"/>
      <c r="F379" s="1220" t="n">
        <v>0.45</v>
      </c>
      <c r="G379" s="32" t="n">
        <v>6</v>
      </c>
      <c r="H379" s="1220" t="n">
        <v>2.7</v>
      </c>
      <c r="I379" s="1220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1" t="n">
        <v>0</v>
      </c>
      <c r="Y379" s="1222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79" t="n">
        <v>4607091387513</v>
      </c>
      <c r="E380" s="780" t="n"/>
      <c r="F380" s="1220" t="n">
        <v>0.45</v>
      </c>
      <c r="G380" s="32" t="n">
        <v>6</v>
      </c>
      <c r="H380" s="1220" t="n">
        <v>2.7</v>
      </c>
      <c r="I380" s="1220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1" t="n">
        <v>0</v>
      </c>
      <c r="Y380" s="1222">
        <f>IFERROR(IF(X380="",0,CEILING((X380/$H380),1)*$H380),"")</f>
        <v/>
      </c>
      <c r="Z380" s="36">
        <f>IFERROR(IF(Y380=0,"",ROUNDUP(Y380/H380,0)*0.00651),"")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89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4" t="inlineStr">
        <is>
          <t>Итого</t>
        </is>
      </c>
      <c r="Q381" s="795" t="n"/>
      <c r="R381" s="795" t="n"/>
      <c r="S381" s="795" t="n"/>
      <c r="T381" s="795" t="n"/>
      <c r="U381" s="795" t="n"/>
      <c r="V381" s="796" t="n"/>
      <c r="W381" s="37" t="inlineStr">
        <is>
          <t>кор</t>
        </is>
      </c>
      <c r="X381" s="1223">
        <f>IFERROR(X375/H375,"0")+IFERROR(X376/H376,"0")+IFERROR(X377/H377,"0")+IFERROR(X378/H378,"0")+IFERROR(X379/H379,"0")+IFERROR(X380/H380,"0")</f>
        <v/>
      </c>
      <c r="Y381" s="1223">
        <f>IFERROR(Y375/H375,"0")+IFERROR(Y376/H376,"0")+IFERROR(Y377/H377,"0")+IFERROR(Y378/H378,"0")+IFERROR(Y379/H379,"0")+IFERROR(Y380/H380,"0")</f>
        <v/>
      </c>
      <c r="Z381" s="1223">
        <f>IFERROR(IF(Z375="",0,Z375),"0")+IFERROR(IF(Z376="",0,Z376),"0")+IFERROR(IF(Z377="",0,Z377),"0")+IFERROR(IF(Z378="",0,Z378),"0")+IFERROR(IF(Z379="",0,Z379),"0")+IFERROR(IF(Z380="",0,Z380),"0")</f>
        <v/>
      </c>
      <c r="AA381" s="1224" t="n"/>
      <c r="AB381" s="1224" t="n"/>
      <c r="AC381" s="1224" t="n"/>
    </row>
    <row r="382">
      <c r="A382" s="790" t="n"/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1" t="n"/>
      <c r="P382" s="794" t="inlineStr">
        <is>
          <t>Итого</t>
        </is>
      </c>
      <c r="Q382" s="795" t="n"/>
      <c r="R382" s="795" t="n"/>
      <c r="S382" s="795" t="n"/>
      <c r="T382" s="795" t="n"/>
      <c r="U382" s="795" t="n"/>
      <c r="V382" s="796" t="n"/>
      <c r="W382" s="37" t="inlineStr">
        <is>
          <t>кг</t>
        </is>
      </c>
      <c r="X382" s="1223">
        <f>IFERROR(SUM(X375:X380),"0")</f>
        <v/>
      </c>
      <c r="Y382" s="1223">
        <f>IFERROR(SUM(Y375:Y380),"0")</f>
        <v/>
      </c>
      <c r="Z382" s="37" t="n"/>
      <c r="AA382" s="1224" t="n"/>
      <c r="AB382" s="1224" t="n"/>
      <c r="AC382" s="1224" t="n"/>
    </row>
    <row r="383" ht="14.25" customHeight="1">
      <c r="A383" s="797" t="inlineStr">
        <is>
          <t>Сардельки</t>
        </is>
      </c>
      <c r="B383" s="790" t="n"/>
      <c r="C383" s="790" t="n"/>
      <c r="D383" s="790" t="n"/>
      <c r="E383" s="790" t="n"/>
      <c r="F383" s="790" t="n"/>
      <c r="G383" s="790" t="n"/>
      <c r="H383" s="790" t="n"/>
      <c r="I383" s="790" t="n"/>
      <c r="J383" s="790" t="n"/>
      <c r="K383" s="790" t="n"/>
      <c r="L383" s="790" t="n"/>
      <c r="M383" s="790" t="n"/>
      <c r="N383" s="790" t="n"/>
      <c r="O383" s="790" t="n"/>
      <c r="P383" s="790" t="n"/>
      <c r="Q383" s="790" t="n"/>
      <c r="R383" s="790" t="n"/>
      <c r="S383" s="790" t="n"/>
      <c r="T383" s="790" t="n"/>
      <c r="U383" s="790" t="n"/>
      <c r="V383" s="790" t="n"/>
      <c r="W383" s="790" t="n"/>
      <c r="X383" s="790" t="n"/>
      <c r="Y383" s="790" t="n"/>
      <c r="Z383" s="790" t="n"/>
      <c r="AA383" s="797" t="n"/>
      <c r="AB383" s="797" t="n"/>
      <c r="AC383" s="797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79" t="n">
        <v>4607091380880</v>
      </c>
      <c r="E384" s="780" t="n"/>
      <c r="F384" s="1220" t="n">
        <v>1.4</v>
      </c>
      <c r="G384" s="32" t="n">
        <v>6</v>
      </c>
      <c r="H384" s="1220" t="n">
        <v>8.4</v>
      </c>
      <c r="I384" s="1220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1" t="n">
        <v>150</v>
      </c>
      <c r="Y384" s="1222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79" t="n">
        <v>4607091384482</v>
      </c>
      <c r="E385" s="780" t="n"/>
      <c r="F385" s="1220" t="n">
        <v>1.3</v>
      </c>
      <c r="G385" s="32" t="n">
        <v>6</v>
      </c>
      <c r="H385" s="1220" t="n">
        <v>7.8</v>
      </c>
      <c r="I385" s="1220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1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1" t="n">
        <v>0</v>
      </c>
      <c r="Y385" s="1222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79" t="n">
        <v>4607091380897</v>
      </c>
      <c r="E386" s="780" t="n"/>
      <c r="F386" s="1220" t="n">
        <v>1.4</v>
      </c>
      <c r="G386" s="32" t="n">
        <v>6</v>
      </c>
      <c r="H386" s="1220" t="n">
        <v>8.4</v>
      </c>
      <c r="I386" s="1220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2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1" t="n">
        <v>0</v>
      </c>
      <c r="Y386" s="1222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79" t="n">
        <v>4607091380897</v>
      </c>
      <c r="E387" s="780" t="n"/>
      <c r="F387" s="1220" t="n">
        <v>1.4</v>
      </c>
      <c r="G387" s="32" t="n">
        <v>6</v>
      </c>
      <c r="H387" s="1220" t="n">
        <v>8.4</v>
      </c>
      <c r="I387" s="1220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0">
        <f>HYPERLINK("https://abi.ru/products/Охлажденные/Стародворье/Бордо/Сардельки/P002036/","Сардельки Шпикачки Бордо Весовые NDX мгс Стародворье")</f>
        <v/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1" t="n">
        <v>0</v>
      </c>
      <c r="Y387" s="1222">
        <f>IFERROR(IF(X387="",0,CEILING((X387/$H387),1)*$H387),"")</f>
        <v/>
      </c>
      <c r="Z387" s="36">
        <f>IFERROR(IF(Y387=0,"",ROUNDUP(Y387/H387,0)*0.02175),"")</f>
        <v/>
      </c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789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4" t="inlineStr">
        <is>
          <t>Итого</t>
        </is>
      </c>
      <c r="Q388" s="795" t="n"/>
      <c r="R388" s="795" t="n"/>
      <c r="S388" s="795" t="n"/>
      <c r="T388" s="795" t="n"/>
      <c r="U388" s="795" t="n"/>
      <c r="V388" s="796" t="n"/>
      <c r="W388" s="37" t="inlineStr">
        <is>
          <t>кор</t>
        </is>
      </c>
      <c r="X388" s="1223">
        <f>IFERROR(X384/H384,"0")+IFERROR(X385/H385,"0")+IFERROR(X386/H386,"0")+IFERROR(X387/H387,"0")</f>
        <v/>
      </c>
      <c r="Y388" s="1223">
        <f>IFERROR(Y384/H384,"0")+IFERROR(Y385/H385,"0")+IFERROR(Y386/H386,"0")+IFERROR(Y387/H387,"0")</f>
        <v/>
      </c>
      <c r="Z388" s="1223">
        <f>IFERROR(IF(Z384="",0,Z384),"0")+IFERROR(IF(Z385="",0,Z385),"0")+IFERROR(IF(Z386="",0,Z386),"0")+IFERROR(IF(Z387="",0,Z387),"0")</f>
        <v/>
      </c>
      <c r="AA388" s="1224" t="n"/>
      <c r="AB388" s="1224" t="n"/>
      <c r="AC388" s="1224" t="n"/>
    </row>
    <row r="389">
      <c r="A389" s="790" t="n"/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1" t="n"/>
      <c r="P389" s="794" t="inlineStr">
        <is>
          <t>Итого</t>
        </is>
      </c>
      <c r="Q389" s="795" t="n"/>
      <c r="R389" s="795" t="n"/>
      <c r="S389" s="795" t="n"/>
      <c r="T389" s="795" t="n"/>
      <c r="U389" s="795" t="n"/>
      <c r="V389" s="796" t="n"/>
      <c r="W389" s="37" t="inlineStr">
        <is>
          <t>кг</t>
        </is>
      </c>
      <c r="X389" s="1223">
        <f>IFERROR(SUM(X384:X387),"0")</f>
        <v/>
      </c>
      <c r="Y389" s="1223">
        <f>IFERROR(SUM(Y384:Y387),"0")</f>
        <v/>
      </c>
      <c r="Z389" s="37" t="n"/>
      <c r="AA389" s="1224" t="n"/>
      <c r="AB389" s="1224" t="n"/>
      <c r="AC389" s="1224" t="n"/>
    </row>
    <row r="390" ht="14.25" customHeight="1">
      <c r="A390" s="797" t="inlineStr">
        <is>
          <t>Сырокопченые колбасы</t>
        </is>
      </c>
      <c r="B390" s="790" t="n"/>
      <c r="C390" s="790" t="n"/>
      <c r="D390" s="790" t="n"/>
      <c r="E390" s="790" t="n"/>
      <c r="F390" s="790" t="n"/>
      <c r="G390" s="790" t="n"/>
      <c r="H390" s="790" t="n"/>
      <c r="I390" s="790" t="n"/>
      <c r="J390" s="790" t="n"/>
      <c r="K390" s="790" t="n"/>
      <c r="L390" s="790" t="n"/>
      <c r="M390" s="790" t="n"/>
      <c r="N390" s="790" t="n"/>
      <c r="O390" s="790" t="n"/>
      <c r="P390" s="790" t="n"/>
      <c r="Q390" s="790" t="n"/>
      <c r="R390" s="790" t="n"/>
      <c r="S390" s="790" t="n"/>
      <c r="T390" s="790" t="n"/>
      <c r="U390" s="790" t="n"/>
      <c r="V390" s="790" t="n"/>
      <c r="W390" s="790" t="n"/>
      <c r="X390" s="790" t="n"/>
      <c r="Y390" s="790" t="n"/>
      <c r="Z390" s="790" t="n"/>
      <c r="AA390" s="797" t="n"/>
      <c r="AB390" s="797" t="n"/>
      <c r="AC390" s="797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79" t="n">
        <v>4607091388374</v>
      </c>
      <c r="E391" s="780" t="n"/>
      <c r="F391" s="1220" t="n">
        <v>0.38</v>
      </c>
      <c r="G391" s="32" t="n">
        <v>8</v>
      </c>
      <c r="H391" s="1220" t="n">
        <v>3.04</v>
      </c>
      <c r="I391" s="1220" t="n">
        <v>3.29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1" t="n">
        <v>0</v>
      </c>
      <c r="Y391" s="1222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79" t="n">
        <v>4607091388381</v>
      </c>
      <c r="E392" s="780" t="n"/>
      <c r="F392" s="1220" t="n">
        <v>0.38</v>
      </c>
      <c r="G392" s="32" t="n">
        <v>8</v>
      </c>
      <c r="H392" s="1220" t="n">
        <v>3.04</v>
      </c>
      <c r="I392" s="1220" t="n">
        <v>3.33</v>
      </c>
      <c r="J392" s="32" t="n">
        <v>132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0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1" t="n">
        <v>0</v>
      </c>
      <c r="Y392" s="1222">
        <f>IFERROR(IF(X392="",0,CEILING((X392/$H392),1)*$H392),"")</f>
        <v/>
      </c>
      <c r="Z392" s="36">
        <f>IFERROR(IF(Y392=0,"",ROUNDUP(Y392/H392,0)*0.00902),"")</f>
        <v/>
      </c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79" t="n">
        <v>4607091383102</v>
      </c>
      <c r="E393" s="780" t="n"/>
      <c r="F393" s="1220" t="n">
        <v>0.17</v>
      </c>
      <c r="G393" s="32" t="n">
        <v>15</v>
      </c>
      <c r="H393" s="1220" t="n">
        <v>2.55</v>
      </c>
      <c r="I393" s="1220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1" t="n">
        <v>0</v>
      </c>
      <c r="Y393" s="1222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79" t="n">
        <v>4607091388404</v>
      </c>
      <c r="E394" s="780" t="n"/>
      <c r="F394" s="1220" t="n">
        <v>0.17</v>
      </c>
      <c r="G394" s="32" t="n">
        <v>15</v>
      </c>
      <c r="H394" s="1220" t="n">
        <v>2.55</v>
      </c>
      <c r="I394" s="1220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4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1" t="n">
        <v>0</v>
      </c>
      <c r="Y394" s="1222">
        <f>IFERROR(IF(X394="",0,CEILING((X394/$H394),1)*$H394),"")</f>
        <v/>
      </c>
      <c r="Z394" s="36">
        <f>IFERROR(IF(Y394=0,"",ROUNDUP(Y394/H394,0)*0.00651),"")</f>
        <v/>
      </c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>
      <c r="A395" s="789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4" t="inlineStr">
        <is>
          <t>Итого</t>
        </is>
      </c>
      <c r="Q395" s="795" t="n"/>
      <c r="R395" s="795" t="n"/>
      <c r="S395" s="795" t="n"/>
      <c r="T395" s="795" t="n"/>
      <c r="U395" s="795" t="n"/>
      <c r="V395" s="796" t="n"/>
      <c r="W395" s="37" t="inlineStr">
        <is>
          <t>кор</t>
        </is>
      </c>
      <c r="X395" s="1223">
        <f>IFERROR(X391/H391,"0")+IFERROR(X392/H392,"0")+IFERROR(X393/H393,"0")+IFERROR(X394/H394,"0")</f>
        <v/>
      </c>
      <c r="Y395" s="1223">
        <f>IFERROR(Y391/H391,"0")+IFERROR(Y392/H392,"0")+IFERROR(Y393/H393,"0")+IFERROR(Y394/H394,"0")</f>
        <v/>
      </c>
      <c r="Z395" s="1223">
        <f>IFERROR(IF(Z391="",0,Z391),"0")+IFERROR(IF(Z392="",0,Z392),"0")+IFERROR(IF(Z393="",0,Z393),"0")+IFERROR(IF(Z394="",0,Z394),"0")</f>
        <v/>
      </c>
      <c r="AA395" s="1224" t="n"/>
      <c r="AB395" s="1224" t="n"/>
      <c r="AC395" s="1224" t="n"/>
    </row>
    <row r="396">
      <c r="A396" s="790" t="n"/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1" t="n"/>
      <c r="P396" s="794" t="inlineStr">
        <is>
          <t>Итого</t>
        </is>
      </c>
      <c r="Q396" s="795" t="n"/>
      <c r="R396" s="795" t="n"/>
      <c r="S396" s="795" t="n"/>
      <c r="T396" s="795" t="n"/>
      <c r="U396" s="795" t="n"/>
      <c r="V396" s="796" t="n"/>
      <c r="W396" s="37" t="inlineStr">
        <is>
          <t>кг</t>
        </is>
      </c>
      <c r="X396" s="1223">
        <f>IFERROR(SUM(X391:X394),"0")</f>
        <v/>
      </c>
      <c r="Y396" s="1223">
        <f>IFERROR(SUM(Y391:Y394),"0")</f>
        <v/>
      </c>
      <c r="Z396" s="37" t="n"/>
      <c r="AA396" s="1224" t="n"/>
      <c r="AB396" s="1224" t="n"/>
      <c r="AC396" s="1224" t="n"/>
    </row>
    <row r="397" ht="14.25" customHeight="1">
      <c r="A397" s="797" t="inlineStr">
        <is>
          <t>Паштеты</t>
        </is>
      </c>
      <c r="B397" s="790" t="n"/>
      <c r="C397" s="790" t="n"/>
      <c r="D397" s="790" t="n"/>
      <c r="E397" s="790" t="n"/>
      <c r="F397" s="790" t="n"/>
      <c r="G397" s="790" t="n"/>
      <c r="H397" s="790" t="n"/>
      <c r="I397" s="790" t="n"/>
      <c r="J397" s="790" t="n"/>
      <c r="K397" s="790" t="n"/>
      <c r="L397" s="790" t="n"/>
      <c r="M397" s="790" t="n"/>
      <c r="N397" s="790" t="n"/>
      <c r="O397" s="790" t="n"/>
      <c r="P397" s="790" t="n"/>
      <c r="Q397" s="790" t="n"/>
      <c r="R397" s="790" t="n"/>
      <c r="S397" s="790" t="n"/>
      <c r="T397" s="790" t="n"/>
      <c r="U397" s="790" t="n"/>
      <c r="V397" s="790" t="n"/>
      <c r="W397" s="790" t="n"/>
      <c r="X397" s="790" t="n"/>
      <c r="Y397" s="790" t="n"/>
      <c r="Z397" s="790" t="n"/>
      <c r="AA397" s="797" t="n"/>
      <c r="AB397" s="797" t="n"/>
      <c r="AC397" s="797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79" t="n">
        <v>4680115881808</v>
      </c>
      <c r="E398" s="780" t="n"/>
      <c r="F398" s="1220" t="n">
        <v>0.1</v>
      </c>
      <c r="G398" s="32" t="n">
        <v>20</v>
      </c>
      <c r="H398" s="1220" t="n">
        <v>2</v>
      </c>
      <c r="I398" s="1220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1" t="n">
        <v>0</v>
      </c>
      <c r="Y398" s="1222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79" t="n">
        <v>4680115881822</v>
      </c>
      <c r="E399" s="780" t="n"/>
      <c r="F399" s="1220" t="n">
        <v>0.1</v>
      </c>
      <c r="G399" s="32" t="n">
        <v>20</v>
      </c>
      <c r="H399" s="1220" t="n">
        <v>2</v>
      </c>
      <c r="I399" s="1220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1" t="n">
        <v>0</v>
      </c>
      <c r="Y399" s="1222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79" t="n">
        <v>4680115880016</v>
      </c>
      <c r="E400" s="780" t="n"/>
      <c r="F400" s="1220" t="n">
        <v>0.1</v>
      </c>
      <c r="G400" s="32" t="n">
        <v>20</v>
      </c>
      <c r="H400" s="1220" t="n">
        <v>2</v>
      </c>
      <c r="I400" s="1220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1" t="n">
        <v>0</v>
      </c>
      <c r="Y400" s="1222">
        <f>IFERROR(IF(X400="",0,CEILING((X400/$H400),1)*$H400),"")</f>
        <v/>
      </c>
      <c r="Z400" s="36">
        <f>IFERROR(IF(Y400=0,"",ROUNDUP(Y400/H400,0)*0.00474),"")</f>
        <v/>
      </c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789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4" t="inlineStr">
        <is>
          <t>Итого</t>
        </is>
      </c>
      <c r="Q401" s="795" t="n"/>
      <c r="R401" s="795" t="n"/>
      <c r="S401" s="795" t="n"/>
      <c r="T401" s="795" t="n"/>
      <c r="U401" s="795" t="n"/>
      <c r="V401" s="796" t="n"/>
      <c r="W401" s="37" t="inlineStr">
        <is>
          <t>кор</t>
        </is>
      </c>
      <c r="X401" s="1223">
        <f>IFERROR(X398/H398,"0")+IFERROR(X399/H399,"0")+IFERROR(X400/H400,"0")</f>
        <v/>
      </c>
      <c r="Y401" s="1223">
        <f>IFERROR(Y398/H398,"0")+IFERROR(Y399/H399,"0")+IFERROR(Y400/H400,"0")</f>
        <v/>
      </c>
      <c r="Z401" s="1223">
        <f>IFERROR(IF(Z398="",0,Z398),"0")+IFERROR(IF(Z399="",0,Z399),"0")+IFERROR(IF(Z400="",0,Z400),"0")</f>
        <v/>
      </c>
      <c r="AA401" s="1224" t="n"/>
      <c r="AB401" s="1224" t="n"/>
      <c r="AC401" s="1224" t="n"/>
    </row>
    <row r="402">
      <c r="A402" s="790" t="n"/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1" t="n"/>
      <c r="P402" s="794" t="inlineStr">
        <is>
          <t>Итого</t>
        </is>
      </c>
      <c r="Q402" s="795" t="n"/>
      <c r="R402" s="795" t="n"/>
      <c r="S402" s="795" t="n"/>
      <c r="T402" s="795" t="n"/>
      <c r="U402" s="795" t="n"/>
      <c r="V402" s="796" t="n"/>
      <c r="W402" s="37" t="inlineStr">
        <is>
          <t>кг</t>
        </is>
      </c>
      <c r="X402" s="1223">
        <f>IFERROR(SUM(X398:X400),"0")</f>
        <v/>
      </c>
      <c r="Y402" s="1223">
        <f>IFERROR(SUM(Y398:Y400),"0")</f>
        <v/>
      </c>
      <c r="Z402" s="37" t="n"/>
      <c r="AA402" s="1224" t="n"/>
      <c r="AB402" s="1224" t="n"/>
      <c r="AC402" s="1224" t="n"/>
    </row>
    <row r="403" ht="16.5" customHeight="1">
      <c r="A403" s="828" t="inlineStr">
        <is>
          <t>Бавария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828" t="n"/>
      <c r="AB403" s="828" t="n"/>
      <c r="AC403" s="828" t="n"/>
    </row>
    <row r="404" ht="14.25" customHeight="1">
      <c r="A404" s="797" t="inlineStr">
        <is>
          <t>Копченые колбасы</t>
        </is>
      </c>
      <c r="B404" s="790" t="n"/>
      <c r="C404" s="790" t="n"/>
      <c r="D404" s="790" t="n"/>
      <c r="E404" s="790" t="n"/>
      <c r="F404" s="790" t="n"/>
      <c r="G404" s="790" t="n"/>
      <c r="H404" s="790" t="n"/>
      <c r="I404" s="790" t="n"/>
      <c r="J404" s="790" t="n"/>
      <c r="K404" s="790" t="n"/>
      <c r="L404" s="790" t="n"/>
      <c r="M404" s="790" t="n"/>
      <c r="N404" s="790" t="n"/>
      <c r="O404" s="790" t="n"/>
      <c r="P404" s="790" t="n"/>
      <c r="Q404" s="790" t="n"/>
      <c r="R404" s="790" t="n"/>
      <c r="S404" s="790" t="n"/>
      <c r="T404" s="790" t="n"/>
      <c r="U404" s="790" t="n"/>
      <c r="V404" s="790" t="n"/>
      <c r="W404" s="790" t="n"/>
      <c r="X404" s="790" t="n"/>
      <c r="Y404" s="790" t="n"/>
      <c r="Z404" s="790" t="n"/>
      <c r="AA404" s="797" t="n"/>
      <c r="AB404" s="797" t="n"/>
      <c r="AC404" s="797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79" t="n">
        <v>4607091383836</v>
      </c>
      <c r="E405" s="780" t="n"/>
      <c r="F405" s="1220" t="n">
        <v>0.3</v>
      </c>
      <c r="G405" s="32" t="n">
        <v>6</v>
      </c>
      <c r="H405" s="1220" t="n">
        <v>1.8</v>
      </c>
      <c r="I405" s="1220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1" t="n">
        <v>0</v>
      </c>
      <c r="Y405" s="1222">
        <f>IFERROR(IF(X405="",0,CEILING((X405/$H405),1)*$H405),"")</f>
        <v/>
      </c>
      <c r="Z405" s="36">
        <f>IFERROR(IF(Y405=0,"",ROUNDUP(Y405/H405,0)*0.00651),"")</f>
        <v/>
      </c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>
      <c r="A406" s="789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4" t="inlineStr">
        <is>
          <t>Итого</t>
        </is>
      </c>
      <c r="Q406" s="795" t="n"/>
      <c r="R406" s="795" t="n"/>
      <c r="S406" s="795" t="n"/>
      <c r="T406" s="795" t="n"/>
      <c r="U406" s="795" t="n"/>
      <c r="V406" s="796" t="n"/>
      <c r="W406" s="37" t="inlineStr">
        <is>
          <t>кор</t>
        </is>
      </c>
      <c r="X406" s="1223">
        <f>IFERROR(X405/H405,"0")</f>
        <v/>
      </c>
      <c r="Y406" s="1223">
        <f>IFERROR(Y405/H405,"0")</f>
        <v/>
      </c>
      <c r="Z406" s="1223">
        <f>IFERROR(IF(Z405="",0,Z405),"0")</f>
        <v/>
      </c>
      <c r="AA406" s="1224" t="n"/>
      <c r="AB406" s="1224" t="n"/>
      <c r="AC406" s="1224" t="n"/>
    </row>
    <row r="407">
      <c r="A407" s="790" t="n"/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1" t="n"/>
      <c r="P407" s="794" t="inlineStr">
        <is>
          <t>Итого</t>
        </is>
      </c>
      <c r="Q407" s="795" t="n"/>
      <c r="R407" s="795" t="n"/>
      <c r="S407" s="795" t="n"/>
      <c r="T407" s="795" t="n"/>
      <c r="U407" s="795" t="n"/>
      <c r="V407" s="796" t="n"/>
      <c r="W407" s="37" t="inlineStr">
        <is>
          <t>кг</t>
        </is>
      </c>
      <c r="X407" s="1223">
        <f>IFERROR(SUM(X405:X405),"0")</f>
        <v/>
      </c>
      <c r="Y407" s="1223">
        <f>IFERROR(SUM(Y405:Y405),"0")</f>
        <v/>
      </c>
      <c r="Z407" s="37" t="n"/>
      <c r="AA407" s="1224" t="n"/>
      <c r="AB407" s="1224" t="n"/>
      <c r="AC407" s="1224" t="n"/>
    </row>
    <row r="408" ht="14.25" customHeight="1">
      <c r="A408" s="797" t="inlineStr">
        <is>
          <t>Сосиски</t>
        </is>
      </c>
      <c r="B408" s="790" t="n"/>
      <c r="C408" s="790" t="n"/>
      <c r="D408" s="790" t="n"/>
      <c r="E408" s="790" t="n"/>
      <c r="F408" s="790" t="n"/>
      <c r="G408" s="790" t="n"/>
      <c r="H408" s="790" t="n"/>
      <c r="I408" s="790" t="n"/>
      <c r="J408" s="790" t="n"/>
      <c r="K408" s="790" t="n"/>
      <c r="L408" s="790" t="n"/>
      <c r="M408" s="790" t="n"/>
      <c r="N408" s="790" t="n"/>
      <c r="O408" s="790" t="n"/>
      <c r="P408" s="790" t="n"/>
      <c r="Q408" s="790" t="n"/>
      <c r="R408" s="790" t="n"/>
      <c r="S408" s="790" t="n"/>
      <c r="T408" s="790" t="n"/>
      <c r="U408" s="790" t="n"/>
      <c r="V408" s="790" t="n"/>
      <c r="W408" s="790" t="n"/>
      <c r="X408" s="790" t="n"/>
      <c r="Y408" s="790" t="n"/>
      <c r="Z408" s="790" t="n"/>
      <c r="AA408" s="797" t="n"/>
      <c r="AB408" s="797" t="n"/>
      <c r="AC408" s="797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79" t="n">
        <v>4607091387919</v>
      </c>
      <c r="E409" s="780" t="n"/>
      <c r="F409" s="1220" t="n">
        <v>1.35</v>
      </c>
      <c r="G409" s="32" t="n">
        <v>6</v>
      </c>
      <c r="H409" s="1220" t="n">
        <v>8.1</v>
      </c>
      <c r="I409" s="1220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1" t="n">
        <v>0</v>
      </c>
      <c r="Y409" s="1222">
        <f>IFERROR(IF(X409="",0,CEILING((X409/$H409),1)*$H409),"")</f>
        <v/>
      </c>
      <c r="Z409" s="36">
        <f>IFERROR(IF(Y409=0,"",ROUNDUP(Y409/H409,0)*0.02175),"")</f>
        <v/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79" t="n">
        <v>4680115883604</v>
      </c>
      <c r="E410" s="780" t="n"/>
      <c r="F410" s="1220" t="n">
        <v>0.35</v>
      </c>
      <c r="G410" s="32" t="n">
        <v>6</v>
      </c>
      <c r="H410" s="1220" t="n">
        <v>2.1</v>
      </c>
      <c r="I410" s="1220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08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1" t="n">
        <v>0</v>
      </c>
      <c r="Y410" s="1222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79" t="n">
        <v>4680115883567</v>
      </c>
      <c r="E411" s="780" t="n"/>
      <c r="F411" s="1220" t="n">
        <v>0.35</v>
      </c>
      <c r="G411" s="32" t="n">
        <v>6</v>
      </c>
      <c r="H411" s="1220" t="n">
        <v>2.1</v>
      </c>
      <c r="I411" s="1220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1" t="n">
        <v>0</v>
      </c>
      <c r="Y411" s="1222">
        <f>IFERROR(IF(X411="",0,CEILING((X411/$H411),1)*$H411),"")</f>
        <v/>
      </c>
      <c r="Z411" s="36">
        <f>IFERROR(IF(Y411=0,"",ROUNDUP(Y411/H411,0)*0.00651),"")</f>
        <v/>
      </c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789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4" t="inlineStr">
        <is>
          <t>Итого</t>
        </is>
      </c>
      <c r="Q412" s="795" t="n"/>
      <c r="R412" s="795" t="n"/>
      <c r="S412" s="795" t="n"/>
      <c r="T412" s="795" t="n"/>
      <c r="U412" s="795" t="n"/>
      <c r="V412" s="796" t="n"/>
      <c r="W412" s="37" t="inlineStr">
        <is>
          <t>кор</t>
        </is>
      </c>
      <c r="X412" s="1223">
        <f>IFERROR(X409/H409,"0")+IFERROR(X410/H410,"0")+IFERROR(X411/H411,"0")</f>
        <v/>
      </c>
      <c r="Y412" s="1223">
        <f>IFERROR(Y409/H409,"0")+IFERROR(Y410/H410,"0")+IFERROR(Y411/H411,"0")</f>
        <v/>
      </c>
      <c r="Z412" s="1223">
        <f>IFERROR(IF(Z409="",0,Z409),"0")+IFERROR(IF(Z410="",0,Z410),"0")+IFERROR(IF(Z411="",0,Z411),"0")</f>
        <v/>
      </c>
      <c r="AA412" s="1224" t="n"/>
      <c r="AB412" s="1224" t="n"/>
      <c r="AC412" s="1224" t="n"/>
    </row>
    <row r="413">
      <c r="A413" s="790" t="n"/>
      <c r="B413" s="790" t="n"/>
      <c r="C413" s="790" t="n"/>
      <c r="D413" s="790" t="n"/>
      <c r="E413" s="790" t="n"/>
      <c r="F413" s="790" t="n"/>
      <c r="G413" s="790" t="n"/>
      <c r="H413" s="790" t="n"/>
      <c r="I413" s="790" t="n"/>
      <c r="J413" s="790" t="n"/>
      <c r="K413" s="790" t="n"/>
      <c r="L413" s="790" t="n"/>
      <c r="M413" s="790" t="n"/>
      <c r="N413" s="790" t="n"/>
      <c r="O413" s="791" t="n"/>
      <c r="P413" s="794" t="inlineStr">
        <is>
          <t>Итого</t>
        </is>
      </c>
      <c r="Q413" s="795" t="n"/>
      <c r="R413" s="795" t="n"/>
      <c r="S413" s="795" t="n"/>
      <c r="T413" s="795" t="n"/>
      <c r="U413" s="795" t="n"/>
      <c r="V413" s="796" t="n"/>
      <c r="W413" s="37" t="inlineStr">
        <is>
          <t>кг</t>
        </is>
      </c>
      <c r="X413" s="1223">
        <f>IFERROR(SUM(X409:X411),"0")</f>
        <v/>
      </c>
      <c r="Y413" s="1223">
        <f>IFERROR(SUM(Y409:Y411),"0")</f>
        <v/>
      </c>
      <c r="Z413" s="37" t="n"/>
      <c r="AA413" s="1224" t="n"/>
      <c r="AB413" s="1224" t="n"/>
      <c r="AC413" s="1224" t="n"/>
    </row>
    <row r="414" ht="27.75" customHeight="1">
      <c r="A414" s="873" t="inlineStr">
        <is>
          <t>Особый рецепт</t>
        </is>
      </c>
      <c r="B414" s="874" t="n"/>
      <c r="C414" s="874" t="n"/>
      <c r="D414" s="874" t="n"/>
      <c r="E414" s="874" t="n"/>
      <c r="F414" s="874" t="n"/>
      <c r="G414" s="874" t="n"/>
      <c r="H414" s="874" t="n"/>
      <c r="I414" s="874" t="n"/>
      <c r="J414" s="874" t="n"/>
      <c r="K414" s="874" t="n"/>
      <c r="L414" s="874" t="n"/>
      <c r="M414" s="874" t="n"/>
      <c r="N414" s="874" t="n"/>
      <c r="O414" s="874" t="n"/>
      <c r="P414" s="874" t="n"/>
      <c r="Q414" s="874" t="n"/>
      <c r="R414" s="874" t="n"/>
      <c r="S414" s="874" t="n"/>
      <c r="T414" s="874" t="n"/>
      <c r="U414" s="874" t="n"/>
      <c r="V414" s="874" t="n"/>
      <c r="W414" s="874" t="n"/>
      <c r="X414" s="874" t="n"/>
      <c r="Y414" s="874" t="n"/>
      <c r="Z414" s="874" t="n"/>
      <c r="AA414" s="48" t="n"/>
      <c r="AB414" s="48" t="n"/>
      <c r="AC414" s="48" t="n"/>
    </row>
    <row r="415" ht="16.5" customHeight="1">
      <c r="A415" s="828" t="inlineStr">
        <is>
          <t>Особая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828" t="n"/>
      <c r="AB415" s="828" t="n"/>
      <c r="AC415" s="828" t="n"/>
    </row>
    <row r="416" ht="14.25" customHeight="1">
      <c r="A416" s="797" t="inlineStr">
        <is>
          <t>Вареные колбасы</t>
        </is>
      </c>
      <c r="B416" s="790" t="n"/>
      <c r="C416" s="790" t="n"/>
      <c r="D416" s="790" t="n"/>
      <c r="E416" s="790" t="n"/>
      <c r="F416" s="790" t="n"/>
      <c r="G416" s="790" t="n"/>
      <c r="H416" s="790" t="n"/>
      <c r="I416" s="790" t="n"/>
      <c r="J416" s="790" t="n"/>
      <c r="K416" s="790" t="n"/>
      <c r="L416" s="790" t="n"/>
      <c r="M416" s="790" t="n"/>
      <c r="N416" s="790" t="n"/>
      <c r="O416" s="790" t="n"/>
      <c r="P416" s="790" t="n"/>
      <c r="Q416" s="790" t="n"/>
      <c r="R416" s="790" t="n"/>
      <c r="S416" s="790" t="n"/>
      <c r="T416" s="790" t="n"/>
      <c r="U416" s="790" t="n"/>
      <c r="V416" s="790" t="n"/>
      <c r="W416" s="790" t="n"/>
      <c r="X416" s="790" t="n"/>
      <c r="Y416" s="790" t="n"/>
      <c r="Z416" s="790" t="n"/>
      <c r="AA416" s="797" t="n"/>
      <c r="AB416" s="797" t="n"/>
      <c r="AC416" s="797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79" t="n">
        <v>4680115884847</v>
      </c>
      <c r="E417" s="780" t="n"/>
      <c r="F417" s="1220" t="n">
        <v>2.5</v>
      </c>
      <c r="G417" s="32" t="n">
        <v>6</v>
      </c>
      <c r="H417" s="1220" t="n">
        <v>15</v>
      </c>
      <c r="I417" s="1220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1" t="n">
        <v>0</v>
      </c>
      <c r="Y417" s="1222">
        <f>IFERROR(IF(X417="",0,CEILING((X417/$H417),1)*$H417),"")</f>
        <v/>
      </c>
      <c r="Z417" s="36">
        <f>IFERROR(IF(Y417=0,"",ROUNDUP(Y417/H417,0)*0.02039),"")</f>
        <v/>
      </c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79" t="n">
        <v>4680115884847</v>
      </c>
      <c r="E418" s="780" t="n"/>
      <c r="F418" s="1220" t="n">
        <v>2.5</v>
      </c>
      <c r="G418" s="32" t="n">
        <v>6</v>
      </c>
      <c r="H418" s="1220" t="n">
        <v>15</v>
      </c>
      <c r="I418" s="1220" t="n">
        <v>15.48</v>
      </c>
      <c r="J418" s="32" t="n">
        <v>48</v>
      </c>
      <c r="K418" s="32" t="inlineStr">
        <is>
          <t>8</t>
        </is>
      </c>
      <c r="L418" s="32" t="inlineStr">
        <is>
          <t>Палетта, мин. 1</t>
        </is>
      </c>
      <c r="M418" s="33" t="inlineStr">
        <is>
          <t>СК2</t>
        </is>
      </c>
      <c r="N418" s="33" t="n"/>
      <c r="O418" s="32" t="n">
        <v>60</v>
      </c>
      <c r="P418" s="114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1" t="n">
        <v>2000</v>
      </c>
      <c r="Y418" s="1222">
        <f>IFERROR(IF(X418="",0,CEILING((X418/$H418),1)*$H418),"")</f>
        <v/>
      </c>
      <c r="Z418" s="36">
        <f>IFERROR(IF(Y418=0,"",ROUNDUP(Y418/H418,0)*0.02175),"")</f>
        <v/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inlineStr">
        <is>
          <t>Палетта</t>
        </is>
      </c>
      <c r="AK418" s="68" t="n">
        <v>720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79" t="n">
        <v>4680115884854</v>
      </c>
      <c r="E419" s="780" t="n"/>
      <c r="F419" s="1220" t="n">
        <v>2.5</v>
      </c>
      <c r="G419" s="32" t="n">
        <v>6</v>
      </c>
      <c r="H419" s="1220" t="n">
        <v>15</v>
      </c>
      <c r="I419" s="1220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0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1" t="n">
        <v>0</v>
      </c>
      <c r="Y419" s="1222">
        <f>IFERROR(IF(X419="",0,CEILING((X419/$H419),1)*$H419),"")</f>
        <v/>
      </c>
      <c r="Z419" s="36">
        <f>IFERROR(IF(Y419=0,"",ROUNDUP(Y419/H419,0)*0.02039),"")</f>
        <v/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79" t="n">
        <v>4680115884854</v>
      </c>
      <c r="E420" s="780" t="n"/>
      <c r="F420" s="1220" t="n">
        <v>2.5</v>
      </c>
      <c r="G420" s="32" t="n">
        <v>6</v>
      </c>
      <c r="H420" s="1220" t="n">
        <v>15</v>
      </c>
      <c r="I420" s="1220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5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1" t="n">
        <v>1000</v>
      </c>
      <c r="Y420" s="1222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79" t="n">
        <v>4607091383997</v>
      </c>
      <c r="E421" s="780" t="n"/>
      <c r="F421" s="1220" t="n">
        <v>2.5</v>
      </c>
      <c r="G421" s="32" t="n">
        <v>6</v>
      </c>
      <c r="H421" s="1220" t="n">
        <v>15</v>
      </c>
      <c r="I421" s="1220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1" t="n">
        <v>0</v>
      </c>
      <c r="Y421" s="1222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779" t="n">
        <v>4680115884830</v>
      </c>
      <c r="E422" s="780" t="n"/>
      <c r="F422" s="1220" t="n">
        <v>2.5</v>
      </c>
      <c r="G422" s="32" t="n">
        <v>6</v>
      </c>
      <c r="H422" s="1220" t="n">
        <v>15</v>
      </c>
      <c r="I422" s="1220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48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1" t="n">
        <v>0</v>
      </c>
      <c r="Y422" s="1222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SU003420</t>
        </is>
      </c>
      <c r="B423" s="54" t="inlineStr">
        <is>
          <t>P004252</t>
        </is>
      </c>
      <c r="C423" s="31" t="n">
        <v>4301011867</v>
      </c>
      <c r="D423" s="779" t="n">
        <v>4680115884830</v>
      </c>
      <c r="E423" s="780" t="n"/>
      <c r="F423" s="1220" t="n">
        <v>2.5</v>
      </c>
      <c r="G423" s="32" t="n">
        <v>6</v>
      </c>
      <c r="H423" s="1220" t="n">
        <v>15</v>
      </c>
      <c r="I423" s="1220" t="n">
        <v>15.48</v>
      </c>
      <c r="J423" s="32" t="n">
        <v>48</v>
      </c>
      <c r="K423" s="32" t="inlineStr">
        <is>
          <t>8</t>
        </is>
      </c>
      <c r="L423" s="32" t="inlineStr">
        <is>
          <t>Палетта, мин. 1</t>
        </is>
      </c>
      <c r="M423" s="33" t="inlineStr">
        <is>
          <t>СК2</t>
        </is>
      </c>
      <c r="N423" s="33" t="n"/>
      <c r="O423" s="32" t="n">
        <v>60</v>
      </c>
      <c r="P423" s="902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1" t="n">
        <v>1000</v>
      </c>
      <c r="Y423" s="1222">
        <f>IFERROR(IF(X423="",0,CEILING((X423/$H423),1)*$H423),"")</f>
        <v/>
      </c>
      <c r="Z423" s="36">
        <f>IFERROR(IF(Y423=0,"",ROUNDUP(Y423/H423,0)*0.02175),"")</f>
        <v/>
      </c>
      <c r="AA423" s="56" t="n"/>
      <c r="AB423" s="57" t="n"/>
      <c r="AC423" s="501" t="inlineStr">
        <is>
          <t>ЕАЭС N RU Д-RU.РА02.В.61660/24, ЕАЭС N RU Д-RU.РА10.В.85286/23</t>
        </is>
      </c>
      <c r="AG423" s="64" t="n"/>
      <c r="AJ423" s="68" t="inlineStr">
        <is>
          <t>Палетта</t>
        </is>
      </c>
      <c r="AK423" s="68" t="n">
        <v>720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79" t="n">
        <v>4680115882638</v>
      </c>
      <c r="E424" s="780" t="n"/>
      <c r="F424" s="1220" t="n">
        <v>0.4</v>
      </c>
      <c r="G424" s="32" t="n">
        <v>10</v>
      </c>
      <c r="H424" s="1220" t="n">
        <v>4</v>
      </c>
      <c r="I424" s="1220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3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1" t="n">
        <v>0</v>
      </c>
      <c r="Y424" s="1222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79" t="n">
        <v>4680115884922</v>
      </c>
      <c r="E425" s="780" t="n"/>
      <c r="F425" s="1220" t="n">
        <v>0.5</v>
      </c>
      <c r="G425" s="32" t="n">
        <v>10</v>
      </c>
      <c r="H425" s="1220" t="n">
        <v>5</v>
      </c>
      <c r="I425" s="1220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1" t="n">
        <v>0</v>
      </c>
      <c r="Y425" s="1222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79" t="n">
        <v>4680115884878</v>
      </c>
      <c r="E426" s="780" t="n"/>
      <c r="F426" s="1220" t="n">
        <v>0.5</v>
      </c>
      <c r="G426" s="32" t="n">
        <v>10</v>
      </c>
      <c r="H426" s="1220" t="n">
        <v>5</v>
      </c>
      <c r="I426" s="1220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1" t="n">
        <v>0</v>
      </c>
      <c r="Y426" s="1222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79" t="n">
        <v>4680115884861</v>
      </c>
      <c r="E427" s="780" t="n"/>
      <c r="F427" s="1220" t="n">
        <v>0.5</v>
      </c>
      <c r="G427" s="32" t="n">
        <v>10</v>
      </c>
      <c r="H427" s="1220" t="n">
        <v>5</v>
      </c>
      <c r="I427" s="1220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1" t="n">
        <v>0</v>
      </c>
      <c r="Y427" s="1222">
        <f>IFERROR(IF(X427="",0,CEILING((X427/$H427),1)*$H427),"")</f>
        <v/>
      </c>
      <c r="Z427" s="36">
        <f>IFERROR(IF(Y427=0,"",ROUNDUP(Y427/H427,0)*0.00902),"")</f>
        <v/>
      </c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>
      <c r="A428" s="789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4" t="inlineStr">
        <is>
          <t>Итого</t>
        </is>
      </c>
      <c r="Q428" s="795" t="n"/>
      <c r="R428" s="795" t="n"/>
      <c r="S428" s="795" t="n"/>
      <c r="T428" s="795" t="n"/>
      <c r="U428" s="795" t="n"/>
      <c r="V428" s="796" t="n"/>
      <c r="W428" s="37" t="inlineStr">
        <is>
          <t>кор</t>
        </is>
      </c>
      <c r="X428" s="122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2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2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24" t="n"/>
      <c r="AB428" s="1224" t="n"/>
      <c r="AC428" s="1224" t="n"/>
    </row>
    <row r="429">
      <c r="A429" s="790" t="n"/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1" t="n"/>
      <c r="P429" s="794" t="inlineStr">
        <is>
          <t>Итого</t>
        </is>
      </c>
      <c r="Q429" s="795" t="n"/>
      <c r="R429" s="795" t="n"/>
      <c r="S429" s="795" t="n"/>
      <c r="T429" s="795" t="n"/>
      <c r="U429" s="795" t="n"/>
      <c r="V429" s="796" t="n"/>
      <c r="W429" s="37" t="inlineStr">
        <is>
          <t>кг</t>
        </is>
      </c>
      <c r="X429" s="1223">
        <f>IFERROR(SUM(X417:X427),"0")</f>
        <v/>
      </c>
      <c r="Y429" s="1223">
        <f>IFERROR(SUM(Y417:Y427),"0")</f>
        <v/>
      </c>
      <c r="Z429" s="37" t="n"/>
      <c r="AA429" s="1224" t="n"/>
      <c r="AB429" s="1224" t="n"/>
      <c r="AC429" s="1224" t="n"/>
    </row>
    <row r="430" ht="14.25" customHeight="1">
      <c r="A430" s="797" t="inlineStr">
        <is>
          <t>Ветчины</t>
        </is>
      </c>
      <c r="B430" s="790" t="n"/>
      <c r="C430" s="790" t="n"/>
      <c r="D430" s="790" t="n"/>
      <c r="E430" s="790" t="n"/>
      <c r="F430" s="790" t="n"/>
      <c r="G430" s="790" t="n"/>
      <c r="H430" s="790" t="n"/>
      <c r="I430" s="790" t="n"/>
      <c r="J430" s="790" t="n"/>
      <c r="K430" s="790" t="n"/>
      <c r="L430" s="790" t="n"/>
      <c r="M430" s="790" t="n"/>
      <c r="N430" s="790" t="n"/>
      <c r="O430" s="790" t="n"/>
      <c r="P430" s="790" t="n"/>
      <c r="Q430" s="790" t="n"/>
      <c r="R430" s="790" t="n"/>
      <c r="S430" s="790" t="n"/>
      <c r="T430" s="790" t="n"/>
      <c r="U430" s="790" t="n"/>
      <c r="V430" s="790" t="n"/>
      <c r="W430" s="790" t="n"/>
      <c r="X430" s="790" t="n"/>
      <c r="Y430" s="790" t="n"/>
      <c r="Z430" s="790" t="n"/>
      <c r="AA430" s="797" t="n"/>
      <c r="AB430" s="797" t="n"/>
      <c r="AC430" s="797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79" t="n">
        <v>4607091383980</v>
      </c>
      <c r="E431" s="780" t="n"/>
      <c r="F431" s="1220" t="n">
        <v>2.5</v>
      </c>
      <c r="G431" s="32" t="n">
        <v>6</v>
      </c>
      <c r="H431" s="1220" t="n">
        <v>15</v>
      </c>
      <c r="I431" s="1220" t="n">
        <v>15.48</v>
      </c>
      <c r="J431" s="32" t="n">
        <v>48</v>
      </c>
      <c r="K431" s="32" t="inlineStr">
        <is>
          <t>8</t>
        </is>
      </c>
      <c r="L431" s="32" t="inlineStr">
        <is>
          <t>Палетта, мин. 1</t>
        </is>
      </c>
      <c r="M431" s="33" t="inlineStr">
        <is>
          <t>СК1</t>
        </is>
      </c>
      <c r="N431" s="33" t="n"/>
      <c r="O431" s="32" t="n">
        <v>50</v>
      </c>
      <c r="P431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1" t="n">
        <v>2000</v>
      </c>
      <c r="Y431" s="1222">
        <f>IFERROR(IF(X431="",0,CEILING((X431/$H431),1)*$H431),"")</f>
        <v/>
      </c>
      <c r="Z431" s="36">
        <f>IFERROR(IF(Y431=0,"",ROUNDUP(Y431/H431,0)*0.02175),"")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inlineStr">
        <is>
          <t>Палетта</t>
        </is>
      </c>
      <c r="AK431" s="68" t="n">
        <v>720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79" t="n">
        <v>4607091384178</v>
      </c>
      <c r="E432" s="780" t="n"/>
      <c r="F432" s="1220" t="n">
        <v>0.4</v>
      </c>
      <c r="G432" s="32" t="n">
        <v>10</v>
      </c>
      <c r="H432" s="1220" t="n">
        <v>4</v>
      </c>
      <c r="I432" s="1220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1" t="n">
        <v>0</v>
      </c>
      <c r="Y432" s="1222">
        <f>IFERROR(IF(X432="",0,CEILING((X432/$H432),1)*$H432),"")</f>
        <v/>
      </c>
      <c r="Z432" s="36">
        <f>IFERROR(IF(Y432=0,"",ROUNDUP(Y432/H432,0)*0.00902),"")</f>
        <v/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>
        <f>IFERROR(X432*I432/H432,"0")</f>
        <v/>
      </c>
      <c r="BN432" s="64">
        <f>IFERROR(Y432*I432/H432,"0")</f>
        <v/>
      </c>
      <c r="BO432" s="64">
        <f>IFERROR(1/J432*(X432/H432),"0")</f>
        <v/>
      </c>
      <c r="BP432" s="64">
        <f>IFERROR(1/J432*(Y432/H432),"0")</f>
        <v/>
      </c>
    </row>
    <row r="433">
      <c r="A433" s="789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4" t="inlineStr">
        <is>
          <t>Итого</t>
        </is>
      </c>
      <c r="Q433" s="795" t="n"/>
      <c r="R433" s="795" t="n"/>
      <c r="S433" s="795" t="n"/>
      <c r="T433" s="795" t="n"/>
      <c r="U433" s="795" t="n"/>
      <c r="V433" s="796" t="n"/>
      <c r="W433" s="37" t="inlineStr">
        <is>
          <t>кор</t>
        </is>
      </c>
      <c r="X433" s="1223">
        <f>IFERROR(X431/H431,"0")+IFERROR(X432/H432,"0")</f>
        <v/>
      </c>
      <c r="Y433" s="1223">
        <f>IFERROR(Y431/H431,"0")+IFERROR(Y432/H432,"0")</f>
        <v/>
      </c>
      <c r="Z433" s="1223">
        <f>IFERROR(IF(Z431="",0,Z431),"0")+IFERROR(IF(Z432="",0,Z432),"0")</f>
        <v/>
      </c>
      <c r="AA433" s="1224" t="n"/>
      <c r="AB433" s="1224" t="n"/>
      <c r="AC433" s="1224" t="n"/>
    </row>
    <row r="434">
      <c r="A434" s="790" t="n"/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1" t="n"/>
      <c r="P434" s="794" t="inlineStr">
        <is>
          <t>Итого</t>
        </is>
      </c>
      <c r="Q434" s="795" t="n"/>
      <c r="R434" s="795" t="n"/>
      <c r="S434" s="795" t="n"/>
      <c r="T434" s="795" t="n"/>
      <c r="U434" s="795" t="n"/>
      <c r="V434" s="796" t="n"/>
      <c r="W434" s="37" t="inlineStr">
        <is>
          <t>кг</t>
        </is>
      </c>
      <c r="X434" s="1223">
        <f>IFERROR(SUM(X431:X432),"0")</f>
        <v/>
      </c>
      <c r="Y434" s="1223">
        <f>IFERROR(SUM(Y431:Y432),"0")</f>
        <v/>
      </c>
      <c r="Z434" s="37" t="n"/>
      <c r="AA434" s="1224" t="n"/>
      <c r="AB434" s="1224" t="n"/>
      <c r="AC434" s="1224" t="n"/>
    </row>
    <row r="435" ht="14.25" customHeight="1">
      <c r="A435" s="797" t="inlineStr">
        <is>
          <t>Сосиски</t>
        </is>
      </c>
      <c r="B435" s="790" t="n"/>
      <c r="C435" s="790" t="n"/>
      <c r="D435" s="790" t="n"/>
      <c r="E435" s="790" t="n"/>
      <c r="F435" s="790" t="n"/>
      <c r="G435" s="790" t="n"/>
      <c r="H435" s="790" t="n"/>
      <c r="I435" s="790" t="n"/>
      <c r="J435" s="790" t="n"/>
      <c r="K435" s="790" t="n"/>
      <c r="L435" s="790" t="n"/>
      <c r="M435" s="790" t="n"/>
      <c r="N435" s="790" t="n"/>
      <c r="O435" s="790" t="n"/>
      <c r="P435" s="790" t="n"/>
      <c r="Q435" s="790" t="n"/>
      <c r="R435" s="790" t="n"/>
      <c r="S435" s="790" t="n"/>
      <c r="T435" s="790" t="n"/>
      <c r="U435" s="790" t="n"/>
      <c r="V435" s="790" t="n"/>
      <c r="W435" s="790" t="n"/>
      <c r="X435" s="790" t="n"/>
      <c r="Y435" s="790" t="n"/>
      <c r="Z435" s="790" t="n"/>
      <c r="AA435" s="797" t="n"/>
      <c r="AB435" s="797" t="n"/>
      <c r="AC435" s="797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79" t="n">
        <v>4607091383928</v>
      </c>
      <c r="E436" s="780" t="n"/>
      <c r="F436" s="1220" t="n">
        <v>1.5</v>
      </c>
      <c r="G436" s="32" t="n">
        <v>6</v>
      </c>
      <c r="H436" s="1220" t="n">
        <v>9</v>
      </c>
      <c r="I436" s="1220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6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1" t="n">
        <v>0</v>
      </c>
      <c r="Y436" s="1222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79" t="n">
        <v>4607091384260</v>
      </c>
      <c r="E437" s="780" t="n"/>
      <c r="F437" s="1220" t="n">
        <v>1.5</v>
      </c>
      <c r="G437" s="32" t="n">
        <v>6</v>
      </c>
      <c r="H437" s="1220" t="n">
        <v>9</v>
      </c>
      <c r="I437" s="1220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5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1" t="n">
        <v>0</v>
      </c>
      <c r="Y437" s="1222">
        <f>IFERROR(IF(X437="",0,CEILING((X437/$H437),1)*$H437),"")</f>
        <v/>
      </c>
      <c r="Z437" s="36">
        <f>IFERROR(IF(Y437=0,"",ROUNDUP(Y437/H437,0)*0.02175),"")</f>
        <v/>
      </c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789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4" t="inlineStr">
        <is>
          <t>Итого</t>
        </is>
      </c>
      <c r="Q438" s="795" t="n"/>
      <c r="R438" s="795" t="n"/>
      <c r="S438" s="795" t="n"/>
      <c r="T438" s="795" t="n"/>
      <c r="U438" s="795" t="n"/>
      <c r="V438" s="796" t="n"/>
      <c r="W438" s="37" t="inlineStr">
        <is>
          <t>кор</t>
        </is>
      </c>
      <c r="X438" s="1223">
        <f>IFERROR(X436/H436,"0")+IFERROR(X437/H437,"0")</f>
        <v/>
      </c>
      <c r="Y438" s="1223">
        <f>IFERROR(Y436/H436,"0")+IFERROR(Y437/H437,"0")</f>
        <v/>
      </c>
      <c r="Z438" s="1223">
        <f>IFERROR(IF(Z436="",0,Z436),"0")+IFERROR(IF(Z437="",0,Z437),"0")</f>
        <v/>
      </c>
      <c r="AA438" s="1224" t="n"/>
      <c r="AB438" s="1224" t="n"/>
      <c r="AC438" s="1224" t="n"/>
    </row>
    <row r="439">
      <c r="A439" s="790" t="n"/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1" t="n"/>
      <c r="P439" s="794" t="inlineStr">
        <is>
          <t>Итого</t>
        </is>
      </c>
      <c r="Q439" s="795" t="n"/>
      <c r="R439" s="795" t="n"/>
      <c r="S439" s="795" t="n"/>
      <c r="T439" s="795" t="n"/>
      <c r="U439" s="795" t="n"/>
      <c r="V439" s="796" t="n"/>
      <c r="W439" s="37" t="inlineStr">
        <is>
          <t>кг</t>
        </is>
      </c>
      <c r="X439" s="1223">
        <f>IFERROR(SUM(X436:X437),"0")</f>
        <v/>
      </c>
      <c r="Y439" s="1223">
        <f>IFERROR(SUM(Y436:Y437),"0")</f>
        <v/>
      </c>
      <c r="Z439" s="37" t="n"/>
      <c r="AA439" s="1224" t="n"/>
      <c r="AB439" s="1224" t="n"/>
      <c r="AC439" s="1224" t="n"/>
    </row>
    <row r="440" ht="14.25" customHeight="1">
      <c r="A440" s="797" t="inlineStr">
        <is>
          <t>Сардельки</t>
        </is>
      </c>
      <c r="B440" s="790" t="n"/>
      <c r="C440" s="790" t="n"/>
      <c r="D440" s="790" t="n"/>
      <c r="E440" s="790" t="n"/>
      <c r="F440" s="790" t="n"/>
      <c r="G440" s="790" t="n"/>
      <c r="H440" s="790" t="n"/>
      <c r="I440" s="790" t="n"/>
      <c r="J440" s="790" t="n"/>
      <c r="K440" s="790" t="n"/>
      <c r="L440" s="790" t="n"/>
      <c r="M440" s="790" t="n"/>
      <c r="N440" s="790" t="n"/>
      <c r="O440" s="790" t="n"/>
      <c r="P440" s="790" t="n"/>
      <c r="Q440" s="790" t="n"/>
      <c r="R440" s="790" t="n"/>
      <c r="S440" s="790" t="n"/>
      <c r="T440" s="790" t="n"/>
      <c r="U440" s="790" t="n"/>
      <c r="V440" s="790" t="n"/>
      <c r="W440" s="790" t="n"/>
      <c r="X440" s="790" t="n"/>
      <c r="Y440" s="790" t="n"/>
      <c r="Z440" s="790" t="n"/>
      <c r="AA440" s="797" t="n"/>
      <c r="AB440" s="797" t="n"/>
      <c r="AC440" s="797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79" t="n">
        <v>4607091384673</v>
      </c>
      <c r="E441" s="780" t="n"/>
      <c r="F441" s="1220" t="n">
        <v>1.5</v>
      </c>
      <c r="G441" s="32" t="n">
        <v>6</v>
      </c>
      <c r="H441" s="1220" t="n">
        <v>9</v>
      </c>
      <c r="I441" s="1220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6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1" t="n">
        <v>0</v>
      </c>
      <c r="Y441" s="1222">
        <f>IFERROR(IF(X441="",0,CEILING((X441/$H441),1)*$H441),"")</f>
        <v/>
      </c>
      <c r="Z441" s="36">
        <f>IFERROR(IF(Y441=0,"",ROUNDUP(Y441/H441,0)*0.02175),"")</f>
        <v/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>
      <c r="A442" s="789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4" t="inlineStr">
        <is>
          <t>Итого</t>
        </is>
      </c>
      <c r="Q442" s="795" t="n"/>
      <c r="R442" s="795" t="n"/>
      <c r="S442" s="795" t="n"/>
      <c r="T442" s="795" t="n"/>
      <c r="U442" s="795" t="n"/>
      <c r="V442" s="796" t="n"/>
      <c r="W442" s="37" t="inlineStr">
        <is>
          <t>кор</t>
        </is>
      </c>
      <c r="X442" s="1223">
        <f>IFERROR(X441/H441,"0")</f>
        <v/>
      </c>
      <c r="Y442" s="1223">
        <f>IFERROR(Y441/H441,"0")</f>
        <v/>
      </c>
      <c r="Z442" s="1223">
        <f>IFERROR(IF(Z441="",0,Z441),"0")</f>
        <v/>
      </c>
      <c r="AA442" s="1224" t="n"/>
      <c r="AB442" s="1224" t="n"/>
      <c r="AC442" s="1224" t="n"/>
    </row>
    <row r="443">
      <c r="A443" s="790" t="n"/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1" t="n"/>
      <c r="P443" s="794" t="inlineStr">
        <is>
          <t>Итого</t>
        </is>
      </c>
      <c r="Q443" s="795" t="n"/>
      <c r="R443" s="795" t="n"/>
      <c r="S443" s="795" t="n"/>
      <c r="T443" s="795" t="n"/>
      <c r="U443" s="795" t="n"/>
      <c r="V443" s="796" t="n"/>
      <c r="W443" s="37" t="inlineStr">
        <is>
          <t>кг</t>
        </is>
      </c>
      <c r="X443" s="1223">
        <f>IFERROR(SUM(X441:X441),"0")</f>
        <v/>
      </c>
      <c r="Y443" s="1223">
        <f>IFERROR(SUM(Y441:Y441),"0")</f>
        <v/>
      </c>
      <c r="Z443" s="37" t="n"/>
      <c r="AA443" s="1224" t="n"/>
      <c r="AB443" s="1224" t="n"/>
      <c r="AC443" s="1224" t="n"/>
    </row>
    <row r="444" ht="16.5" customHeight="1">
      <c r="A444" s="828" t="inlineStr">
        <is>
          <t>Особая Без свинины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828" t="n"/>
      <c r="AB444" s="828" t="n"/>
      <c r="AC444" s="828" t="n"/>
    </row>
    <row r="445" ht="14.25" customHeight="1">
      <c r="A445" s="797" t="inlineStr">
        <is>
          <t>Вареные колбасы</t>
        </is>
      </c>
      <c r="B445" s="790" t="n"/>
      <c r="C445" s="790" t="n"/>
      <c r="D445" s="790" t="n"/>
      <c r="E445" s="790" t="n"/>
      <c r="F445" s="790" t="n"/>
      <c r="G445" s="790" t="n"/>
      <c r="H445" s="790" t="n"/>
      <c r="I445" s="790" t="n"/>
      <c r="J445" s="790" t="n"/>
      <c r="K445" s="790" t="n"/>
      <c r="L445" s="790" t="n"/>
      <c r="M445" s="790" t="n"/>
      <c r="N445" s="790" t="n"/>
      <c r="O445" s="790" t="n"/>
      <c r="P445" s="790" t="n"/>
      <c r="Q445" s="790" t="n"/>
      <c r="R445" s="790" t="n"/>
      <c r="S445" s="790" t="n"/>
      <c r="T445" s="790" t="n"/>
      <c r="U445" s="790" t="n"/>
      <c r="V445" s="790" t="n"/>
      <c r="W445" s="790" t="n"/>
      <c r="X445" s="790" t="n"/>
      <c r="Y445" s="790" t="n"/>
      <c r="Z445" s="790" t="n"/>
      <c r="AA445" s="797" t="n"/>
      <c r="AB445" s="797" t="n"/>
      <c r="AC445" s="797" t="n"/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79" t="n">
        <v>4680115881907</v>
      </c>
      <c r="E446" s="780" t="n"/>
      <c r="F446" s="1220" t="n">
        <v>1.8</v>
      </c>
      <c r="G446" s="32" t="n">
        <v>6</v>
      </c>
      <c r="H446" s="1220" t="n">
        <v>10.8</v>
      </c>
      <c r="I446" s="1220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1" t="n">
        <v>0</v>
      </c>
      <c r="Y446" s="1222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SU002899</t>
        </is>
      </c>
      <c r="B447" s="54" t="inlineStr">
        <is>
          <t>P004261</t>
        </is>
      </c>
      <c r="C447" s="31" t="n">
        <v>4301011873</v>
      </c>
      <c r="D447" s="779" t="n">
        <v>4680115881907</v>
      </c>
      <c r="E447" s="780" t="n"/>
      <c r="F447" s="1220" t="n">
        <v>1.8</v>
      </c>
      <c r="G447" s="32" t="n">
        <v>6</v>
      </c>
      <c r="H447" s="1220" t="n">
        <v>10.8</v>
      </c>
      <c r="I447" s="1220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1" t="n">
        <v>0</v>
      </c>
      <c r="Y447" s="1222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79" t="n">
        <v>4680115883925</v>
      </c>
      <c r="E448" s="780" t="n"/>
      <c r="F448" s="1220" t="n">
        <v>2.5</v>
      </c>
      <c r="G448" s="32" t="n">
        <v>6</v>
      </c>
      <c r="H448" s="1220" t="n">
        <v>15</v>
      </c>
      <c r="I448" s="1220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1" t="n">
        <v>0</v>
      </c>
      <c r="Y448" s="1222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SU003226</t>
        </is>
      </c>
      <c r="B449" s="54" t="inlineStr">
        <is>
          <t>P004260</t>
        </is>
      </c>
      <c r="C449" s="31" t="n">
        <v>4301011872</v>
      </c>
      <c r="D449" s="779" t="n">
        <v>4680115883925</v>
      </c>
      <c r="E449" s="780" t="n"/>
      <c r="F449" s="1220" t="n">
        <v>2.5</v>
      </c>
      <c r="G449" s="32" t="n">
        <v>6</v>
      </c>
      <c r="H449" s="1220" t="n">
        <v>15</v>
      </c>
      <c r="I449" s="1220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1" t="n">
        <v>0</v>
      </c>
      <c r="Y449" s="1222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Д-RU.РА01.В.47907/24, ЕАЭС N RU Д-RU.РА10.В.10927/24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79" t="n">
        <v>4607091384192</v>
      </c>
      <c r="E450" s="780" t="n"/>
      <c r="F450" s="1220" t="n">
        <v>1.8</v>
      </c>
      <c r="G450" s="32" t="n">
        <v>6</v>
      </c>
      <c r="H450" s="1220" t="n">
        <v>10.8</v>
      </c>
      <c r="I450" s="1220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1" t="n">
        <v>0</v>
      </c>
      <c r="Y450" s="1222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SU003424</t>
        </is>
      </c>
      <c r="B451" s="54" t="inlineStr">
        <is>
          <t>P004259</t>
        </is>
      </c>
      <c r="C451" s="31" t="n">
        <v>4301011874</v>
      </c>
      <c r="D451" s="779" t="n">
        <v>4680115884892</v>
      </c>
      <c r="E451" s="780" t="n"/>
      <c r="F451" s="1220" t="n">
        <v>1.8</v>
      </c>
      <c r="G451" s="32" t="n">
        <v>6</v>
      </c>
      <c r="H451" s="1220" t="n">
        <v>10.8</v>
      </c>
      <c r="I451" s="1220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1" t="n">
        <v>0</v>
      </c>
      <c r="Y451" s="1222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79" t="n">
        <v>4680115884885</v>
      </c>
      <c r="E452" s="780" t="n"/>
      <c r="F452" s="1220" t="n">
        <v>0.8</v>
      </c>
      <c r="G452" s="32" t="n">
        <v>15</v>
      </c>
      <c r="H452" s="1220" t="n">
        <v>12</v>
      </c>
      <c r="I452" s="1220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1" t="n">
        <v>0</v>
      </c>
      <c r="Y452" s="1222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79" t="n">
        <v>4680115884908</v>
      </c>
      <c r="E453" s="780" t="n"/>
      <c r="F453" s="1220" t="n">
        <v>0.4</v>
      </c>
      <c r="G453" s="32" t="n">
        <v>10</v>
      </c>
      <c r="H453" s="1220" t="n">
        <v>4</v>
      </c>
      <c r="I453" s="1220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1" t="n">
        <v>0</v>
      </c>
      <c r="Y453" s="1222">
        <f>IFERROR(IF(X453="",0,CEILING((X453/$H453),1)*$H453),"")</f>
        <v/>
      </c>
      <c r="Z453" s="36">
        <f>IFERROR(IF(Y453=0,"",ROUNDUP(Y453/H453,0)*0.00902),"")</f>
        <v/>
      </c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>
      <c r="A454" s="789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4" t="inlineStr">
        <is>
          <t>Итого</t>
        </is>
      </c>
      <c r="Q454" s="795" t="n"/>
      <c r="R454" s="795" t="n"/>
      <c r="S454" s="795" t="n"/>
      <c r="T454" s="795" t="n"/>
      <c r="U454" s="795" t="n"/>
      <c r="V454" s="796" t="n"/>
      <c r="W454" s="37" t="inlineStr">
        <is>
          <t>кор</t>
        </is>
      </c>
      <c r="X454" s="1223">
        <f>IFERROR(X446/H446,"0")+IFERROR(X447/H447,"0")+IFERROR(X448/H448,"0")+IFERROR(X449/H449,"0")+IFERROR(X450/H450,"0")+IFERROR(X451/H451,"0")+IFERROR(X452/H452,"0")+IFERROR(X453/H453,"0")</f>
        <v/>
      </c>
      <c r="Y454" s="1223">
        <f>IFERROR(Y446/H446,"0")+IFERROR(Y447/H447,"0")+IFERROR(Y448/H448,"0")+IFERROR(Y449/H449,"0")+IFERROR(Y450/H450,"0")+IFERROR(Y451/H451,"0")+IFERROR(Y452/H452,"0")+IFERROR(Y453/H453,"0")</f>
        <v/>
      </c>
      <c r="Z454" s="122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24" t="n"/>
      <c r="AB454" s="1224" t="n"/>
      <c r="AC454" s="1224" t="n"/>
    </row>
    <row r="455">
      <c r="A455" s="790" t="n"/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1" t="n"/>
      <c r="P455" s="794" t="inlineStr">
        <is>
          <t>Итого</t>
        </is>
      </c>
      <c r="Q455" s="795" t="n"/>
      <c r="R455" s="795" t="n"/>
      <c r="S455" s="795" t="n"/>
      <c r="T455" s="795" t="n"/>
      <c r="U455" s="795" t="n"/>
      <c r="V455" s="796" t="n"/>
      <c r="W455" s="37" t="inlineStr">
        <is>
          <t>кг</t>
        </is>
      </c>
      <c r="X455" s="1223">
        <f>IFERROR(SUM(X446:X453),"0")</f>
        <v/>
      </c>
      <c r="Y455" s="1223">
        <f>IFERROR(SUM(Y446:Y453),"0")</f>
        <v/>
      </c>
      <c r="Z455" s="37" t="n"/>
      <c r="AA455" s="1224" t="n"/>
      <c r="AB455" s="1224" t="n"/>
      <c r="AC455" s="1224" t="n"/>
    </row>
    <row r="456" ht="14.25" customHeight="1">
      <c r="A456" s="797" t="inlineStr">
        <is>
          <t>Копченые колбасы</t>
        </is>
      </c>
      <c r="B456" s="790" t="n"/>
      <c r="C456" s="790" t="n"/>
      <c r="D456" s="790" t="n"/>
      <c r="E456" s="790" t="n"/>
      <c r="F456" s="790" t="n"/>
      <c r="G456" s="790" t="n"/>
      <c r="H456" s="790" t="n"/>
      <c r="I456" s="790" t="n"/>
      <c r="J456" s="790" t="n"/>
      <c r="K456" s="790" t="n"/>
      <c r="L456" s="790" t="n"/>
      <c r="M456" s="790" t="n"/>
      <c r="N456" s="790" t="n"/>
      <c r="O456" s="790" t="n"/>
      <c r="P456" s="790" t="n"/>
      <c r="Q456" s="790" t="n"/>
      <c r="R456" s="790" t="n"/>
      <c r="S456" s="790" t="n"/>
      <c r="T456" s="790" t="n"/>
      <c r="U456" s="790" t="n"/>
      <c r="V456" s="790" t="n"/>
      <c r="W456" s="790" t="n"/>
      <c r="X456" s="790" t="n"/>
      <c r="Y456" s="790" t="n"/>
      <c r="Z456" s="790" t="n"/>
      <c r="AA456" s="797" t="n"/>
      <c r="AB456" s="797" t="n"/>
      <c r="AC456" s="797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79" t="n">
        <v>4607091384802</v>
      </c>
      <c r="E457" s="780" t="n"/>
      <c r="F457" s="1220" t="n">
        <v>0.73</v>
      </c>
      <c r="G457" s="32" t="n">
        <v>6</v>
      </c>
      <c r="H457" s="1220" t="n">
        <v>4.38</v>
      </c>
      <c r="I457" s="1220" t="n">
        <v>4.65</v>
      </c>
      <c r="J457" s="32" t="n">
        <v>132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4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1" t="n">
        <v>50</v>
      </c>
      <c r="Y457" s="1222">
        <f>IFERROR(IF(X457="",0,CEILING((X457/$H457),1)*$H457),"")</f>
        <v/>
      </c>
      <c r="Z457" s="36">
        <f>IFERROR(IF(Y457=0,"",ROUNDUP(Y457/H457,0)*0.00902),"")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79" t="n">
        <v>4607091384826</v>
      </c>
      <c r="E458" s="780" t="n"/>
      <c r="F458" s="1220" t="n">
        <v>0.35</v>
      </c>
      <c r="G458" s="32" t="n">
        <v>8</v>
      </c>
      <c r="H458" s="1220" t="n">
        <v>2.8</v>
      </c>
      <c r="I458" s="1220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1" t="n">
        <v>0</v>
      </c>
      <c r="Y458" s="1222">
        <f>IFERROR(IF(X458="",0,CEILING((X458/$H458),1)*$H458),"")</f>
        <v/>
      </c>
      <c r="Z458" s="36">
        <f>IFERROR(IF(Y458=0,"",ROUNDUP(Y458/H458,0)*0.00502),"")</f>
        <v/>
      </c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>
        <f>IFERROR(X458*I458/H458,"0")</f>
        <v/>
      </c>
      <c r="BN458" s="64">
        <f>IFERROR(Y458*I458/H458,"0")</f>
        <v/>
      </c>
      <c r="BO458" s="64">
        <f>IFERROR(1/J458*(X458/H458),"0")</f>
        <v/>
      </c>
      <c r="BP458" s="64">
        <f>IFERROR(1/J458*(Y458/H458),"0")</f>
        <v/>
      </c>
    </row>
    <row r="459">
      <c r="A459" s="789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4" t="inlineStr">
        <is>
          <t>Итого</t>
        </is>
      </c>
      <c r="Q459" s="795" t="n"/>
      <c r="R459" s="795" t="n"/>
      <c r="S459" s="795" t="n"/>
      <c r="T459" s="795" t="n"/>
      <c r="U459" s="795" t="n"/>
      <c r="V459" s="796" t="n"/>
      <c r="W459" s="37" t="inlineStr">
        <is>
          <t>кор</t>
        </is>
      </c>
      <c r="X459" s="1223">
        <f>IFERROR(X457/H457,"0")+IFERROR(X458/H458,"0")</f>
        <v/>
      </c>
      <c r="Y459" s="1223">
        <f>IFERROR(Y457/H457,"0")+IFERROR(Y458/H458,"0")</f>
        <v/>
      </c>
      <c r="Z459" s="1223">
        <f>IFERROR(IF(Z457="",0,Z457),"0")+IFERROR(IF(Z458="",0,Z458),"0")</f>
        <v/>
      </c>
      <c r="AA459" s="1224" t="n"/>
      <c r="AB459" s="1224" t="n"/>
      <c r="AC459" s="1224" t="n"/>
    </row>
    <row r="460">
      <c r="A460" s="790" t="n"/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1" t="n"/>
      <c r="P460" s="794" t="inlineStr">
        <is>
          <t>Итого</t>
        </is>
      </c>
      <c r="Q460" s="795" t="n"/>
      <c r="R460" s="795" t="n"/>
      <c r="S460" s="795" t="n"/>
      <c r="T460" s="795" t="n"/>
      <c r="U460" s="795" t="n"/>
      <c r="V460" s="796" t="n"/>
      <c r="W460" s="37" t="inlineStr">
        <is>
          <t>кг</t>
        </is>
      </c>
      <c r="X460" s="1223">
        <f>IFERROR(SUM(X457:X458),"0")</f>
        <v/>
      </c>
      <c r="Y460" s="1223">
        <f>IFERROR(SUM(Y457:Y458),"0")</f>
        <v/>
      </c>
      <c r="Z460" s="37" t="n"/>
      <c r="AA460" s="1224" t="n"/>
      <c r="AB460" s="1224" t="n"/>
      <c r="AC460" s="1224" t="n"/>
    </row>
    <row r="461" ht="14.25" customHeight="1">
      <c r="A461" s="797" t="inlineStr">
        <is>
          <t>Сосиски</t>
        </is>
      </c>
      <c r="B461" s="790" t="n"/>
      <c r="C461" s="790" t="n"/>
      <c r="D461" s="790" t="n"/>
      <c r="E461" s="790" t="n"/>
      <c r="F461" s="790" t="n"/>
      <c r="G461" s="790" t="n"/>
      <c r="H461" s="790" t="n"/>
      <c r="I461" s="790" t="n"/>
      <c r="J461" s="790" t="n"/>
      <c r="K461" s="790" t="n"/>
      <c r="L461" s="790" t="n"/>
      <c r="M461" s="790" t="n"/>
      <c r="N461" s="790" t="n"/>
      <c r="O461" s="790" t="n"/>
      <c r="P461" s="790" t="n"/>
      <c r="Q461" s="790" t="n"/>
      <c r="R461" s="790" t="n"/>
      <c r="S461" s="790" t="n"/>
      <c r="T461" s="790" t="n"/>
      <c r="U461" s="790" t="n"/>
      <c r="V461" s="790" t="n"/>
      <c r="W461" s="790" t="n"/>
      <c r="X461" s="790" t="n"/>
      <c r="Y461" s="790" t="n"/>
      <c r="Z461" s="790" t="n"/>
      <c r="AA461" s="797" t="n"/>
      <c r="AB461" s="797" t="n"/>
      <c r="AC461" s="797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79" t="n">
        <v>4607091384246</v>
      </c>
      <c r="E462" s="780" t="n"/>
      <c r="F462" s="1220" t="n">
        <v>1.5</v>
      </c>
      <c r="G462" s="32" t="n">
        <v>6</v>
      </c>
      <c r="H462" s="1220" t="n">
        <v>9</v>
      </c>
      <c r="I462" s="1220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4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1" t="n">
        <v>0</v>
      </c>
      <c r="Y462" s="1222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79" t="n">
        <v>4680115881976</v>
      </c>
      <c r="E463" s="780" t="n"/>
      <c r="F463" s="1220" t="n">
        <v>1.5</v>
      </c>
      <c r="G463" s="32" t="n">
        <v>6</v>
      </c>
      <c r="H463" s="1220" t="n">
        <v>9</v>
      </c>
      <c r="I463" s="1220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5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1" t="n">
        <v>0</v>
      </c>
      <c r="Y463" s="1222">
        <f>IFERROR(IF(X463="",0,CEILING((X463/$H463),1)*$H463),"")</f>
        <v/>
      </c>
      <c r="Z463" s="36">
        <f>IFERROR(IF(Y463=0,"",ROUNDUP(Y463/H463,0)*0.02175),"")</f>
        <v/>
      </c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79" t="n">
        <v>4607091384253</v>
      </c>
      <c r="E464" s="780" t="n"/>
      <c r="F464" s="1220" t="n">
        <v>0.4</v>
      </c>
      <c r="G464" s="32" t="n">
        <v>6</v>
      </c>
      <c r="H464" s="1220" t="n">
        <v>2.4</v>
      </c>
      <c r="I464" s="1220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9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1" t="n">
        <v>0</v>
      </c>
      <c r="Y464" s="1222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79" t="n">
        <v>4607091384253</v>
      </c>
      <c r="E465" s="780" t="n"/>
      <c r="F465" s="1220" t="n">
        <v>0.4</v>
      </c>
      <c r="G465" s="32" t="n">
        <v>6</v>
      </c>
      <c r="H465" s="1220" t="n">
        <v>2.4</v>
      </c>
      <c r="I465" s="1220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1" t="n">
        <v>0</v>
      </c>
      <c r="Y465" s="1222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79" t="n">
        <v>4680115881969</v>
      </c>
      <c r="E466" s="780" t="n"/>
      <c r="F466" s="1220" t="n">
        <v>0.4</v>
      </c>
      <c r="G466" s="32" t="n">
        <v>6</v>
      </c>
      <c r="H466" s="1220" t="n">
        <v>2.4</v>
      </c>
      <c r="I466" s="1220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1" t="n">
        <v>0</v>
      </c>
      <c r="Y466" s="1222">
        <f>IFERROR(IF(X466="",0,CEILING((X466/$H466),1)*$H466),"")</f>
        <v/>
      </c>
      <c r="Z466" s="36">
        <f>IFERROR(IF(Y466=0,"",ROUNDUP(Y466/H466,0)*0.00651),"")</f>
        <v/>
      </c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789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4" t="inlineStr">
        <is>
          <t>Итого</t>
        </is>
      </c>
      <c r="Q467" s="795" t="n"/>
      <c r="R467" s="795" t="n"/>
      <c r="S467" s="795" t="n"/>
      <c r="T467" s="795" t="n"/>
      <c r="U467" s="795" t="n"/>
      <c r="V467" s="796" t="n"/>
      <c r="W467" s="37" t="inlineStr">
        <is>
          <t>кор</t>
        </is>
      </c>
      <c r="X467" s="1223">
        <f>IFERROR(X462/H462,"0")+IFERROR(X463/H463,"0")+IFERROR(X464/H464,"0")+IFERROR(X465/H465,"0")+IFERROR(X466/H466,"0")</f>
        <v/>
      </c>
      <c r="Y467" s="1223">
        <f>IFERROR(Y462/H462,"0")+IFERROR(Y463/H463,"0")+IFERROR(Y464/H464,"0")+IFERROR(Y465/H465,"0")+IFERROR(Y466/H466,"0")</f>
        <v/>
      </c>
      <c r="Z467" s="1223">
        <f>IFERROR(IF(Z462="",0,Z462),"0")+IFERROR(IF(Z463="",0,Z463),"0")+IFERROR(IF(Z464="",0,Z464),"0")+IFERROR(IF(Z465="",0,Z465),"0")+IFERROR(IF(Z466="",0,Z466),"0")</f>
        <v/>
      </c>
      <c r="AA467" s="1224" t="n"/>
      <c r="AB467" s="1224" t="n"/>
      <c r="AC467" s="1224" t="n"/>
    </row>
    <row r="468">
      <c r="A468" s="790" t="n"/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1" t="n"/>
      <c r="P468" s="794" t="inlineStr">
        <is>
          <t>Итого</t>
        </is>
      </c>
      <c r="Q468" s="795" t="n"/>
      <c r="R468" s="795" t="n"/>
      <c r="S468" s="795" t="n"/>
      <c r="T468" s="795" t="n"/>
      <c r="U468" s="795" t="n"/>
      <c r="V468" s="796" t="n"/>
      <c r="W468" s="37" t="inlineStr">
        <is>
          <t>кг</t>
        </is>
      </c>
      <c r="X468" s="1223">
        <f>IFERROR(SUM(X462:X466),"0")</f>
        <v/>
      </c>
      <c r="Y468" s="1223">
        <f>IFERROR(SUM(Y462:Y466),"0")</f>
        <v/>
      </c>
      <c r="Z468" s="37" t="n"/>
      <c r="AA468" s="1224" t="n"/>
      <c r="AB468" s="1224" t="n"/>
      <c r="AC468" s="1224" t="n"/>
    </row>
    <row r="469" ht="14.25" customHeight="1">
      <c r="A469" s="797" t="inlineStr">
        <is>
          <t>Сардельки</t>
        </is>
      </c>
      <c r="B469" s="790" t="n"/>
      <c r="C469" s="790" t="n"/>
      <c r="D469" s="790" t="n"/>
      <c r="E469" s="790" t="n"/>
      <c r="F469" s="790" t="n"/>
      <c r="G469" s="790" t="n"/>
      <c r="H469" s="790" t="n"/>
      <c r="I469" s="790" t="n"/>
      <c r="J469" s="790" t="n"/>
      <c r="K469" s="790" t="n"/>
      <c r="L469" s="790" t="n"/>
      <c r="M469" s="790" t="n"/>
      <c r="N469" s="790" t="n"/>
      <c r="O469" s="790" t="n"/>
      <c r="P469" s="790" t="n"/>
      <c r="Q469" s="790" t="n"/>
      <c r="R469" s="790" t="n"/>
      <c r="S469" s="790" t="n"/>
      <c r="T469" s="790" t="n"/>
      <c r="U469" s="790" t="n"/>
      <c r="V469" s="790" t="n"/>
      <c r="W469" s="790" t="n"/>
      <c r="X469" s="790" t="n"/>
      <c r="Y469" s="790" t="n"/>
      <c r="Z469" s="790" t="n"/>
      <c r="AA469" s="797" t="n"/>
      <c r="AB469" s="797" t="n"/>
      <c r="AC469" s="797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79" t="n">
        <v>4607091389357</v>
      </c>
      <c r="E470" s="780" t="n"/>
      <c r="F470" s="1220" t="n">
        <v>1.5</v>
      </c>
      <c r="G470" s="32" t="n">
        <v>6</v>
      </c>
      <c r="H470" s="1220" t="n">
        <v>9</v>
      </c>
      <c r="I470" s="1220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0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1" t="n">
        <v>0</v>
      </c>
      <c r="Y470" s="1222">
        <f>IFERROR(IF(X470="",0,CEILING((X470/$H470),1)*$H470),"")</f>
        <v/>
      </c>
      <c r="Z470" s="36">
        <f>IFERROR(IF(Y470=0,"",ROUNDUP(Y470/H470,0)*0.02175),"")</f>
        <v/>
      </c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>
      <c r="A471" s="789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4" t="inlineStr">
        <is>
          <t>Итого</t>
        </is>
      </c>
      <c r="Q471" s="795" t="n"/>
      <c r="R471" s="795" t="n"/>
      <c r="S471" s="795" t="n"/>
      <c r="T471" s="795" t="n"/>
      <c r="U471" s="795" t="n"/>
      <c r="V471" s="796" t="n"/>
      <c r="W471" s="37" t="inlineStr">
        <is>
          <t>кор</t>
        </is>
      </c>
      <c r="X471" s="1223">
        <f>IFERROR(X470/H470,"0")</f>
        <v/>
      </c>
      <c r="Y471" s="1223">
        <f>IFERROR(Y470/H470,"0")</f>
        <v/>
      </c>
      <c r="Z471" s="1223">
        <f>IFERROR(IF(Z470="",0,Z470),"0")</f>
        <v/>
      </c>
      <c r="AA471" s="1224" t="n"/>
      <c r="AB471" s="1224" t="n"/>
      <c r="AC471" s="1224" t="n"/>
    </row>
    <row r="472">
      <c r="A472" s="790" t="n"/>
      <c r="B472" s="790" t="n"/>
      <c r="C472" s="790" t="n"/>
      <c r="D472" s="790" t="n"/>
      <c r="E472" s="790" t="n"/>
      <c r="F472" s="790" t="n"/>
      <c r="G472" s="790" t="n"/>
      <c r="H472" s="790" t="n"/>
      <c r="I472" s="790" t="n"/>
      <c r="J472" s="790" t="n"/>
      <c r="K472" s="790" t="n"/>
      <c r="L472" s="790" t="n"/>
      <c r="M472" s="790" t="n"/>
      <c r="N472" s="790" t="n"/>
      <c r="O472" s="791" t="n"/>
      <c r="P472" s="794" t="inlineStr">
        <is>
          <t>Итого</t>
        </is>
      </c>
      <c r="Q472" s="795" t="n"/>
      <c r="R472" s="795" t="n"/>
      <c r="S472" s="795" t="n"/>
      <c r="T472" s="795" t="n"/>
      <c r="U472" s="795" t="n"/>
      <c r="V472" s="796" t="n"/>
      <c r="W472" s="37" t="inlineStr">
        <is>
          <t>кг</t>
        </is>
      </c>
      <c r="X472" s="1223">
        <f>IFERROR(SUM(X470:X470),"0")</f>
        <v/>
      </c>
      <c r="Y472" s="1223">
        <f>IFERROR(SUM(Y470:Y470),"0")</f>
        <v/>
      </c>
      <c r="Z472" s="37" t="n"/>
      <c r="AA472" s="1224" t="n"/>
      <c r="AB472" s="1224" t="n"/>
      <c r="AC472" s="1224" t="n"/>
    </row>
    <row r="473" ht="27.75" customHeight="1">
      <c r="A473" s="873" t="inlineStr">
        <is>
          <t>Баварушка</t>
        </is>
      </c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874" t="n"/>
      <c r="P473" s="874" t="n"/>
      <c r="Q473" s="874" t="n"/>
      <c r="R473" s="874" t="n"/>
      <c r="S473" s="874" t="n"/>
      <c r="T473" s="874" t="n"/>
      <c r="U473" s="874" t="n"/>
      <c r="V473" s="874" t="n"/>
      <c r="W473" s="874" t="n"/>
      <c r="X473" s="874" t="n"/>
      <c r="Y473" s="874" t="n"/>
      <c r="Z473" s="874" t="n"/>
      <c r="AA473" s="48" t="n"/>
      <c r="AB473" s="48" t="n"/>
      <c r="AC473" s="48" t="n"/>
    </row>
    <row r="474" ht="16.5" customHeight="1">
      <c r="A474" s="828" t="inlineStr">
        <is>
          <t>Филейбургская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828" t="n"/>
      <c r="AB474" s="828" t="n"/>
      <c r="AC474" s="828" t="n"/>
    </row>
    <row r="475" ht="14.25" customHeight="1">
      <c r="A475" s="797" t="inlineStr">
        <is>
          <t>Вареные колбасы</t>
        </is>
      </c>
      <c r="B475" s="790" t="n"/>
      <c r="C475" s="790" t="n"/>
      <c r="D475" s="790" t="n"/>
      <c r="E475" s="790" t="n"/>
      <c r="F475" s="790" t="n"/>
      <c r="G475" s="790" t="n"/>
      <c r="H475" s="790" t="n"/>
      <c r="I475" s="790" t="n"/>
      <c r="J475" s="790" t="n"/>
      <c r="K475" s="790" t="n"/>
      <c r="L475" s="790" t="n"/>
      <c r="M475" s="790" t="n"/>
      <c r="N475" s="790" t="n"/>
      <c r="O475" s="790" t="n"/>
      <c r="P475" s="790" t="n"/>
      <c r="Q475" s="790" t="n"/>
      <c r="R475" s="790" t="n"/>
      <c r="S475" s="790" t="n"/>
      <c r="T475" s="790" t="n"/>
      <c r="U475" s="790" t="n"/>
      <c r="V475" s="790" t="n"/>
      <c r="W475" s="790" t="n"/>
      <c r="X475" s="790" t="n"/>
      <c r="Y475" s="790" t="n"/>
      <c r="Z475" s="790" t="n"/>
      <c r="AA475" s="797" t="n"/>
      <c r="AB475" s="797" t="n"/>
      <c r="AC475" s="797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79" t="n">
        <v>4607091389708</v>
      </c>
      <c r="E476" s="780" t="n"/>
      <c r="F476" s="1220" t="n">
        <v>0.45</v>
      </c>
      <c r="G476" s="32" t="n">
        <v>6</v>
      </c>
      <c r="H476" s="1220" t="n">
        <v>2.7</v>
      </c>
      <c r="I476" s="1220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1" t="n">
        <v>0</v>
      </c>
      <c r="Y476" s="1222">
        <f>IFERROR(IF(X476="",0,CEILING((X476/$H476),1)*$H476),"")</f>
        <v/>
      </c>
      <c r="Z476" s="36">
        <f>IFERROR(IF(Y476=0,"",ROUNDUP(Y476/H476,0)*0.00651),"")</f>
        <v/>
      </c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>
      <c r="A477" s="789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4" t="inlineStr">
        <is>
          <t>Итого</t>
        </is>
      </c>
      <c r="Q477" s="795" t="n"/>
      <c r="R477" s="795" t="n"/>
      <c r="S477" s="795" t="n"/>
      <c r="T477" s="795" t="n"/>
      <c r="U477" s="795" t="n"/>
      <c r="V477" s="796" t="n"/>
      <c r="W477" s="37" t="inlineStr">
        <is>
          <t>кор</t>
        </is>
      </c>
      <c r="X477" s="1223">
        <f>IFERROR(X476/H476,"0")</f>
        <v/>
      </c>
      <c r="Y477" s="1223">
        <f>IFERROR(Y476/H476,"0")</f>
        <v/>
      </c>
      <c r="Z477" s="1223">
        <f>IFERROR(IF(Z476="",0,Z476),"0")</f>
        <v/>
      </c>
      <c r="AA477" s="1224" t="n"/>
      <c r="AB477" s="1224" t="n"/>
      <c r="AC477" s="1224" t="n"/>
    </row>
    <row r="478">
      <c r="A478" s="790" t="n"/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1" t="n"/>
      <c r="P478" s="794" t="inlineStr">
        <is>
          <t>Итого</t>
        </is>
      </c>
      <c r="Q478" s="795" t="n"/>
      <c r="R478" s="795" t="n"/>
      <c r="S478" s="795" t="n"/>
      <c r="T478" s="795" t="n"/>
      <c r="U478" s="795" t="n"/>
      <c r="V478" s="796" t="n"/>
      <c r="W478" s="37" t="inlineStr">
        <is>
          <t>кг</t>
        </is>
      </c>
      <c r="X478" s="1223">
        <f>IFERROR(SUM(X476:X476),"0")</f>
        <v/>
      </c>
      <c r="Y478" s="1223">
        <f>IFERROR(SUM(Y476:Y476),"0")</f>
        <v/>
      </c>
      <c r="Z478" s="37" t="n"/>
      <c r="AA478" s="1224" t="n"/>
      <c r="AB478" s="1224" t="n"/>
      <c r="AC478" s="1224" t="n"/>
    </row>
    <row r="479" ht="14.25" customHeight="1">
      <c r="A479" s="797" t="inlineStr">
        <is>
          <t>Копченые колбасы</t>
        </is>
      </c>
      <c r="B479" s="790" t="n"/>
      <c r="C479" s="790" t="n"/>
      <c r="D479" s="790" t="n"/>
      <c r="E479" s="790" t="n"/>
      <c r="F479" s="790" t="n"/>
      <c r="G479" s="790" t="n"/>
      <c r="H479" s="790" t="n"/>
      <c r="I479" s="790" t="n"/>
      <c r="J479" s="790" t="n"/>
      <c r="K479" s="790" t="n"/>
      <c r="L479" s="790" t="n"/>
      <c r="M479" s="790" t="n"/>
      <c r="N479" s="790" t="n"/>
      <c r="O479" s="790" t="n"/>
      <c r="P479" s="790" t="n"/>
      <c r="Q479" s="790" t="n"/>
      <c r="R479" s="790" t="n"/>
      <c r="S479" s="790" t="n"/>
      <c r="T479" s="790" t="n"/>
      <c r="U479" s="790" t="n"/>
      <c r="V479" s="790" t="n"/>
      <c r="W479" s="790" t="n"/>
      <c r="X479" s="790" t="n"/>
      <c r="Y479" s="790" t="n"/>
      <c r="Z479" s="790" t="n"/>
      <c r="AA479" s="797" t="n"/>
      <c r="AB479" s="797" t="n"/>
      <c r="AC479" s="797" t="n"/>
    </row>
    <row r="480" ht="27" customHeight="1">
      <c r="A480" s="54" t="inlineStr">
        <is>
          <t>SU002614</t>
        </is>
      </c>
      <c r="B480" s="54" t="inlineStr">
        <is>
          <t>P004898</t>
        </is>
      </c>
      <c r="C480" s="31" t="n">
        <v>4301031405</v>
      </c>
      <c r="D480" s="779" t="n">
        <v>4680115886100</v>
      </c>
      <c r="E480" s="780" t="n"/>
      <c r="F480" s="1220" t="n">
        <v>0.9</v>
      </c>
      <c r="G480" s="32" t="n">
        <v>6</v>
      </c>
      <c r="H480" s="1220" t="n">
        <v>5.4</v>
      </c>
      <c r="I480" s="1220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27" t="inlineStr">
        <is>
          <t>Копченые колбасы «Салями Филейбургская зернистая» Весовой фиброуз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1" t="n">
        <v>0</v>
      </c>
      <c r="Y480" s="1222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P004329</t>
        </is>
      </c>
      <c r="C481" s="31" t="n">
        <v>4301031322</v>
      </c>
      <c r="D481" s="779" t="n">
        <v>4607091389753</v>
      </c>
      <c r="E481" s="780" t="n"/>
      <c r="F481" s="1220" t="n">
        <v>0.7</v>
      </c>
      <c r="G481" s="32" t="n">
        <v>6</v>
      </c>
      <c r="H481" s="1220" t="n">
        <v>4.2</v>
      </c>
      <c r="I481" s="1220" t="n">
        <v>4.44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5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1" t="n">
        <v>0</v>
      </c>
      <c r="Y481" s="1222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SU002614</t>
        </is>
      </c>
      <c r="B482" s="54" t="inlineStr">
        <is>
          <t>P004515</t>
        </is>
      </c>
      <c r="C482" s="31" t="n">
        <v>4301031355</v>
      </c>
      <c r="D482" s="779" t="n">
        <v>4607091389753</v>
      </c>
      <c r="E482" s="780" t="n"/>
      <c r="F482" s="1220" t="n">
        <v>0.7</v>
      </c>
      <c r="G482" s="32" t="n">
        <v>6</v>
      </c>
      <c r="H482" s="1220" t="n">
        <v>4.2</v>
      </c>
      <c r="I482" s="1220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70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1" t="n">
        <v>0</v>
      </c>
      <c r="Y482" s="1222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P004687</t>
        </is>
      </c>
      <c r="C483" s="31" t="n">
        <v>4301031382</v>
      </c>
      <c r="D483" s="779" t="n">
        <v>4680115886117</v>
      </c>
      <c r="E483" s="780" t="n"/>
      <c r="F483" s="1220" t="n">
        <v>0.9</v>
      </c>
      <c r="G483" s="32" t="n">
        <v>6</v>
      </c>
      <c r="H483" s="1220" t="n">
        <v>5.4</v>
      </c>
      <c r="I483" s="1220" t="n">
        <v>5.61</v>
      </c>
      <c r="J483" s="32" t="n">
        <v>120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 t="inlineStr">
        <is>
          <t>Копченые колбасы «Филейбургская с душистым чесноком» Весовой фиброуз ТМ «Баварушка»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1" t="n">
        <v>0</v>
      </c>
      <c r="Y483" s="1222">
        <f>IFERROR(IF(X483="",0,CEILING((X483/$H483),1)*$H483),"")</f>
        <v/>
      </c>
      <c r="Z483" s="36">
        <f>IFERROR(IF(Y483=0,"",ROUNDUP(Y483/H483,0)*0.00937),"")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P004899</t>
        </is>
      </c>
      <c r="C484" s="31" t="n">
        <v>4301031406</v>
      </c>
      <c r="D484" s="779" t="n">
        <v>4680115886117</v>
      </c>
      <c r="E484" s="780" t="n"/>
      <c r="F484" s="1220" t="n">
        <v>0.9</v>
      </c>
      <c r="G484" s="32" t="n">
        <v>6</v>
      </c>
      <c r="H484" s="1220" t="n">
        <v>5.4</v>
      </c>
      <c r="I484" s="1220" t="n">
        <v>5.61</v>
      </c>
      <c r="J484" s="32" t="n">
        <v>132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4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1" t="n">
        <v>0</v>
      </c>
      <c r="Y484" s="1222">
        <f>IFERROR(IF(X484="",0,CEILING((X484/$H484),1)*$H484),"")</f>
        <v/>
      </c>
      <c r="Z484" s="36">
        <f>IFERROR(IF(Y484=0,"",ROUNDUP(Y484/H484,0)*0.00902),"")</f>
        <v/>
      </c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P004332</t>
        </is>
      </c>
      <c r="C485" s="31" t="n">
        <v>4301031323</v>
      </c>
      <c r="D485" s="779" t="n">
        <v>4607091389760</v>
      </c>
      <c r="E485" s="780" t="n"/>
      <c r="F485" s="1220" t="n">
        <v>0.7</v>
      </c>
      <c r="G485" s="32" t="n">
        <v>6</v>
      </c>
      <c r="H485" s="1220" t="n">
        <v>4.2</v>
      </c>
      <c r="I485" s="1220" t="n">
        <v>4.44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3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1" t="n">
        <v>0</v>
      </c>
      <c r="Y485" s="1222">
        <f>IFERROR(IF(X485="",0,CEILING((X485/$H485),1)*$H485),"")</f>
        <v/>
      </c>
      <c r="Z485" s="36">
        <f>IFERROR(IF(Y485=0,"",ROUNDUP(Y485/H485,0)*0.00902),"")</f>
        <v/>
      </c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79" t="n">
        <v>4607091389746</v>
      </c>
      <c r="E486" s="780" t="n"/>
      <c r="F486" s="1220" t="n">
        <v>0.7</v>
      </c>
      <c r="G486" s="32" t="n">
        <v>6</v>
      </c>
      <c r="H486" s="1220" t="n">
        <v>4.2</v>
      </c>
      <c r="I486" s="1220" t="n">
        <v>4.44</v>
      </c>
      <c r="J486" s="32" t="n">
        <v>132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1" t="n">
        <v>0</v>
      </c>
      <c r="Y486" s="1222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79" t="n">
        <v>4607091389746</v>
      </c>
      <c r="E487" s="780" t="n"/>
      <c r="F487" s="1220" t="n">
        <v>0.7</v>
      </c>
      <c r="G487" s="32" t="n">
        <v>6</v>
      </c>
      <c r="H487" s="1220" t="n">
        <v>4.2</v>
      </c>
      <c r="I487" s="1220" t="n">
        <v>4.44</v>
      </c>
      <c r="J487" s="32" t="n">
        <v>132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1" t="n">
        <v>0</v>
      </c>
      <c r="Y487" s="1222">
        <f>IFERROR(IF(X487="",0,CEILING((X487/$H487),1)*$H487),"")</f>
        <v/>
      </c>
      <c r="Z487" s="36">
        <f>IFERROR(IF(Y487=0,"",ROUNDUP(Y487/H487,0)*0.00902),"")</f>
        <v/>
      </c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79" t="n">
        <v>4680115883147</v>
      </c>
      <c r="E488" s="780" t="n"/>
      <c r="F488" s="1220" t="n">
        <v>0.28</v>
      </c>
      <c r="G488" s="32" t="n">
        <v>6</v>
      </c>
      <c r="H488" s="1220" t="n">
        <v>1.68</v>
      </c>
      <c r="I488" s="1220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09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1" t="n">
        <v>0</v>
      </c>
      <c r="Y488" s="1222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79" t="n">
        <v>4680115883147</v>
      </c>
      <c r="E489" s="780" t="n"/>
      <c r="F489" s="1220" t="n">
        <v>0.28</v>
      </c>
      <c r="G489" s="32" t="n">
        <v>6</v>
      </c>
      <c r="H489" s="1220" t="n">
        <v>1.68</v>
      </c>
      <c r="I489" s="1220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1" t="n">
        <v>0</v>
      </c>
      <c r="Y489" s="1222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79" t="n">
        <v>4607091384338</v>
      </c>
      <c r="E490" s="780" t="n"/>
      <c r="F490" s="1220" t="n">
        <v>0.35</v>
      </c>
      <c r="G490" s="32" t="n">
        <v>6</v>
      </c>
      <c r="H490" s="1220" t="n">
        <v>2.1</v>
      </c>
      <c r="I490" s="1220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1" t="n">
        <v>0</v>
      </c>
      <c r="Y490" s="1222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79" t="n">
        <v>4607091384338</v>
      </c>
      <c r="E491" s="780" t="n"/>
      <c r="F491" s="1220" t="n">
        <v>0.35</v>
      </c>
      <c r="G491" s="32" t="n">
        <v>6</v>
      </c>
      <c r="H491" s="1220" t="n">
        <v>2.1</v>
      </c>
      <c r="I491" s="1220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0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1" t="n">
        <v>0</v>
      </c>
      <c r="Y491" s="1222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P003643</t>
        </is>
      </c>
      <c r="C492" s="31" t="n">
        <v>4301031254</v>
      </c>
      <c r="D492" s="779" t="n">
        <v>4680115883154</v>
      </c>
      <c r="E492" s="780" t="n"/>
      <c r="F492" s="1220" t="n">
        <v>0.28</v>
      </c>
      <c r="G492" s="32" t="n">
        <v>6</v>
      </c>
      <c r="H492" s="1220" t="n">
        <v>1.68</v>
      </c>
      <c r="I492" s="1220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45</v>
      </c>
      <c r="P492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1" t="n">
        <v>0</v>
      </c>
      <c r="Y492" s="1222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Д-RU.РА02.В.76611/22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P004354</t>
        </is>
      </c>
      <c r="C493" s="31" t="n">
        <v>4301031336</v>
      </c>
      <c r="D493" s="779" t="n">
        <v>4680115883154</v>
      </c>
      <c r="E493" s="780" t="n"/>
      <c r="F493" s="1220" t="n">
        <v>0.28</v>
      </c>
      <c r="G493" s="32" t="n">
        <v>6</v>
      </c>
      <c r="H493" s="1220" t="n">
        <v>1.68</v>
      </c>
      <c r="I493" s="1220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5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1" t="n">
        <v>0</v>
      </c>
      <c r="Y493" s="1222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SU003079</t>
        </is>
      </c>
      <c r="B494" s="54" t="inlineStr">
        <is>
          <t>P004547</t>
        </is>
      </c>
      <c r="C494" s="31" t="n">
        <v>4301031374</v>
      </c>
      <c r="D494" s="779" t="n">
        <v>4680115883154</v>
      </c>
      <c r="E494" s="780" t="n"/>
      <c r="F494" s="1220" t="n">
        <v>0.28</v>
      </c>
      <c r="G494" s="32" t="n">
        <v>6</v>
      </c>
      <c r="H494" s="1220" t="n">
        <v>1.68</v>
      </c>
      <c r="I494" s="1220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3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1" t="n">
        <v>0</v>
      </c>
      <c r="Y494" s="1222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Д-RU.РА02.В.65693/23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79" t="n">
        <v>4607091389524</v>
      </c>
      <c r="E495" s="780" t="n"/>
      <c r="F495" s="1220" t="n">
        <v>0.35</v>
      </c>
      <c r="G495" s="32" t="n">
        <v>6</v>
      </c>
      <c r="H495" s="1220" t="n">
        <v>2.1</v>
      </c>
      <c r="I495" s="1220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4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1" t="n">
        <v>0</v>
      </c>
      <c r="Y495" s="1222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79" t="n">
        <v>4607091389524</v>
      </c>
      <c r="E496" s="780" t="n"/>
      <c r="F496" s="1220" t="n">
        <v>0.35</v>
      </c>
      <c r="G496" s="32" t="n">
        <v>6</v>
      </c>
      <c r="H496" s="1220" t="n">
        <v>2.1</v>
      </c>
      <c r="I496" s="1220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7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1" t="n">
        <v>0</v>
      </c>
      <c r="Y496" s="1222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79" t="n">
        <v>4680115883161</v>
      </c>
      <c r="E497" s="780" t="n"/>
      <c r="F497" s="1220" t="n">
        <v>0.28</v>
      </c>
      <c r="G497" s="32" t="n">
        <v>6</v>
      </c>
      <c r="H497" s="1220" t="n">
        <v>1.68</v>
      </c>
      <c r="I497" s="1220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78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1" t="n">
        <v>0</v>
      </c>
      <c r="Y497" s="1222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79" t="n">
        <v>4680115883161</v>
      </c>
      <c r="E498" s="780" t="n"/>
      <c r="F498" s="1220" t="n">
        <v>0.28</v>
      </c>
      <c r="G498" s="32" t="n">
        <v>6</v>
      </c>
      <c r="H498" s="1220" t="n">
        <v>1.68</v>
      </c>
      <c r="I498" s="1220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1" t="n">
        <v>0</v>
      </c>
      <c r="Y498" s="1222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79" t="n">
        <v>4607091389531</v>
      </c>
      <c r="E499" s="780" t="n"/>
      <c r="F499" s="1220" t="n">
        <v>0.35</v>
      </c>
      <c r="G499" s="32" t="n">
        <v>6</v>
      </c>
      <c r="H499" s="1220" t="n">
        <v>2.1</v>
      </c>
      <c r="I499" s="1220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0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1" t="n">
        <v>0</v>
      </c>
      <c r="Y499" s="1222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79" t="n">
        <v>4607091389531</v>
      </c>
      <c r="E500" s="780" t="n"/>
      <c r="F500" s="1220" t="n">
        <v>0.35</v>
      </c>
      <c r="G500" s="32" t="n">
        <v>6</v>
      </c>
      <c r="H500" s="1220" t="n">
        <v>2.1</v>
      </c>
      <c r="I500" s="1220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4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1" t="n">
        <v>0</v>
      </c>
      <c r="Y500" s="1222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79" t="n">
        <v>4607091384345</v>
      </c>
      <c r="E501" s="780" t="n"/>
      <c r="F501" s="1220" t="n">
        <v>0.35</v>
      </c>
      <c r="G501" s="32" t="n">
        <v>6</v>
      </c>
      <c r="H501" s="1220" t="n">
        <v>2.1</v>
      </c>
      <c r="I501" s="1220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0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1" t="n">
        <v>0</v>
      </c>
      <c r="Y501" s="1222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P003644</t>
        </is>
      </c>
      <c r="C502" s="31" t="n">
        <v>4301031255</v>
      </c>
      <c r="D502" s="779" t="n">
        <v>4680115883185</v>
      </c>
      <c r="E502" s="780" t="n"/>
      <c r="F502" s="1220" t="n">
        <v>0.28</v>
      </c>
      <c r="G502" s="32" t="n">
        <v>6</v>
      </c>
      <c r="H502" s="1220" t="n">
        <v>1.68</v>
      </c>
      <c r="I502" s="1220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45</v>
      </c>
      <c r="P502" s="8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1" t="n">
        <v>0</v>
      </c>
      <c r="Y502" s="1222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Д-RU.РА03.В.60842/22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P004356</t>
        </is>
      </c>
      <c r="C503" s="31" t="n">
        <v>4301031338</v>
      </c>
      <c r="D503" s="779" t="n">
        <v>4680115883185</v>
      </c>
      <c r="E503" s="780" t="n"/>
      <c r="F503" s="1220" t="n">
        <v>0.28</v>
      </c>
      <c r="G503" s="32" t="n">
        <v>6</v>
      </c>
      <c r="H503" s="1220" t="n">
        <v>1.68</v>
      </c>
      <c r="I503" s="1220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37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1" t="n">
        <v>0</v>
      </c>
      <c r="Y503" s="1222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SU003082</t>
        </is>
      </c>
      <c r="B504" s="54" t="inlineStr">
        <is>
          <t>P004541</t>
        </is>
      </c>
      <c r="C504" s="31" t="n">
        <v>4301031368</v>
      </c>
      <c r="D504" s="779" t="n">
        <v>4680115883185</v>
      </c>
      <c r="E504" s="780" t="n"/>
      <c r="F504" s="1220" t="n">
        <v>0.28</v>
      </c>
      <c r="G504" s="32" t="n">
        <v>6</v>
      </c>
      <c r="H504" s="1220" t="n">
        <v>1.68</v>
      </c>
      <c r="I504" s="1220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50</v>
      </c>
      <c r="P504" s="1019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1" t="n">
        <v>0</v>
      </c>
      <c r="Y504" s="1222">
        <f>IFERROR(IF(X504="",0,CEILING((X504/$H504),1)*$H504),"")</f>
        <v/>
      </c>
      <c r="Z504" s="36">
        <f>IFERROR(IF(Y504=0,"",ROUNDUP(Y504/H504,0)*0.00502),"")</f>
        <v/>
      </c>
      <c r="AA504" s="56" t="n"/>
      <c r="AB504" s="57" t="n"/>
      <c r="AC504" s="603" t="inlineStr">
        <is>
          <t>ЕАЭС N RU Д-RU.РА02.В.66942/23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789" t="n"/>
      <c r="B505" s="790" t="n"/>
      <c r="C505" s="790" t="n"/>
      <c r="D505" s="790" t="n"/>
      <c r="E505" s="790" t="n"/>
      <c r="F505" s="790" t="n"/>
      <c r="G505" s="790" t="n"/>
      <c r="H505" s="790" t="n"/>
      <c r="I505" s="790" t="n"/>
      <c r="J505" s="790" t="n"/>
      <c r="K505" s="790" t="n"/>
      <c r="L505" s="790" t="n"/>
      <c r="M505" s="790" t="n"/>
      <c r="N505" s="790" t="n"/>
      <c r="O505" s="791" t="n"/>
      <c r="P505" s="794" t="inlineStr">
        <is>
          <t>Итого</t>
        </is>
      </c>
      <c r="Q505" s="795" t="n"/>
      <c r="R505" s="795" t="n"/>
      <c r="S505" s="795" t="n"/>
      <c r="T505" s="795" t="n"/>
      <c r="U505" s="795" t="n"/>
      <c r="V505" s="796" t="n"/>
      <c r="W505" s="37" t="inlineStr">
        <is>
          <t>кор</t>
        </is>
      </c>
      <c r="X505" s="122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2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2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24" t="n"/>
      <c r="AB505" s="1224" t="n"/>
      <c r="AC505" s="1224" t="n"/>
    </row>
    <row r="506">
      <c r="A506" s="790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4" t="inlineStr">
        <is>
          <t>Итого</t>
        </is>
      </c>
      <c r="Q506" s="795" t="n"/>
      <c r="R506" s="795" t="n"/>
      <c r="S506" s="795" t="n"/>
      <c r="T506" s="795" t="n"/>
      <c r="U506" s="795" t="n"/>
      <c r="V506" s="796" t="n"/>
      <c r="W506" s="37" t="inlineStr">
        <is>
          <t>кг</t>
        </is>
      </c>
      <c r="X506" s="1223">
        <f>IFERROR(SUM(X480:X504),"0")</f>
        <v/>
      </c>
      <c r="Y506" s="1223">
        <f>IFERROR(SUM(Y480:Y504),"0")</f>
        <v/>
      </c>
      <c r="Z506" s="37" t="n"/>
      <c r="AA506" s="1224" t="n"/>
      <c r="AB506" s="1224" t="n"/>
      <c r="AC506" s="1224" t="n"/>
    </row>
    <row r="507" ht="14.25" customHeight="1">
      <c r="A507" s="797" t="inlineStr">
        <is>
          <t>Сосиски</t>
        </is>
      </c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0" t="n"/>
      <c r="P507" s="790" t="n"/>
      <c r="Q507" s="790" t="n"/>
      <c r="R507" s="790" t="n"/>
      <c r="S507" s="790" t="n"/>
      <c r="T507" s="790" t="n"/>
      <c r="U507" s="790" t="n"/>
      <c r="V507" s="790" t="n"/>
      <c r="W507" s="790" t="n"/>
      <c r="X507" s="790" t="n"/>
      <c r="Y507" s="790" t="n"/>
      <c r="Z507" s="790" t="n"/>
      <c r="AA507" s="797" t="n"/>
      <c r="AB507" s="797" t="n"/>
      <c r="AC507" s="797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79" t="n">
        <v>4607091384352</v>
      </c>
      <c r="E508" s="780" t="n"/>
      <c r="F508" s="1220" t="n">
        <v>0.6</v>
      </c>
      <c r="G508" s="32" t="n">
        <v>4</v>
      </c>
      <c r="H508" s="1220" t="n">
        <v>2.4</v>
      </c>
      <c r="I508" s="1220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1" t="n">
        <v>0</v>
      </c>
      <c r="Y508" s="1222">
        <f>IFERROR(IF(X508="",0,CEILING((X508/$H508),1)*$H508),"")</f>
        <v/>
      </c>
      <c r="Z508" s="36">
        <f>IFERROR(IF(Y508=0,"",ROUNDUP(Y508/H508,0)*0.00902),"")</f>
        <v/>
      </c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79" t="n">
        <v>4607091389654</v>
      </c>
      <c r="E509" s="780" t="n"/>
      <c r="F509" s="1220" t="n">
        <v>0.33</v>
      </c>
      <c r="G509" s="32" t="n">
        <v>6</v>
      </c>
      <c r="H509" s="1220" t="n">
        <v>1.98</v>
      </c>
      <c r="I509" s="1220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1" t="n">
        <v>0</v>
      </c>
      <c r="Y509" s="1222">
        <f>IFERROR(IF(X509="",0,CEILING((X509/$H509),1)*$H509),"")</f>
        <v/>
      </c>
      <c r="Z509" s="36">
        <f>IFERROR(IF(Y509=0,"",ROUNDUP(Y509/H509,0)*0.00651),"")</f>
        <v/>
      </c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789" t="n"/>
      <c r="B510" s="790" t="n"/>
      <c r="C510" s="790" t="n"/>
      <c r="D510" s="790" t="n"/>
      <c r="E510" s="790" t="n"/>
      <c r="F510" s="790" t="n"/>
      <c r="G510" s="790" t="n"/>
      <c r="H510" s="790" t="n"/>
      <c r="I510" s="790" t="n"/>
      <c r="J510" s="790" t="n"/>
      <c r="K510" s="790" t="n"/>
      <c r="L510" s="790" t="n"/>
      <c r="M510" s="790" t="n"/>
      <c r="N510" s="790" t="n"/>
      <c r="O510" s="791" t="n"/>
      <c r="P510" s="794" t="inlineStr">
        <is>
          <t>Итого</t>
        </is>
      </c>
      <c r="Q510" s="795" t="n"/>
      <c r="R510" s="795" t="n"/>
      <c r="S510" s="795" t="n"/>
      <c r="T510" s="795" t="n"/>
      <c r="U510" s="795" t="n"/>
      <c r="V510" s="796" t="n"/>
      <c r="W510" s="37" t="inlineStr">
        <is>
          <t>кор</t>
        </is>
      </c>
      <c r="X510" s="1223">
        <f>IFERROR(X508/H508,"0")+IFERROR(X509/H509,"0")</f>
        <v/>
      </c>
      <c r="Y510" s="1223">
        <f>IFERROR(Y508/H508,"0")+IFERROR(Y509/H509,"0")</f>
        <v/>
      </c>
      <c r="Z510" s="1223">
        <f>IFERROR(IF(Z508="",0,Z508),"0")+IFERROR(IF(Z509="",0,Z509),"0")</f>
        <v/>
      </c>
      <c r="AA510" s="1224" t="n"/>
      <c r="AB510" s="1224" t="n"/>
      <c r="AC510" s="1224" t="n"/>
    </row>
    <row r="511">
      <c r="A511" s="790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4" t="inlineStr">
        <is>
          <t>Итого</t>
        </is>
      </c>
      <c r="Q511" s="795" t="n"/>
      <c r="R511" s="795" t="n"/>
      <c r="S511" s="795" t="n"/>
      <c r="T511" s="795" t="n"/>
      <c r="U511" s="795" t="n"/>
      <c r="V511" s="796" t="n"/>
      <c r="W511" s="37" t="inlineStr">
        <is>
          <t>кг</t>
        </is>
      </c>
      <c r="X511" s="1223">
        <f>IFERROR(SUM(X508:X509),"0")</f>
        <v/>
      </c>
      <c r="Y511" s="1223">
        <f>IFERROR(SUM(Y508:Y509),"0")</f>
        <v/>
      </c>
      <c r="Z511" s="37" t="n"/>
      <c r="AA511" s="1224" t="n"/>
      <c r="AB511" s="1224" t="n"/>
      <c r="AC511" s="1224" t="n"/>
    </row>
    <row r="512" ht="14.25" customHeight="1">
      <c r="A512" s="797" t="inlineStr">
        <is>
          <t>Сырокопченые колбасы</t>
        </is>
      </c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0" t="n"/>
      <c r="P512" s="790" t="n"/>
      <c r="Q512" s="790" t="n"/>
      <c r="R512" s="790" t="n"/>
      <c r="S512" s="790" t="n"/>
      <c r="T512" s="790" t="n"/>
      <c r="U512" s="790" t="n"/>
      <c r="V512" s="790" t="n"/>
      <c r="W512" s="790" t="n"/>
      <c r="X512" s="790" t="n"/>
      <c r="Y512" s="790" t="n"/>
      <c r="Z512" s="790" t="n"/>
      <c r="AA512" s="797" t="n"/>
      <c r="AB512" s="797" t="n"/>
      <c r="AC512" s="797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79" t="n">
        <v>4680115884335</v>
      </c>
      <c r="E513" s="780" t="n"/>
      <c r="F513" s="1220" t="n">
        <v>0.06</v>
      </c>
      <c r="G513" s="32" t="n">
        <v>20</v>
      </c>
      <c r="H513" s="1220" t="n">
        <v>1.2</v>
      </c>
      <c r="I513" s="1220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1" t="n">
        <v>0</v>
      </c>
      <c r="Y513" s="1222">
        <f>IFERROR(IF(X513="",0,CEILING((X513/$H513),1)*$H513),"")</f>
        <v/>
      </c>
      <c r="Z513" s="36">
        <f>IFERROR(IF(Y513=0,"",ROUNDUP(Y513/H513,0)*0.00627),"")</f>
        <v/>
      </c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79" t="n">
        <v>4680115884113</v>
      </c>
      <c r="E514" s="780" t="n"/>
      <c r="F514" s="1220" t="n">
        <v>0.11</v>
      </c>
      <c r="G514" s="32" t="n">
        <v>12</v>
      </c>
      <c r="H514" s="1220" t="n">
        <v>1.32</v>
      </c>
      <c r="I514" s="1220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1" t="n">
        <v>0</v>
      </c>
      <c r="Y514" s="1222">
        <f>IFERROR(IF(X514="",0,CEILING((X514/$H514),1)*$H514),"")</f>
        <v/>
      </c>
      <c r="Z514" s="36">
        <f>IFERROR(IF(Y514=0,"",ROUNDUP(Y514/H514,0)*0.00627),"")</f>
        <v/>
      </c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789" t="n"/>
      <c r="B515" s="790" t="n"/>
      <c r="C515" s="790" t="n"/>
      <c r="D515" s="790" t="n"/>
      <c r="E515" s="790" t="n"/>
      <c r="F515" s="790" t="n"/>
      <c r="G515" s="790" t="n"/>
      <c r="H515" s="790" t="n"/>
      <c r="I515" s="790" t="n"/>
      <c r="J515" s="790" t="n"/>
      <c r="K515" s="790" t="n"/>
      <c r="L515" s="790" t="n"/>
      <c r="M515" s="790" t="n"/>
      <c r="N515" s="790" t="n"/>
      <c r="O515" s="791" t="n"/>
      <c r="P515" s="794" t="inlineStr">
        <is>
          <t>Итого</t>
        </is>
      </c>
      <c r="Q515" s="795" t="n"/>
      <c r="R515" s="795" t="n"/>
      <c r="S515" s="795" t="n"/>
      <c r="T515" s="795" t="n"/>
      <c r="U515" s="795" t="n"/>
      <c r="V515" s="796" t="n"/>
      <c r="W515" s="37" t="inlineStr">
        <is>
          <t>кор</t>
        </is>
      </c>
      <c r="X515" s="1223">
        <f>IFERROR(X513/H513,"0")+IFERROR(X514/H514,"0")</f>
        <v/>
      </c>
      <c r="Y515" s="1223">
        <f>IFERROR(Y513/H513,"0")+IFERROR(Y514/H514,"0")</f>
        <v/>
      </c>
      <c r="Z515" s="1223">
        <f>IFERROR(IF(Z513="",0,Z513),"0")+IFERROR(IF(Z514="",0,Z514),"0")</f>
        <v/>
      </c>
      <c r="AA515" s="1224" t="n"/>
      <c r="AB515" s="1224" t="n"/>
      <c r="AC515" s="1224" t="n"/>
    </row>
    <row r="516">
      <c r="A516" s="790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4" t="inlineStr">
        <is>
          <t>Итого</t>
        </is>
      </c>
      <c r="Q516" s="795" t="n"/>
      <c r="R516" s="795" t="n"/>
      <c r="S516" s="795" t="n"/>
      <c r="T516" s="795" t="n"/>
      <c r="U516" s="795" t="n"/>
      <c r="V516" s="796" t="n"/>
      <c r="W516" s="37" t="inlineStr">
        <is>
          <t>кг</t>
        </is>
      </c>
      <c r="X516" s="1223">
        <f>IFERROR(SUM(X513:X514),"0")</f>
        <v/>
      </c>
      <c r="Y516" s="1223">
        <f>IFERROR(SUM(Y513:Y514),"0")</f>
        <v/>
      </c>
      <c r="Z516" s="37" t="n"/>
      <c r="AA516" s="1224" t="n"/>
      <c r="AB516" s="1224" t="n"/>
      <c r="AC516" s="1224" t="n"/>
    </row>
    <row r="517" ht="16.5" customHeight="1">
      <c r="A517" s="828" t="inlineStr">
        <is>
          <t>Балыкбургская</t>
        </is>
      </c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0" t="n"/>
      <c r="P517" s="790" t="n"/>
      <c r="Q517" s="790" t="n"/>
      <c r="R517" s="790" t="n"/>
      <c r="S517" s="790" t="n"/>
      <c r="T517" s="790" t="n"/>
      <c r="U517" s="790" t="n"/>
      <c r="V517" s="790" t="n"/>
      <c r="W517" s="790" t="n"/>
      <c r="X517" s="790" t="n"/>
      <c r="Y517" s="790" t="n"/>
      <c r="Z517" s="790" t="n"/>
      <c r="AA517" s="828" t="n"/>
      <c r="AB517" s="828" t="n"/>
      <c r="AC517" s="828" t="n"/>
    </row>
    <row r="518" ht="14.25" customHeight="1">
      <c r="A518" s="797" t="inlineStr">
        <is>
          <t>Ветчины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7" t="n"/>
      <c r="AB518" s="797" t="n"/>
      <c r="AC518" s="797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79" t="n">
        <v>4607091389364</v>
      </c>
      <c r="E519" s="780" t="n"/>
      <c r="F519" s="1220" t="n">
        <v>0.42</v>
      </c>
      <c r="G519" s="32" t="n">
        <v>6</v>
      </c>
      <c r="H519" s="1220" t="n">
        <v>2.52</v>
      </c>
      <c r="I519" s="1220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68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1" t="n">
        <v>0</v>
      </c>
      <c r="Y519" s="1222">
        <f>IFERROR(IF(X519="",0,CEILING((X519/$H519),1)*$H519),"")</f>
        <v/>
      </c>
      <c r="Z519" s="36">
        <f>IFERROR(IF(Y519=0,"",ROUNDUP(Y519/H519,0)*0.00651),"")</f>
        <v/>
      </c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>
      <c r="A520" s="789" t="n"/>
      <c r="B520" s="790" t="n"/>
      <c r="C520" s="790" t="n"/>
      <c r="D520" s="790" t="n"/>
      <c r="E520" s="790" t="n"/>
      <c r="F520" s="790" t="n"/>
      <c r="G520" s="790" t="n"/>
      <c r="H520" s="790" t="n"/>
      <c r="I520" s="790" t="n"/>
      <c r="J520" s="790" t="n"/>
      <c r="K520" s="790" t="n"/>
      <c r="L520" s="790" t="n"/>
      <c r="M520" s="790" t="n"/>
      <c r="N520" s="790" t="n"/>
      <c r="O520" s="791" t="n"/>
      <c r="P520" s="794" t="inlineStr">
        <is>
          <t>Итого</t>
        </is>
      </c>
      <c r="Q520" s="795" t="n"/>
      <c r="R520" s="795" t="n"/>
      <c r="S520" s="795" t="n"/>
      <c r="T520" s="795" t="n"/>
      <c r="U520" s="795" t="n"/>
      <c r="V520" s="796" t="n"/>
      <c r="W520" s="37" t="inlineStr">
        <is>
          <t>кор</t>
        </is>
      </c>
      <c r="X520" s="1223">
        <f>IFERROR(X519/H519,"0")</f>
        <v/>
      </c>
      <c r="Y520" s="1223">
        <f>IFERROR(Y519/H519,"0")</f>
        <v/>
      </c>
      <c r="Z520" s="1223">
        <f>IFERROR(IF(Z519="",0,Z519),"0")</f>
        <v/>
      </c>
      <c r="AA520" s="1224" t="n"/>
      <c r="AB520" s="1224" t="n"/>
      <c r="AC520" s="1224" t="n"/>
    </row>
    <row r="521">
      <c r="A521" s="790" t="n"/>
      <c r="B521" s="790" t="n"/>
      <c r="C521" s="790" t="n"/>
      <c r="D521" s="790" t="n"/>
      <c r="E521" s="790" t="n"/>
      <c r="F521" s="790" t="n"/>
      <c r="G521" s="790" t="n"/>
      <c r="H521" s="790" t="n"/>
      <c r="I521" s="790" t="n"/>
      <c r="J521" s="790" t="n"/>
      <c r="K521" s="790" t="n"/>
      <c r="L521" s="790" t="n"/>
      <c r="M521" s="790" t="n"/>
      <c r="N521" s="790" t="n"/>
      <c r="O521" s="791" t="n"/>
      <c r="P521" s="794" t="inlineStr">
        <is>
          <t>Итого</t>
        </is>
      </c>
      <c r="Q521" s="795" t="n"/>
      <c r="R521" s="795" t="n"/>
      <c r="S521" s="795" t="n"/>
      <c r="T521" s="795" t="n"/>
      <c r="U521" s="795" t="n"/>
      <c r="V521" s="796" t="n"/>
      <c r="W521" s="37" t="inlineStr">
        <is>
          <t>кг</t>
        </is>
      </c>
      <c r="X521" s="1223">
        <f>IFERROR(SUM(X519:X519),"0")</f>
        <v/>
      </c>
      <c r="Y521" s="1223">
        <f>IFERROR(SUM(Y519:Y519),"0")</f>
        <v/>
      </c>
      <c r="Z521" s="37" t="n"/>
      <c r="AA521" s="1224" t="n"/>
      <c r="AB521" s="1224" t="n"/>
      <c r="AC521" s="1224" t="n"/>
    </row>
    <row r="522" ht="14.25" customHeight="1">
      <c r="A522" s="797" t="inlineStr">
        <is>
          <t>Копченые колбасы</t>
        </is>
      </c>
      <c r="B522" s="790" t="n"/>
      <c r="C522" s="790" t="n"/>
      <c r="D522" s="790" t="n"/>
      <c r="E522" s="790" t="n"/>
      <c r="F522" s="790" t="n"/>
      <c r="G522" s="790" t="n"/>
      <c r="H522" s="790" t="n"/>
      <c r="I522" s="790" t="n"/>
      <c r="J522" s="790" t="n"/>
      <c r="K522" s="790" t="n"/>
      <c r="L522" s="790" t="n"/>
      <c r="M522" s="790" t="n"/>
      <c r="N522" s="790" t="n"/>
      <c r="O522" s="790" t="n"/>
      <c r="P522" s="790" t="n"/>
      <c r="Q522" s="790" t="n"/>
      <c r="R522" s="790" t="n"/>
      <c r="S522" s="790" t="n"/>
      <c r="T522" s="790" t="n"/>
      <c r="U522" s="790" t="n"/>
      <c r="V522" s="790" t="n"/>
      <c r="W522" s="790" t="n"/>
      <c r="X522" s="790" t="n"/>
      <c r="Y522" s="790" t="n"/>
      <c r="Z522" s="790" t="n"/>
      <c r="AA522" s="797" t="n"/>
      <c r="AB522" s="797" t="n"/>
      <c r="AC522" s="797" t="n"/>
    </row>
    <row r="523" ht="27" customHeight="1">
      <c r="A523" s="54" t="inlineStr">
        <is>
          <t>SU002612</t>
        </is>
      </c>
      <c r="B523" s="54" t="inlineStr">
        <is>
          <t>P004896</t>
        </is>
      </c>
      <c r="C523" s="31" t="n">
        <v>4301031403</v>
      </c>
      <c r="D523" s="779" t="n">
        <v>4680115886094</v>
      </c>
      <c r="E523" s="780" t="n"/>
      <c r="F523" s="1220" t="n">
        <v>0.9</v>
      </c>
      <c r="G523" s="32" t="n">
        <v>6</v>
      </c>
      <c r="H523" s="1220" t="n">
        <v>5.4</v>
      </c>
      <c r="I523" s="1220" t="n">
        <v>5.61</v>
      </c>
      <c r="J523" s="32" t="n">
        <v>132</v>
      </c>
      <c r="K523" s="32" t="inlineStr">
        <is>
          <t>12</t>
        </is>
      </c>
      <c r="L523" s="32" t="n"/>
      <c r="M523" s="33" t="inlineStr">
        <is>
          <t>СК1</t>
        </is>
      </c>
      <c r="N523" s="33" t="n"/>
      <c r="O523" s="32" t="n">
        <v>50</v>
      </c>
      <c r="P523" s="910" t="inlineStr">
        <is>
          <t>Копченые колбасы «Балыкбургская» Весовой фиброуз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1" t="n">
        <v>0</v>
      </c>
      <c r="Y523" s="1222">
        <f>IFERROR(IF(X523="",0,CEILING((X523/$H523),1)*$H523),"")</f>
        <v/>
      </c>
      <c r="Z523" s="36">
        <f>IFERROR(IF(Y523=0,"",ROUNDUP(Y523/H523,0)*0.00902),"")</f>
        <v/>
      </c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SU002545</t>
        </is>
      </c>
      <c r="B524" s="54" t="inlineStr">
        <is>
          <t>P004516</t>
        </is>
      </c>
      <c r="C524" s="31" t="n">
        <v>4301031363</v>
      </c>
      <c r="D524" s="779" t="n">
        <v>4607091389425</v>
      </c>
      <c r="E524" s="780" t="n"/>
      <c r="F524" s="1220" t="n">
        <v>0.35</v>
      </c>
      <c r="G524" s="32" t="n">
        <v>6</v>
      </c>
      <c r="H524" s="1220" t="n">
        <v>2.1</v>
      </c>
      <c r="I524" s="1220" t="n">
        <v>2.23</v>
      </c>
      <c r="J524" s="32" t="n">
        <v>234</v>
      </c>
      <c r="K524" s="32" t="inlineStr">
        <is>
          <t>18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1" t="n">
        <v>0</v>
      </c>
      <c r="Y524" s="1222">
        <f>IFERROR(IF(X524="",0,CEILING((X524/$H524),1)*$H524),"")</f>
        <v/>
      </c>
      <c r="Z524" s="36">
        <f>IFERROR(IF(Y524=0,"",ROUNDUP(Y524/H524,0)*0.00502),"")</f>
        <v/>
      </c>
      <c r="AA524" s="56" t="n"/>
      <c r="AB524" s="57" t="n"/>
      <c r="AC524" s="617" t="inlineStr">
        <is>
          <t>ЕАЭС N RU Д-RU.РА02.В.65449/23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SU002726</t>
        </is>
      </c>
      <c r="B525" s="54" t="inlineStr">
        <is>
          <t>P004546</t>
        </is>
      </c>
      <c r="C525" s="31" t="n">
        <v>4301031373</v>
      </c>
      <c r="D525" s="779" t="n">
        <v>4680115880771</v>
      </c>
      <c r="E525" s="780" t="n"/>
      <c r="F525" s="1220" t="n">
        <v>0.28</v>
      </c>
      <c r="G525" s="32" t="n">
        <v>6</v>
      </c>
      <c r="H525" s="1220" t="n">
        <v>1.68</v>
      </c>
      <c r="I525" s="1220" t="n">
        <v>1.81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87" t="inlineStr">
        <is>
          <t>В/к колбасы Балыкбургская с копченым балыком срез Балыкбургская Фикс.вес 0,28 фиброуз в/у Баварушка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1" t="n">
        <v>0</v>
      </c>
      <c r="Y525" s="1222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Д-RU.РА02.В.66822/23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SU002604</t>
        </is>
      </c>
      <c r="B526" s="54" t="inlineStr">
        <is>
          <t>P004520</t>
        </is>
      </c>
      <c r="C526" s="31" t="n">
        <v>4301031359</v>
      </c>
      <c r="D526" s="779" t="n">
        <v>4607091389500</v>
      </c>
      <c r="E526" s="780" t="n"/>
      <c r="F526" s="1220" t="n">
        <v>0.35</v>
      </c>
      <c r="G526" s="32" t="n">
        <v>6</v>
      </c>
      <c r="H526" s="1220" t="n">
        <v>2.1</v>
      </c>
      <c r="I526" s="1220" t="n">
        <v>2.23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09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1" t="n">
        <v>0</v>
      </c>
      <c r="Y526" s="1222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P004339</t>
        </is>
      </c>
      <c r="C527" s="31" t="n">
        <v>4301031327</v>
      </c>
      <c r="D527" s="779" t="n">
        <v>4607091389500</v>
      </c>
      <c r="E527" s="780" t="n"/>
      <c r="F527" s="1220" t="n">
        <v>0.35</v>
      </c>
      <c r="G527" s="32" t="n">
        <v>6</v>
      </c>
      <c r="H527" s="1220" t="n">
        <v>2.1</v>
      </c>
      <c r="I527" s="1220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1" t="n">
        <v>0</v>
      </c>
      <c r="Y527" s="1222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4" t="inlineStr">
        <is>
          <t>Итого</t>
        </is>
      </c>
      <c r="Q528" s="795" t="n"/>
      <c r="R528" s="795" t="n"/>
      <c r="S528" s="795" t="n"/>
      <c r="T528" s="795" t="n"/>
      <c r="U528" s="795" t="n"/>
      <c r="V528" s="796" t="n"/>
      <c r="W528" s="37" t="inlineStr">
        <is>
          <t>кор</t>
        </is>
      </c>
      <c r="X528" s="1223">
        <f>IFERROR(X523/H523,"0")+IFERROR(X524/H524,"0")+IFERROR(X525/H525,"0")+IFERROR(X526/H526,"0")+IFERROR(X527/H527,"0")</f>
        <v/>
      </c>
      <c r="Y528" s="1223">
        <f>IFERROR(Y523/H523,"0")+IFERROR(Y524/H524,"0")+IFERROR(Y525/H525,"0")+IFERROR(Y526/H526,"0")+IFERROR(Y527/H527,"0")</f>
        <v/>
      </c>
      <c r="Z528" s="1223">
        <f>IFERROR(IF(Z523="",0,Z523),"0")+IFERROR(IF(Z524="",0,Z524),"0")+IFERROR(IF(Z525="",0,Z525),"0")+IFERROR(IF(Z526="",0,Z526),"0")+IFERROR(IF(Z527="",0,Z527),"0")</f>
        <v/>
      </c>
      <c r="AA528" s="1224" t="n"/>
      <c r="AB528" s="1224" t="n"/>
      <c r="AC528" s="1224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4" t="inlineStr">
        <is>
          <t>Итого</t>
        </is>
      </c>
      <c r="Q529" s="795" t="n"/>
      <c r="R529" s="795" t="n"/>
      <c r="S529" s="795" t="n"/>
      <c r="T529" s="795" t="n"/>
      <c r="U529" s="795" t="n"/>
      <c r="V529" s="796" t="n"/>
      <c r="W529" s="37" t="inlineStr">
        <is>
          <t>кг</t>
        </is>
      </c>
      <c r="X529" s="1223">
        <f>IFERROR(SUM(X523:X527),"0")</f>
        <v/>
      </c>
      <c r="Y529" s="1223">
        <f>IFERROR(SUM(Y523:Y527),"0")</f>
        <v/>
      </c>
      <c r="Z529" s="37" t="n"/>
      <c r="AA529" s="1224" t="n"/>
      <c r="AB529" s="1224" t="n"/>
      <c r="AC529" s="1224" t="n"/>
    </row>
    <row r="530" ht="14.25" customHeight="1">
      <c r="A530" s="797" t="inlineStr">
        <is>
          <t>Сырокопченые колбасы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797" t="n"/>
      <c r="AB530" s="797" t="n"/>
      <c r="AC530" s="797" t="n"/>
    </row>
    <row r="531" ht="27" customHeight="1">
      <c r="A531" s="54" t="inlineStr">
        <is>
          <t>SU003280</t>
        </is>
      </c>
      <c r="B531" s="54" t="inlineStr">
        <is>
          <t>P003776</t>
        </is>
      </c>
      <c r="C531" s="31" t="n">
        <v>4301032046</v>
      </c>
      <c r="D531" s="779" t="n">
        <v>4680115884359</v>
      </c>
      <c r="E531" s="780" t="n"/>
      <c r="F531" s="1220" t="n">
        <v>0.06</v>
      </c>
      <c r="G531" s="32" t="n">
        <v>20</v>
      </c>
      <c r="H531" s="1220" t="n">
        <v>1.2</v>
      </c>
      <c r="I531" s="1220" t="n">
        <v>1.8</v>
      </c>
      <c r="J531" s="32" t="n">
        <v>200</v>
      </c>
      <c r="K531" s="32" t="inlineStr">
        <is>
          <t>10</t>
        </is>
      </c>
      <c r="L531" s="32" t="n"/>
      <c r="M531" s="33" t="inlineStr">
        <is>
          <t>ДК</t>
        </is>
      </c>
      <c r="N531" s="33" t="n"/>
      <c r="O531" s="32" t="n">
        <v>60</v>
      </c>
      <c r="P531" s="82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782" t="n"/>
      <c r="R531" s="782" t="n"/>
      <c r="S531" s="782" t="n"/>
      <c r="T531" s="783" t="n"/>
      <c r="U531" s="34" t="n"/>
      <c r="V531" s="34" t="n"/>
      <c r="W531" s="35" t="inlineStr">
        <is>
          <t>кг</t>
        </is>
      </c>
      <c r="X531" s="1221" t="n">
        <v>0</v>
      </c>
      <c r="Y531" s="1222">
        <f>IFERROR(IF(X531="",0,CEILING((X531/$H531),1)*$H531),"")</f>
        <v/>
      </c>
      <c r="Z531" s="36">
        <f>IFERROR(IF(Y531=0,"",ROUNDUP(Y531/H531,0)*0.00627),"")</f>
        <v/>
      </c>
      <c r="AA531" s="56" t="n"/>
      <c r="AB531" s="57" t="n"/>
      <c r="AC531" s="625" t="inlineStr">
        <is>
          <t>ЕАЭС N RU Д-RU.РА05.В.39473/23</t>
        </is>
      </c>
      <c r="AG531" s="64" t="n"/>
      <c r="AJ531" s="68" t="n"/>
      <c r="AK531" s="68" t="n">
        <v>0</v>
      </c>
      <c r="BB531" s="626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>
      <c r="A532" s="789" t="n"/>
      <c r="B532" s="790" t="n"/>
      <c r="C532" s="790" t="n"/>
      <c r="D532" s="790" t="n"/>
      <c r="E532" s="790" t="n"/>
      <c r="F532" s="790" t="n"/>
      <c r="G532" s="790" t="n"/>
      <c r="H532" s="790" t="n"/>
      <c r="I532" s="790" t="n"/>
      <c r="J532" s="790" t="n"/>
      <c r="K532" s="790" t="n"/>
      <c r="L532" s="790" t="n"/>
      <c r="M532" s="790" t="n"/>
      <c r="N532" s="790" t="n"/>
      <c r="O532" s="791" t="n"/>
      <c r="P532" s="794" t="inlineStr">
        <is>
          <t>Итого</t>
        </is>
      </c>
      <c r="Q532" s="795" t="n"/>
      <c r="R532" s="795" t="n"/>
      <c r="S532" s="795" t="n"/>
      <c r="T532" s="795" t="n"/>
      <c r="U532" s="795" t="n"/>
      <c r="V532" s="796" t="n"/>
      <c r="W532" s="37" t="inlineStr">
        <is>
          <t>кор</t>
        </is>
      </c>
      <c r="X532" s="1223">
        <f>IFERROR(X531/H531,"0")</f>
        <v/>
      </c>
      <c r="Y532" s="1223">
        <f>IFERROR(Y531/H531,"0")</f>
        <v/>
      </c>
      <c r="Z532" s="1223">
        <f>IFERROR(IF(Z531="",0,Z531),"0")</f>
        <v/>
      </c>
      <c r="AA532" s="1224" t="n"/>
      <c r="AB532" s="1224" t="n"/>
      <c r="AC532" s="1224" t="n"/>
    </row>
    <row r="533">
      <c r="A533" s="790" t="n"/>
      <c r="B533" s="790" t="n"/>
      <c r="C533" s="790" t="n"/>
      <c r="D533" s="790" t="n"/>
      <c r="E533" s="790" t="n"/>
      <c r="F533" s="790" t="n"/>
      <c r="G533" s="790" t="n"/>
      <c r="H533" s="790" t="n"/>
      <c r="I533" s="790" t="n"/>
      <c r="J533" s="790" t="n"/>
      <c r="K533" s="790" t="n"/>
      <c r="L533" s="790" t="n"/>
      <c r="M533" s="790" t="n"/>
      <c r="N533" s="790" t="n"/>
      <c r="O533" s="791" t="n"/>
      <c r="P533" s="794" t="inlineStr">
        <is>
          <t>Итого</t>
        </is>
      </c>
      <c r="Q533" s="795" t="n"/>
      <c r="R533" s="795" t="n"/>
      <c r="S533" s="795" t="n"/>
      <c r="T533" s="795" t="n"/>
      <c r="U533" s="795" t="n"/>
      <c r="V533" s="796" t="n"/>
      <c r="W533" s="37" t="inlineStr">
        <is>
          <t>кг</t>
        </is>
      </c>
      <c r="X533" s="1223">
        <f>IFERROR(SUM(X531:X531),"0")</f>
        <v/>
      </c>
      <c r="Y533" s="1223">
        <f>IFERROR(SUM(Y531:Y531),"0")</f>
        <v/>
      </c>
      <c r="Z533" s="37" t="n"/>
      <c r="AA533" s="1224" t="n"/>
      <c r="AB533" s="1224" t="n"/>
      <c r="AC533" s="1224" t="n"/>
    </row>
    <row r="534" ht="14.25" customHeight="1">
      <c r="A534" s="797" t="inlineStr">
        <is>
          <t>Деликатесы с/к</t>
        </is>
      </c>
      <c r="B534" s="790" t="n"/>
      <c r="C534" s="790" t="n"/>
      <c r="D534" s="790" t="n"/>
      <c r="E534" s="790" t="n"/>
      <c r="F534" s="790" t="n"/>
      <c r="G534" s="790" t="n"/>
      <c r="H534" s="790" t="n"/>
      <c r="I534" s="790" t="n"/>
      <c r="J534" s="790" t="n"/>
      <c r="K534" s="790" t="n"/>
      <c r="L534" s="790" t="n"/>
      <c r="M534" s="790" t="n"/>
      <c r="N534" s="790" t="n"/>
      <c r="O534" s="790" t="n"/>
      <c r="P534" s="790" t="n"/>
      <c r="Q534" s="790" t="n"/>
      <c r="R534" s="790" t="n"/>
      <c r="S534" s="790" t="n"/>
      <c r="T534" s="790" t="n"/>
      <c r="U534" s="790" t="n"/>
      <c r="V534" s="790" t="n"/>
      <c r="W534" s="790" t="n"/>
      <c r="X534" s="790" t="n"/>
      <c r="Y534" s="790" t="n"/>
      <c r="Z534" s="790" t="n"/>
      <c r="AA534" s="797" t="n"/>
      <c r="AB534" s="797" t="n"/>
      <c r="AC534" s="797" t="n"/>
    </row>
    <row r="535" ht="27" customHeight="1">
      <c r="A535" s="54" t="inlineStr">
        <is>
          <t>SU003314</t>
        </is>
      </c>
      <c r="B535" s="54" t="inlineStr">
        <is>
          <t>P004035</t>
        </is>
      </c>
      <c r="C535" s="31" t="n">
        <v>4301040357</v>
      </c>
      <c r="D535" s="779" t="n">
        <v>4680115884564</v>
      </c>
      <c r="E535" s="780" t="n"/>
      <c r="F535" s="1220" t="n">
        <v>0.15</v>
      </c>
      <c r="G535" s="32" t="n">
        <v>20</v>
      </c>
      <c r="H535" s="1220" t="n">
        <v>3</v>
      </c>
      <c r="I535" s="1220" t="n">
        <v>3.6</v>
      </c>
      <c r="J535" s="32" t="n">
        <v>200</v>
      </c>
      <c r="K535" s="32" t="inlineStr">
        <is>
          <t>10</t>
        </is>
      </c>
      <c r="L535" s="32" t="n"/>
      <c r="M535" s="33" t="inlineStr">
        <is>
          <t>ДК</t>
        </is>
      </c>
      <c r="N535" s="33" t="n"/>
      <c r="O535" s="32" t="n">
        <v>60</v>
      </c>
      <c r="P535" s="104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782" t="n"/>
      <c r="R535" s="782" t="n"/>
      <c r="S535" s="782" t="n"/>
      <c r="T535" s="783" t="n"/>
      <c r="U535" s="34" t="n"/>
      <c r="V535" s="34" t="n"/>
      <c r="W535" s="35" t="inlineStr">
        <is>
          <t>кг</t>
        </is>
      </c>
      <c r="X535" s="1221" t="n">
        <v>0</v>
      </c>
      <c r="Y535" s="1222">
        <f>IFERROR(IF(X535="",0,CEILING((X535/$H535),1)*$H535),"")</f>
        <v/>
      </c>
      <c r="Z535" s="36">
        <f>IFERROR(IF(Y535=0,"",ROUNDUP(Y535/H535,0)*0.00627),"")</f>
        <v/>
      </c>
      <c r="AA535" s="56" t="n"/>
      <c r="AB535" s="57" t="n"/>
      <c r="AC535" s="627" t="inlineStr">
        <is>
          <t>ЕАЭС N RU Д-RU.РА10.В.74298/23</t>
        </is>
      </c>
      <c r="AG535" s="64" t="n"/>
      <c r="AJ535" s="68" t="n"/>
      <c r="AK535" s="68" t="n">
        <v>0</v>
      </c>
      <c r="BB535" s="628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89" t="n"/>
      <c r="B536" s="790" t="n"/>
      <c r="C536" s="790" t="n"/>
      <c r="D536" s="790" t="n"/>
      <c r="E536" s="790" t="n"/>
      <c r="F536" s="790" t="n"/>
      <c r="G536" s="790" t="n"/>
      <c r="H536" s="790" t="n"/>
      <c r="I536" s="790" t="n"/>
      <c r="J536" s="790" t="n"/>
      <c r="K536" s="790" t="n"/>
      <c r="L536" s="790" t="n"/>
      <c r="M536" s="790" t="n"/>
      <c r="N536" s="790" t="n"/>
      <c r="O536" s="791" t="n"/>
      <c r="P536" s="794" t="inlineStr">
        <is>
          <t>Итого</t>
        </is>
      </c>
      <c r="Q536" s="795" t="n"/>
      <c r="R536" s="795" t="n"/>
      <c r="S536" s="795" t="n"/>
      <c r="T536" s="795" t="n"/>
      <c r="U536" s="795" t="n"/>
      <c r="V536" s="796" t="n"/>
      <c r="W536" s="37" t="inlineStr">
        <is>
          <t>кор</t>
        </is>
      </c>
      <c r="X536" s="1223">
        <f>IFERROR(X535/H535,"0")</f>
        <v/>
      </c>
      <c r="Y536" s="1223">
        <f>IFERROR(Y535/H535,"0")</f>
        <v/>
      </c>
      <c r="Z536" s="1223">
        <f>IFERROR(IF(Z535="",0,Z535),"0")</f>
        <v/>
      </c>
      <c r="AA536" s="1224" t="n"/>
      <c r="AB536" s="1224" t="n"/>
      <c r="AC536" s="1224" t="n"/>
    </row>
    <row r="537">
      <c r="A537" s="790" t="n"/>
      <c r="B537" s="790" t="n"/>
      <c r="C537" s="790" t="n"/>
      <c r="D537" s="790" t="n"/>
      <c r="E537" s="790" t="n"/>
      <c r="F537" s="790" t="n"/>
      <c r="G537" s="790" t="n"/>
      <c r="H537" s="790" t="n"/>
      <c r="I537" s="790" t="n"/>
      <c r="J537" s="790" t="n"/>
      <c r="K537" s="790" t="n"/>
      <c r="L537" s="790" t="n"/>
      <c r="M537" s="790" t="n"/>
      <c r="N537" s="790" t="n"/>
      <c r="O537" s="791" t="n"/>
      <c r="P537" s="794" t="inlineStr">
        <is>
          <t>Итого</t>
        </is>
      </c>
      <c r="Q537" s="795" t="n"/>
      <c r="R537" s="795" t="n"/>
      <c r="S537" s="795" t="n"/>
      <c r="T537" s="795" t="n"/>
      <c r="U537" s="795" t="n"/>
      <c r="V537" s="796" t="n"/>
      <c r="W537" s="37" t="inlineStr">
        <is>
          <t>кг</t>
        </is>
      </c>
      <c r="X537" s="1223">
        <f>IFERROR(SUM(X535:X535),"0")</f>
        <v/>
      </c>
      <c r="Y537" s="1223">
        <f>IFERROR(SUM(Y535:Y535),"0")</f>
        <v/>
      </c>
      <c r="Z537" s="37" t="n"/>
      <c r="AA537" s="1224" t="n"/>
      <c r="AB537" s="1224" t="n"/>
      <c r="AC537" s="1224" t="n"/>
    </row>
    <row r="538" ht="16.5" customHeight="1">
      <c r="A538" s="828" t="inlineStr">
        <is>
          <t>Краковюрст</t>
        </is>
      </c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0" t="n"/>
      <c r="P538" s="790" t="n"/>
      <c r="Q538" s="790" t="n"/>
      <c r="R538" s="790" t="n"/>
      <c r="S538" s="790" t="n"/>
      <c r="T538" s="790" t="n"/>
      <c r="U538" s="790" t="n"/>
      <c r="V538" s="790" t="n"/>
      <c r="W538" s="790" t="n"/>
      <c r="X538" s="790" t="n"/>
      <c r="Y538" s="790" t="n"/>
      <c r="Z538" s="790" t="n"/>
      <c r="AA538" s="828" t="n"/>
      <c r="AB538" s="828" t="n"/>
      <c r="AC538" s="828" t="n"/>
    </row>
    <row r="539" ht="14.25" customHeight="1">
      <c r="A539" s="797" t="inlineStr">
        <is>
          <t>Копченые колбасы</t>
        </is>
      </c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0" t="n"/>
      <c r="P539" s="790" t="n"/>
      <c r="Q539" s="790" t="n"/>
      <c r="R539" s="790" t="n"/>
      <c r="S539" s="790" t="n"/>
      <c r="T539" s="790" t="n"/>
      <c r="U539" s="790" t="n"/>
      <c r="V539" s="790" t="n"/>
      <c r="W539" s="790" t="n"/>
      <c r="X539" s="790" t="n"/>
      <c r="Y539" s="790" t="n"/>
      <c r="Z539" s="790" t="n"/>
      <c r="AA539" s="797" t="n"/>
      <c r="AB539" s="797" t="n"/>
      <c r="AC539" s="797" t="n"/>
    </row>
    <row r="540" ht="27" customHeight="1">
      <c r="A540" s="54" t="inlineStr">
        <is>
          <t>SU003345</t>
        </is>
      </c>
      <c r="B540" s="54" t="inlineStr">
        <is>
          <t>P004143</t>
        </is>
      </c>
      <c r="C540" s="31" t="n">
        <v>4301031294</v>
      </c>
      <c r="D540" s="779" t="n">
        <v>4680115885189</v>
      </c>
      <c r="E540" s="780" t="n"/>
      <c r="F540" s="1220" t="n">
        <v>0.2</v>
      </c>
      <c r="G540" s="32" t="n">
        <v>6</v>
      </c>
      <c r="H540" s="1220" t="n">
        <v>1.2</v>
      </c>
      <c r="I540" s="1220" t="n">
        <v>1.372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40</v>
      </c>
      <c r="P540" s="102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782" t="n"/>
      <c r="R540" s="782" t="n"/>
      <c r="S540" s="782" t="n"/>
      <c r="T540" s="783" t="n"/>
      <c r="U540" s="34" t="n"/>
      <c r="V540" s="34" t="n"/>
      <c r="W540" s="35" t="inlineStr">
        <is>
          <t>кг</t>
        </is>
      </c>
      <c r="X540" s="1221" t="n">
        <v>0</v>
      </c>
      <c r="Y540" s="1222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Д-RU.РА06.В.80913/22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 ht="27" customHeight="1">
      <c r="A541" s="54" t="inlineStr">
        <is>
          <t>SU003344</t>
        </is>
      </c>
      <c r="B541" s="54" t="inlineStr">
        <is>
          <t>P004142</t>
        </is>
      </c>
      <c r="C541" s="31" t="n">
        <v>4301031293</v>
      </c>
      <c r="D541" s="779" t="n">
        <v>4680115885172</v>
      </c>
      <c r="E541" s="780" t="n"/>
      <c r="F541" s="1220" t="n">
        <v>0.2</v>
      </c>
      <c r="G541" s="32" t="n">
        <v>6</v>
      </c>
      <c r="H541" s="1220" t="n">
        <v>1.2</v>
      </c>
      <c r="I541" s="1220" t="n">
        <v>1.3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6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1" t="n">
        <v>0</v>
      </c>
      <c r="Y541" s="1222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SU003342</t>
        </is>
      </c>
      <c r="B542" s="54" t="inlineStr">
        <is>
          <t>P004140</t>
        </is>
      </c>
      <c r="C542" s="31" t="n">
        <v>4301031291</v>
      </c>
      <c r="D542" s="779" t="n">
        <v>4680115885110</v>
      </c>
      <c r="E542" s="780" t="n"/>
      <c r="F542" s="1220" t="n">
        <v>0.2</v>
      </c>
      <c r="G542" s="32" t="n">
        <v>6</v>
      </c>
      <c r="H542" s="1220" t="n">
        <v>1.2</v>
      </c>
      <c r="I542" s="1220" t="n">
        <v>2.02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35</v>
      </c>
      <c r="P542" s="87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1" t="n">
        <v>0</v>
      </c>
      <c r="Y542" s="1222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Д-RU.РА03.В.17780/24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SU003505</t>
        </is>
      </c>
      <c r="B543" s="54" t="inlineStr">
        <is>
          <t>P004342</t>
        </is>
      </c>
      <c r="C543" s="31" t="n">
        <v>4301031329</v>
      </c>
      <c r="D543" s="779" t="n">
        <v>4680115885219</v>
      </c>
      <c r="E543" s="780" t="n"/>
      <c r="F543" s="1220" t="n">
        <v>0.28</v>
      </c>
      <c r="G543" s="32" t="n">
        <v>6</v>
      </c>
      <c r="H543" s="1220" t="n">
        <v>1.68</v>
      </c>
      <c r="I543" s="1220" t="n">
        <v>2.5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99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1" t="n">
        <v>0</v>
      </c>
      <c r="Y543" s="1222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Д-RU.РА07.В.99597/24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>
      <c r="A544" s="789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4" t="inlineStr">
        <is>
          <t>Итого</t>
        </is>
      </c>
      <c r="Q544" s="795" t="n"/>
      <c r="R544" s="795" t="n"/>
      <c r="S544" s="795" t="n"/>
      <c r="T544" s="795" t="n"/>
      <c r="U544" s="795" t="n"/>
      <c r="V544" s="796" t="n"/>
      <c r="W544" s="37" t="inlineStr">
        <is>
          <t>кор</t>
        </is>
      </c>
      <c r="X544" s="1223">
        <f>IFERROR(X540/H540,"0")+IFERROR(X541/H541,"0")+IFERROR(X542/H542,"0")+IFERROR(X543/H543,"0")</f>
        <v/>
      </c>
      <c r="Y544" s="1223">
        <f>IFERROR(Y540/H540,"0")+IFERROR(Y541/H541,"0")+IFERROR(Y542/H542,"0")+IFERROR(Y543/H543,"0")</f>
        <v/>
      </c>
      <c r="Z544" s="1223">
        <f>IFERROR(IF(Z540="",0,Z540),"0")+IFERROR(IF(Z541="",0,Z541),"0")+IFERROR(IF(Z542="",0,Z542),"0")+IFERROR(IF(Z543="",0,Z543),"0")</f>
        <v/>
      </c>
      <c r="AA544" s="1224" t="n"/>
      <c r="AB544" s="1224" t="n"/>
      <c r="AC544" s="1224" t="n"/>
    </row>
    <row r="545">
      <c r="A545" s="790" t="n"/>
      <c r="B545" s="790" t="n"/>
      <c r="C545" s="790" t="n"/>
      <c r="D545" s="790" t="n"/>
      <c r="E545" s="790" t="n"/>
      <c r="F545" s="790" t="n"/>
      <c r="G545" s="790" t="n"/>
      <c r="H545" s="790" t="n"/>
      <c r="I545" s="790" t="n"/>
      <c r="J545" s="790" t="n"/>
      <c r="K545" s="790" t="n"/>
      <c r="L545" s="790" t="n"/>
      <c r="M545" s="790" t="n"/>
      <c r="N545" s="790" t="n"/>
      <c r="O545" s="791" t="n"/>
      <c r="P545" s="794" t="inlineStr">
        <is>
          <t>Итого</t>
        </is>
      </c>
      <c r="Q545" s="795" t="n"/>
      <c r="R545" s="795" t="n"/>
      <c r="S545" s="795" t="n"/>
      <c r="T545" s="795" t="n"/>
      <c r="U545" s="795" t="n"/>
      <c r="V545" s="796" t="n"/>
      <c r="W545" s="37" t="inlineStr">
        <is>
          <t>кг</t>
        </is>
      </c>
      <c r="X545" s="1223">
        <f>IFERROR(SUM(X540:X543),"0")</f>
        <v/>
      </c>
      <c r="Y545" s="1223">
        <f>IFERROR(SUM(Y540:Y543),"0")</f>
        <v/>
      </c>
      <c r="Z545" s="37" t="n"/>
      <c r="AA545" s="1224" t="n"/>
      <c r="AB545" s="1224" t="n"/>
      <c r="AC545" s="1224" t="n"/>
    </row>
    <row r="546" ht="16.5" customHeight="1">
      <c r="A546" s="828" t="inlineStr">
        <is>
          <t>Бюргерсы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8" t="n"/>
      <c r="AB546" s="828" t="n"/>
      <c r="AC546" s="828" t="n"/>
    </row>
    <row r="547" ht="14.25" customHeight="1">
      <c r="A547" s="797" t="inlineStr">
        <is>
          <t>Копченые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7" t="n"/>
      <c r="AB547" s="797" t="n"/>
      <c r="AC547" s="797" t="n"/>
    </row>
    <row r="548" ht="27" customHeight="1">
      <c r="A548" s="54" t="inlineStr">
        <is>
          <t>SU003132</t>
        </is>
      </c>
      <c r="B548" s="54" t="inlineStr">
        <is>
          <t>P003718</t>
        </is>
      </c>
      <c r="C548" s="31" t="n">
        <v>4301031261</v>
      </c>
      <c r="D548" s="779" t="n">
        <v>4680115885103</v>
      </c>
      <c r="E548" s="780" t="n"/>
      <c r="F548" s="1220" t="n">
        <v>0.27</v>
      </c>
      <c r="G548" s="32" t="n">
        <v>6</v>
      </c>
      <c r="H548" s="1220" t="n">
        <v>1.62</v>
      </c>
      <c r="I548" s="1220" t="n">
        <v>1.8</v>
      </c>
      <c r="J548" s="32" t="n">
        <v>182</v>
      </c>
      <c r="K548" s="32" t="inlineStr">
        <is>
          <t>14</t>
        </is>
      </c>
      <c r="L548" s="32" t="n"/>
      <c r="M548" s="33" t="inlineStr">
        <is>
          <t>СК2</t>
        </is>
      </c>
      <c r="N548" s="33" t="n"/>
      <c r="O548" s="32" t="n">
        <v>40</v>
      </c>
      <c r="P548" s="90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782" t="n"/>
      <c r="R548" s="782" t="n"/>
      <c r="S548" s="782" t="n"/>
      <c r="T548" s="783" t="n"/>
      <c r="U548" s="34" t="n"/>
      <c r="V548" s="34" t="n"/>
      <c r="W548" s="35" t="inlineStr">
        <is>
          <t>кг</t>
        </is>
      </c>
      <c r="X548" s="1221" t="n">
        <v>0</v>
      </c>
      <c r="Y548" s="1222">
        <f>IFERROR(IF(X548="",0,CEILING((X548/$H548),1)*$H548),"")</f>
        <v/>
      </c>
      <c r="Z548" s="36">
        <f>IFERROR(IF(Y548=0,"",ROUNDUP(Y548/H548,0)*0.00651),"")</f>
        <v/>
      </c>
      <c r="AA548" s="56" t="n"/>
      <c r="AB548" s="57" t="n"/>
      <c r="AC548" s="637" t="inlineStr">
        <is>
          <t>ЕАЭС N RU Д-RU.РА02.В.61667/24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>
      <c r="A549" s="789" t="n"/>
      <c r="B549" s="790" t="n"/>
      <c r="C549" s="790" t="n"/>
      <c r="D549" s="790" t="n"/>
      <c r="E549" s="790" t="n"/>
      <c r="F549" s="790" t="n"/>
      <c r="G549" s="790" t="n"/>
      <c r="H549" s="790" t="n"/>
      <c r="I549" s="790" t="n"/>
      <c r="J549" s="790" t="n"/>
      <c r="K549" s="790" t="n"/>
      <c r="L549" s="790" t="n"/>
      <c r="M549" s="790" t="n"/>
      <c r="N549" s="790" t="n"/>
      <c r="O549" s="791" t="n"/>
      <c r="P549" s="794" t="inlineStr">
        <is>
          <t>Итого</t>
        </is>
      </c>
      <c r="Q549" s="795" t="n"/>
      <c r="R549" s="795" t="n"/>
      <c r="S549" s="795" t="n"/>
      <c r="T549" s="795" t="n"/>
      <c r="U549" s="795" t="n"/>
      <c r="V549" s="796" t="n"/>
      <c r="W549" s="37" t="inlineStr">
        <is>
          <t>кор</t>
        </is>
      </c>
      <c r="X549" s="1223">
        <f>IFERROR(X548/H548,"0")</f>
        <v/>
      </c>
      <c r="Y549" s="1223">
        <f>IFERROR(Y548/H548,"0")</f>
        <v/>
      </c>
      <c r="Z549" s="1223">
        <f>IFERROR(IF(Z548="",0,Z548),"0")</f>
        <v/>
      </c>
      <c r="AA549" s="1224" t="n"/>
      <c r="AB549" s="1224" t="n"/>
      <c r="AC549" s="1224" t="n"/>
    </row>
    <row r="550">
      <c r="A550" s="790" t="n"/>
      <c r="B550" s="790" t="n"/>
      <c r="C550" s="790" t="n"/>
      <c r="D550" s="790" t="n"/>
      <c r="E550" s="790" t="n"/>
      <c r="F550" s="790" t="n"/>
      <c r="G550" s="790" t="n"/>
      <c r="H550" s="790" t="n"/>
      <c r="I550" s="790" t="n"/>
      <c r="J550" s="790" t="n"/>
      <c r="K550" s="790" t="n"/>
      <c r="L550" s="790" t="n"/>
      <c r="M550" s="790" t="n"/>
      <c r="N550" s="790" t="n"/>
      <c r="O550" s="791" t="n"/>
      <c r="P550" s="794" t="inlineStr">
        <is>
          <t>Итого</t>
        </is>
      </c>
      <c r="Q550" s="795" t="n"/>
      <c r="R550" s="795" t="n"/>
      <c r="S550" s="795" t="n"/>
      <c r="T550" s="795" t="n"/>
      <c r="U550" s="795" t="n"/>
      <c r="V550" s="796" t="n"/>
      <c r="W550" s="37" t="inlineStr">
        <is>
          <t>кг</t>
        </is>
      </c>
      <c r="X550" s="1223">
        <f>IFERROR(SUM(X548:X548),"0")</f>
        <v/>
      </c>
      <c r="Y550" s="1223">
        <f>IFERROR(SUM(Y548:Y548),"0")</f>
        <v/>
      </c>
      <c r="Z550" s="37" t="n"/>
      <c r="AA550" s="1224" t="n"/>
      <c r="AB550" s="1224" t="n"/>
      <c r="AC550" s="1224" t="n"/>
    </row>
    <row r="551" ht="27.75" customHeight="1">
      <c r="A551" s="873" t="inlineStr">
        <is>
          <t>Дугушка</t>
        </is>
      </c>
      <c r="B551" s="874" t="n"/>
      <c r="C551" s="874" t="n"/>
      <c r="D551" s="874" t="n"/>
      <c r="E551" s="874" t="n"/>
      <c r="F551" s="874" t="n"/>
      <c r="G551" s="874" t="n"/>
      <c r="H551" s="874" t="n"/>
      <c r="I551" s="874" t="n"/>
      <c r="J551" s="874" t="n"/>
      <c r="K551" s="874" t="n"/>
      <c r="L551" s="874" t="n"/>
      <c r="M551" s="874" t="n"/>
      <c r="N551" s="874" t="n"/>
      <c r="O551" s="874" t="n"/>
      <c r="P551" s="874" t="n"/>
      <c r="Q551" s="874" t="n"/>
      <c r="R551" s="874" t="n"/>
      <c r="S551" s="874" t="n"/>
      <c r="T551" s="874" t="n"/>
      <c r="U551" s="874" t="n"/>
      <c r="V551" s="874" t="n"/>
      <c r="W551" s="874" t="n"/>
      <c r="X551" s="874" t="n"/>
      <c r="Y551" s="874" t="n"/>
      <c r="Z551" s="874" t="n"/>
      <c r="AA551" s="48" t="n"/>
      <c r="AB551" s="48" t="n"/>
      <c r="AC551" s="48" t="n"/>
    </row>
    <row r="552" ht="16.5" customHeight="1">
      <c r="A552" s="828" t="inlineStr">
        <is>
          <t>Дугушка</t>
        </is>
      </c>
      <c r="B552" s="790" t="n"/>
      <c r="C552" s="790" t="n"/>
      <c r="D552" s="790" t="n"/>
      <c r="E552" s="790" t="n"/>
      <c r="F552" s="790" t="n"/>
      <c r="G552" s="790" t="n"/>
      <c r="H552" s="790" t="n"/>
      <c r="I552" s="790" t="n"/>
      <c r="J552" s="790" t="n"/>
      <c r="K552" s="790" t="n"/>
      <c r="L552" s="790" t="n"/>
      <c r="M552" s="790" t="n"/>
      <c r="N552" s="790" t="n"/>
      <c r="O552" s="790" t="n"/>
      <c r="P552" s="790" t="n"/>
      <c r="Q552" s="790" t="n"/>
      <c r="R552" s="790" t="n"/>
      <c r="S552" s="790" t="n"/>
      <c r="T552" s="790" t="n"/>
      <c r="U552" s="790" t="n"/>
      <c r="V552" s="790" t="n"/>
      <c r="W552" s="790" t="n"/>
      <c r="X552" s="790" t="n"/>
      <c r="Y552" s="790" t="n"/>
      <c r="Z552" s="790" t="n"/>
      <c r="AA552" s="828" t="n"/>
      <c r="AB552" s="828" t="n"/>
      <c r="AC552" s="828" t="n"/>
    </row>
    <row r="553" ht="14.25" customHeight="1">
      <c r="A553" s="797" t="inlineStr">
        <is>
          <t>Вареные колбасы</t>
        </is>
      </c>
      <c r="B553" s="790" t="n"/>
      <c r="C553" s="790" t="n"/>
      <c r="D553" s="790" t="n"/>
      <c r="E553" s="790" t="n"/>
      <c r="F553" s="790" t="n"/>
      <c r="G553" s="790" t="n"/>
      <c r="H553" s="790" t="n"/>
      <c r="I553" s="790" t="n"/>
      <c r="J553" s="790" t="n"/>
      <c r="K553" s="790" t="n"/>
      <c r="L553" s="790" t="n"/>
      <c r="M553" s="790" t="n"/>
      <c r="N553" s="790" t="n"/>
      <c r="O553" s="790" t="n"/>
      <c r="P553" s="790" t="n"/>
      <c r="Q553" s="790" t="n"/>
      <c r="R553" s="790" t="n"/>
      <c r="S553" s="790" t="n"/>
      <c r="T553" s="790" t="n"/>
      <c r="U553" s="790" t="n"/>
      <c r="V553" s="790" t="n"/>
      <c r="W553" s="790" t="n"/>
      <c r="X553" s="790" t="n"/>
      <c r="Y553" s="790" t="n"/>
      <c r="Z553" s="790" t="n"/>
      <c r="AA553" s="797" t="n"/>
      <c r="AB553" s="797" t="n"/>
      <c r="AC553" s="797" t="n"/>
    </row>
    <row r="554" ht="27" customHeight="1">
      <c r="A554" s="54" t="inlineStr">
        <is>
          <t>SU003786</t>
        </is>
      </c>
      <c r="B554" s="54" t="inlineStr">
        <is>
          <t>P004752</t>
        </is>
      </c>
      <c r="C554" s="31" t="n">
        <v>4301012050</v>
      </c>
      <c r="D554" s="779" t="n">
        <v>4680115885479</v>
      </c>
      <c r="E554" s="780" t="n"/>
      <c r="F554" s="1220" t="n">
        <v>0.4</v>
      </c>
      <c r="G554" s="32" t="n">
        <v>6</v>
      </c>
      <c r="H554" s="1220" t="n">
        <v>2.4</v>
      </c>
      <c r="I554" s="1220" t="n">
        <v>2.58</v>
      </c>
      <c r="J554" s="32" t="n">
        <v>182</v>
      </c>
      <c r="K554" s="32" t="inlineStr">
        <is>
          <t>14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 t="inlineStr">
        <is>
          <t>Вареные колбасы «Молочная Дугушка» Фикс.вес 0,4 полиамид ТМ «Дугушка»</t>
        </is>
      </c>
      <c r="Q554" s="782" t="n"/>
      <c r="R554" s="782" t="n"/>
      <c r="S554" s="782" t="n"/>
      <c r="T554" s="783" t="n"/>
      <c r="U554" s="34" t="n"/>
      <c r="V554" s="34" t="n"/>
      <c r="W554" s="35" t="inlineStr">
        <is>
          <t>кг</t>
        </is>
      </c>
      <c r="X554" s="1221" t="n">
        <v>0</v>
      </c>
      <c r="Y554" s="1222">
        <f>IFERROR(IF(X554="",0,CEILING((X554/$H554),1)*$H554),"")</f>
        <v/>
      </c>
      <c r="Z554" s="36">
        <f>IFERROR(IF(Y554=0,"",ROUNDUP(Y554/H554,0)*0.00651),"")</f>
        <v/>
      </c>
      <c r="AA554" s="56" t="n"/>
      <c r="AB554" s="57" t="inlineStr">
        <is>
          <t>Новинка</t>
        </is>
      </c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SU002011</t>
        </is>
      </c>
      <c r="B555" s="54" t="inlineStr">
        <is>
          <t>P004028</t>
        </is>
      </c>
      <c r="C555" s="31" t="n">
        <v>4301011795</v>
      </c>
      <c r="D555" s="779" t="n">
        <v>4607091389067</v>
      </c>
      <c r="E555" s="780" t="n"/>
      <c r="F555" s="1220" t="n">
        <v>0.88</v>
      </c>
      <c r="G555" s="32" t="n">
        <v>6</v>
      </c>
      <c r="H555" s="1220" t="n">
        <v>5.28</v>
      </c>
      <c r="I555" s="1220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1" t="n">
        <v>0</v>
      </c>
      <c r="Y555" s="1222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Д-RU.РА02.В.62622/22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SU002182</t>
        </is>
      </c>
      <c r="B556" s="54" t="inlineStr">
        <is>
          <t>P004406</t>
        </is>
      </c>
      <c r="C556" s="31" t="n">
        <v>4301011961</v>
      </c>
      <c r="D556" s="779" t="n">
        <v>4680115885271</v>
      </c>
      <c r="E556" s="780" t="n"/>
      <c r="F556" s="1220" t="n">
        <v>0.88</v>
      </c>
      <c r="G556" s="32" t="n">
        <v>6</v>
      </c>
      <c r="H556" s="1220" t="n">
        <v>5.28</v>
      </c>
      <c r="I556" s="1220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1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1" t="n">
        <v>0</v>
      </c>
      <c r="Y556" s="1222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Д-RU.РА02.В.51764/24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16.5" customHeight="1">
      <c r="A557" s="54" t="inlineStr">
        <is>
          <t>SU002998</t>
        </is>
      </c>
      <c r="B557" s="54" t="inlineStr">
        <is>
          <t>P004033</t>
        </is>
      </c>
      <c r="C557" s="31" t="n">
        <v>4301011774</v>
      </c>
      <c r="D557" s="779" t="n">
        <v>4680115884502</v>
      </c>
      <c r="E557" s="780" t="n"/>
      <c r="F557" s="1220" t="n">
        <v>0.88</v>
      </c>
      <c r="G557" s="32" t="n">
        <v>6</v>
      </c>
      <c r="H557" s="1220" t="n">
        <v>5.28</v>
      </c>
      <c r="I557" s="1220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1" t="n">
        <v>0</v>
      </c>
      <c r="Y557" s="1222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Д-RU.РА10.В.33801/23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SU002010</t>
        </is>
      </c>
      <c r="B558" s="54" t="inlineStr">
        <is>
          <t>P004030</t>
        </is>
      </c>
      <c r="C558" s="31" t="n">
        <v>4301011771</v>
      </c>
      <c r="D558" s="779" t="n">
        <v>4607091389104</v>
      </c>
      <c r="E558" s="780" t="n"/>
      <c r="F558" s="1220" t="n">
        <v>0.88</v>
      </c>
      <c r="G558" s="32" t="n">
        <v>6</v>
      </c>
      <c r="H558" s="1220" t="n">
        <v>5.28</v>
      </c>
      <c r="I558" s="1220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1" t="n">
        <v>450</v>
      </c>
      <c r="Y558" s="1222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Д-RU.РА07.В.78433/22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16.5" customHeight="1">
      <c r="A559" s="54" t="inlineStr">
        <is>
          <t>SU002999</t>
        </is>
      </c>
      <c r="B559" s="54" t="inlineStr">
        <is>
          <t>P004045</t>
        </is>
      </c>
      <c r="C559" s="31" t="n">
        <v>4301011799</v>
      </c>
      <c r="D559" s="779" t="n">
        <v>4680115884519</v>
      </c>
      <c r="E559" s="780" t="n"/>
      <c r="F559" s="1220" t="n">
        <v>0.88</v>
      </c>
      <c r="G559" s="32" t="n">
        <v>6</v>
      </c>
      <c r="H559" s="1220" t="n">
        <v>5.28</v>
      </c>
      <c r="I559" s="1220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60</v>
      </c>
      <c r="P559" s="103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1" t="n">
        <v>0</v>
      </c>
      <c r="Y559" s="1222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Д-RU.РА10.В.31672/23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SU002634</t>
        </is>
      </c>
      <c r="B560" s="54" t="inlineStr">
        <is>
          <t>P002989</t>
        </is>
      </c>
      <c r="C560" s="31" t="n">
        <v>4301011376</v>
      </c>
      <c r="D560" s="779" t="n">
        <v>4680115885226</v>
      </c>
      <c r="E560" s="780" t="n"/>
      <c r="F560" s="1220" t="n">
        <v>0.88</v>
      </c>
      <c r="G560" s="32" t="n">
        <v>6</v>
      </c>
      <c r="H560" s="1220" t="n">
        <v>5.28</v>
      </c>
      <c r="I560" s="1220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5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1" t="n">
        <v>0</v>
      </c>
      <c r="Y560" s="1222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1" t="inlineStr">
        <is>
          <t>ЕАЭС N RU Д-RU.РА03.В.56116/24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SU002632</t>
        </is>
      </c>
      <c r="B561" s="54" t="inlineStr">
        <is>
          <t>P004043</t>
        </is>
      </c>
      <c r="C561" s="31" t="n">
        <v>4301011778</v>
      </c>
      <c r="D561" s="779" t="n">
        <v>4680115880603</v>
      </c>
      <c r="E561" s="780" t="n"/>
      <c r="F561" s="1220" t="n">
        <v>0.6</v>
      </c>
      <c r="G561" s="32" t="n">
        <v>6</v>
      </c>
      <c r="H561" s="1220" t="n">
        <v>3.6</v>
      </c>
      <c r="I561" s="1220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1" t="n">
        <v>0</v>
      </c>
      <c r="Y561" s="1222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Д-RU.РА02.В.62622/22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SU002632</t>
        </is>
      </c>
      <c r="B562" s="54" t="inlineStr">
        <is>
          <t>P004689</t>
        </is>
      </c>
      <c r="C562" s="31" t="n">
        <v>4301012035</v>
      </c>
      <c r="D562" s="779" t="n">
        <v>4680115880603</v>
      </c>
      <c r="E562" s="780" t="n"/>
      <c r="F562" s="1220" t="n">
        <v>0.6</v>
      </c>
      <c r="G562" s="32" t="n">
        <v>8</v>
      </c>
      <c r="H562" s="1220" t="n">
        <v>4.8</v>
      </c>
      <c r="I562" s="1220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1" t="n">
        <v>0</v>
      </c>
      <c r="Y562" s="1222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SU002635</t>
        </is>
      </c>
      <c r="B563" s="54" t="inlineStr">
        <is>
          <t>P004690</t>
        </is>
      </c>
      <c r="C563" s="31" t="n">
        <v>4301012036</v>
      </c>
      <c r="D563" s="779" t="n">
        <v>4680115882782</v>
      </c>
      <c r="E563" s="780" t="n"/>
      <c r="F563" s="1220" t="n">
        <v>0.6</v>
      </c>
      <c r="G563" s="32" t="n">
        <v>8</v>
      </c>
      <c r="H563" s="1220" t="n">
        <v>4.8</v>
      </c>
      <c r="I563" s="1220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4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1" t="n">
        <v>0</v>
      </c>
      <c r="Y563" s="1222">
        <f>IFERROR(IF(X563="",0,CEILING((X563/$H563),1)*$H563),"")</f>
        <v/>
      </c>
      <c r="Z563" s="36">
        <f>IFERROR(IF(Y563=0,"",ROUNDUP(Y563/H563,0)*0.00937),"")</f>
        <v/>
      </c>
      <c r="AA563" s="56" t="n"/>
      <c r="AB563" s="57" t="n"/>
      <c r="AC563" s="657" t="inlineStr">
        <is>
          <t>ЕАЭС N RU Д-RU.РА02.В.51764/24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SU002631</t>
        </is>
      </c>
      <c r="B564" s="54" t="inlineStr">
        <is>
          <t>P004048</t>
        </is>
      </c>
      <c r="C564" s="31" t="n">
        <v>4301011784</v>
      </c>
      <c r="D564" s="779" t="n">
        <v>4607091389982</v>
      </c>
      <c r="E564" s="780" t="n"/>
      <c r="F564" s="1220" t="n">
        <v>0.6</v>
      </c>
      <c r="G564" s="32" t="n">
        <v>6</v>
      </c>
      <c r="H564" s="1220" t="n">
        <v>3.6</v>
      </c>
      <c r="I564" s="1220" t="n">
        <v>3.81</v>
      </c>
      <c r="J564" s="32" t="n">
        <v>132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1" t="n">
        <v>0</v>
      </c>
      <c r="Y564" s="1222">
        <f>IFERROR(IF(X564="",0,CEILING((X564/$H564),1)*$H564),"")</f>
        <v/>
      </c>
      <c r="Z564" s="36">
        <f>IFERROR(IF(Y564=0,"",ROUNDUP(Y564/H564,0)*0.00902),"")</f>
        <v/>
      </c>
      <c r="AA564" s="56" t="n"/>
      <c r="AB564" s="57" t="n"/>
      <c r="AC564" s="659" t="inlineStr">
        <is>
          <t>ЕАЭС N RU Д-RU.РА07.В.78433/22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SU002631</t>
        </is>
      </c>
      <c r="B565" s="54" t="inlineStr">
        <is>
          <t>P004688</t>
        </is>
      </c>
      <c r="C565" s="31" t="n">
        <v>4301012034</v>
      </c>
      <c r="D565" s="779" t="n">
        <v>4607091389982</v>
      </c>
      <c r="E565" s="780" t="n"/>
      <c r="F565" s="1220" t="n">
        <v>0.6</v>
      </c>
      <c r="G565" s="32" t="n">
        <v>8</v>
      </c>
      <c r="H565" s="1220" t="n">
        <v>4.8</v>
      </c>
      <c r="I565" s="1220" t="n">
        <v>6.96</v>
      </c>
      <c r="J565" s="32" t="n">
        <v>120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1" t="n">
        <v>0</v>
      </c>
      <c r="Y565" s="1222">
        <f>IFERROR(IF(X565="",0,CEILING((X565/$H565),1)*$H565),"")</f>
        <v/>
      </c>
      <c r="Z565" s="36">
        <f>IFERROR(IF(Y565=0,"",ROUNDUP(Y565/H565,0)*0.00937),"")</f>
        <v/>
      </c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789" t="n"/>
      <c r="B566" s="790" t="n"/>
      <c r="C566" s="790" t="n"/>
      <c r="D566" s="790" t="n"/>
      <c r="E566" s="790" t="n"/>
      <c r="F566" s="790" t="n"/>
      <c r="G566" s="790" t="n"/>
      <c r="H566" s="790" t="n"/>
      <c r="I566" s="790" t="n"/>
      <c r="J566" s="790" t="n"/>
      <c r="K566" s="790" t="n"/>
      <c r="L566" s="790" t="n"/>
      <c r="M566" s="790" t="n"/>
      <c r="N566" s="790" t="n"/>
      <c r="O566" s="791" t="n"/>
      <c r="P566" s="794" t="inlineStr">
        <is>
          <t>Итого</t>
        </is>
      </c>
      <c r="Q566" s="795" t="n"/>
      <c r="R566" s="795" t="n"/>
      <c r="S566" s="795" t="n"/>
      <c r="T566" s="795" t="n"/>
      <c r="U566" s="795" t="n"/>
      <c r="V566" s="796" t="n"/>
      <c r="W566" s="37" t="inlineStr">
        <is>
          <t>кор</t>
        </is>
      </c>
      <c r="X566" s="122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2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2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24" t="n"/>
      <c r="AB566" s="1224" t="n"/>
      <c r="AC566" s="1224" t="n"/>
    </row>
    <row r="567">
      <c r="A567" s="790" t="n"/>
      <c r="B567" s="790" t="n"/>
      <c r="C567" s="790" t="n"/>
      <c r="D567" s="790" t="n"/>
      <c r="E567" s="790" t="n"/>
      <c r="F567" s="790" t="n"/>
      <c r="G567" s="790" t="n"/>
      <c r="H567" s="790" t="n"/>
      <c r="I567" s="790" t="n"/>
      <c r="J567" s="790" t="n"/>
      <c r="K567" s="790" t="n"/>
      <c r="L567" s="790" t="n"/>
      <c r="M567" s="790" t="n"/>
      <c r="N567" s="790" t="n"/>
      <c r="O567" s="791" t="n"/>
      <c r="P567" s="794" t="inlineStr">
        <is>
          <t>Итого</t>
        </is>
      </c>
      <c r="Q567" s="795" t="n"/>
      <c r="R567" s="795" t="n"/>
      <c r="S567" s="795" t="n"/>
      <c r="T567" s="795" t="n"/>
      <c r="U567" s="795" t="n"/>
      <c r="V567" s="796" t="n"/>
      <c r="W567" s="37" t="inlineStr">
        <is>
          <t>кг</t>
        </is>
      </c>
      <c r="X567" s="1223">
        <f>IFERROR(SUM(X554:X565),"0")</f>
        <v/>
      </c>
      <c r="Y567" s="1223">
        <f>IFERROR(SUM(Y554:Y565),"0")</f>
        <v/>
      </c>
      <c r="Z567" s="37" t="n"/>
      <c r="AA567" s="1224" t="n"/>
      <c r="AB567" s="1224" t="n"/>
      <c r="AC567" s="1224" t="n"/>
    </row>
    <row r="568" ht="14.25" customHeight="1">
      <c r="A568" s="797" t="inlineStr">
        <is>
          <t>Ветчины</t>
        </is>
      </c>
      <c r="B568" s="790" t="n"/>
      <c r="C568" s="790" t="n"/>
      <c r="D568" s="790" t="n"/>
      <c r="E568" s="790" t="n"/>
      <c r="F568" s="790" t="n"/>
      <c r="G568" s="790" t="n"/>
      <c r="H568" s="790" t="n"/>
      <c r="I568" s="790" t="n"/>
      <c r="J568" s="790" t="n"/>
      <c r="K568" s="790" t="n"/>
      <c r="L568" s="790" t="n"/>
      <c r="M568" s="790" t="n"/>
      <c r="N568" s="790" t="n"/>
      <c r="O568" s="790" t="n"/>
      <c r="P568" s="790" t="n"/>
      <c r="Q568" s="790" t="n"/>
      <c r="R568" s="790" t="n"/>
      <c r="S568" s="790" t="n"/>
      <c r="T568" s="790" t="n"/>
      <c r="U568" s="790" t="n"/>
      <c r="V568" s="790" t="n"/>
      <c r="W568" s="790" t="n"/>
      <c r="X568" s="790" t="n"/>
      <c r="Y568" s="790" t="n"/>
      <c r="Z568" s="790" t="n"/>
      <c r="AA568" s="797" t="n"/>
      <c r="AB568" s="797" t="n"/>
      <c r="AC568" s="797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779" t="n">
        <v>4607091388930</v>
      </c>
      <c r="E569" s="780" t="n"/>
      <c r="F569" s="1220" t="n">
        <v>0.88</v>
      </c>
      <c r="G569" s="32" t="n">
        <v>6</v>
      </c>
      <c r="H569" s="1220" t="n">
        <v>5.28</v>
      </c>
      <c r="I569" s="1220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85">
        <f>HYPERLINK("https://abi.ru/products/Охлажденные/Дугушка/Дугушка/Ветчины/P003146/","Ветчины Дугушка Дугушка Вес б/о Дугушка")</f>
        <v/>
      </c>
      <c r="Q569" s="782" t="n"/>
      <c r="R569" s="782" t="n"/>
      <c r="S569" s="782" t="n"/>
      <c r="T569" s="783" t="n"/>
      <c r="U569" s="34" t="n"/>
      <c r="V569" s="34" t="n"/>
      <c r="W569" s="35" t="inlineStr">
        <is>
          <t>кг</t>
        </is>
      </c>
      <c r="X569" s="1221" t="n">
        <v>300</v>
      </c>
      <c r="Y569" s="1222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SU002643</t>
        </is>
      </c>
      <c r="B570" s="54" t="inlineStr">
        <is>
          <t>P004691</t>
        </is>
      </c>
      <c r="C570" s="31" t="n">
        <v>4301020364</v>
      </c>
      <c r="D570" s="779" t="n">
        <v>4680115880054</v>
      </c>
      <c r="E570" s="780" t="n"/>
      <c r="F570" s="1220" t="n">
        <v>0.6</v>
      </c>
      <c r="G570" s="32" t="n">
        <v>8</v>
      </c>
      <c r="H570" s="1220" t="n">
        <v>4.8</v>
      </c>
      <c r="I570" s="1220" t="n">
        <v>6.96</v>
      </c>
      <c r="J570" s="32" t="n">
        <v>120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1">
        <f>HYPERLINK("https://abi.ru/products/Охлажденные/Дугушка/Дугушка/Ветчины/P004691/","Ветчины «Дугушка» Фикс.вес 0,6 П/а ТМ «Дугушка»")</f>
        <v/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1" t="n">
        <v>0</v>
      </c>
      <c r="Y570" s="1222">
        <f>IFERROR(IF(X570="",0,CEILING((X570/$H570),1)*$H570),"")</f>
        <v/>
      </c>
      <c r="Z570" s="36">
        <f>IFERROR(IF(Y570=0,"",ROUNDUP(Y570/H570,0)*0.00937),"")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P002993</t>
        </is>
      </c>
      <c r="C571" s="31" t="n">
        <v>4301020206</v>
      </c>
      <c r="D571" s="779" t="n">
        <v>4680115880054</v>
      </c>
      <c r="E571" s="780" t="n"/>
      <c r="F571" s="1220" t="n">
        <v>0.6</v>
      </c>
      <c r="G571" s="32" t="n">
        <v>6</v>
      </c>
      <c r="H571" s="1220" t="n">
        <v>3.6</v>
      </c>
      <c r="I571" s="1220" t="n">
        <v>3.81</v>
      </c>
      <c r="J571" s="32" t="n">
        <v>132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5">
        <f>HYPERLINK("https://abi.ru/products/Охлажденные/Дугушка/Дугушка/Ветчины/P002993/","Ветчины «Дугушка» Фикс.вес 0,6 П/а ТМ «Дугушка»")</f>
        <v/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1" t="n">
        <v>0</v>
      </c>
      <c r="Y571" s="1222">
        <f>IFERROR(IF(X571="",0,CEILING((X571/$H571),1)*$H571),"")</f>
        <v/>
      </c>
      <c r="Z571" s="36">
        <f>IFERROR(IF(Y571=0,"",ROUNDUP(Y571/H571,0)*0.00902),"")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>
      <c r="A572" s="789" t="n"/>
      <c r="B572" s="790" t="n"/>
      <c r="C572" s="790" t="n"/>
      <c r="D572" s="790" t="n"/>
      <c r="E572" s="790" t="n"/>
      <c r="F572" s="790" t="n"/>
      <c r="G572" s="790" t="n"/>
      <c r="H572" s="790" t="n"/>
      <c r="I572" s="790" t="n"/>
      <c r="J572" s="790" t="n"/>
      <c r="K572" s="790" t="n"/>
      <c r="L572" s="790" t="n"/>
      <c r="M572" s="790" t="n"/>
      <c r="N572" s="790" t="n"/>
      <c r="O572" s="791" t="n"/>
      <c r="P572" s="794" t="inlineStr">
        <is>
          <t>Итого</t>
        </is>
      </c>
      <c r="Q572" s="795" t="n"/>
      <c r="R572" s="795" t="n"/>
      <c r="S572" s="795" t="n"/>
      <c r="T572" s="795" t="n"/>
      <c r="U572" s="795" t="n"/>
      <c r="V572" s="796" t="n"/>
      <c r="W572" s="37" t="inlineStr">
        <is>
          <t>кор</t>
        </is>
      </c>
      <c r="X572" s="1223">
        <f>IFERROR(X569/H569,"0")+IFERROR(X570/H570,"0")+IFERROR(X571/H571,"0")</f>
        <v/>
      </c>
      <c r="Y572" s="1223">
        <f>IFERROR(Y569/H569,"0")+IFERROR(Y570/H570,"0")+IFERROR(Y571/H571,"0")</f>
        <v/>
      </c>
      <c r="Z572" s="1223">
        <f>IFERROR(IF(Z569="",0,Z569),"0")+IFERROR(IF(Z570="",0,Z570),"0")+IFERROR(IF(Z571="",0,Z571),"0")</f>
        <v/>
      </c>
      <c r="AA572" s="1224" t="n"/>
      <c r="AB572" s="1224" t="n"/>
      <c r="AC572" s="1224" t="n"/>
    </row>
    <row r="573">
      <c r="A573" s="790" t="n"/>
      <c r="B573" s="790" t="n"/>
      <c r="C573" s="790" t="n"/>
      <c r="D573" s="790" t="n"/>
      <c r="E573" s="790" t="n"/>
      <c r="F573" s="790" t="n"/>
      <c r="G573" s="790" t="n"/>
      <c r="H573" s="790" t="n"/>
      <c r="I573" s="790" t="n"/>
      <c r="J573" s="790" t="n"/>
      <c r="K573" s="790" t="n"/>
      <c r="L573" s="790" t="n"/>
      <c r="M573" s="790" t="n"/>
      <c r="N573" s="790" t="n"/>
      <c r="O573" s="791" t="n"/>
      <c r="P573" s="794" t="inlineStr">
        <is>
          <t>Итого</t>
        </is>
      </c>
      <c r="Q573" s="795" t="n"/>
      <c r="R573" s="795" t="n"/>
      <c r="S573" s="795" t="n"/>
      <c r="T573" s="795" t="n"/>
      <c r="U573" s="795" t="n"/>
      <c r="V573" s="796" t="n"/>
      <c r="W573" s="37" t="inlineStr">
        <is>
          <t>кг</t>
        </is>
      </c>
      <c r="X573" s="1223">
        <f>IFERROR(SUM(X569:X571),"0")</f>
        <v/>
      </c>
      <c r="Y573" s="1223">
        <f>IFERROR(SUM(Y569:Y571),"0")</f>
        <v/>
      </c>
      <c r="Z573" s="37" t="n"/>
      <c r="AA573" s="1224" t="n"/>
      <c r="AB573" s="1224" t="n"/>
      <c r="AC573" s="1224" t="n"/>
    </row>
    <row r="574" ht="14.25" customHeight="1">
      <c r="A574" s="797" t="inlineStr">
        <is>
          <t>Копченые колбасы</t>
        </is>
      </c>
      <c r="B574" s="790" t="n"/>
      <c r="C574" s="790" t="n"/>
      <c r="D574" s="790" t="n"/>
      <c r="E574" s="790" t="n"/>
      <c r="F574" s="790" t="n"/>
      <c r="G574" s="790" t="n"/>
      <c r="H574" s="790" t="n"/>
      <c r="I574" s="790" t="n"/>
      <c r="J574" s="790" t="n"/>
      <c r="K574" s="790" t="n"/>
      <c r="L574" s="790" t="n"/>
      <c r="M574" s="790" t="n"/>
      <c r="N574" s="790" t="n"/>
      <c r="O574" s="790" t="n"/>
      <c r="P574" s="790" t="n"/>
      <c r="Q574" s="790" t="n"/>
      <c r="R574" s="790" t="n"/>
      <c r="S574" s="790" t="n"/>
      <c r="T574" s="790" t="n"/>
      <c r="U574" s="790" t="n"/>
      <c r="V574" s="790" t="n"/>
      <c r="W574" s="790" t="n"/>
      <c r="X574" s="790" t="n"/>
      <c r="Y574" s="790" t="n"/>
      <c r="Z574" s="790" t="n"/>
      <c r="AA574" s="797" t="n"/>
      <c r="AB574" s="797" t="n"/>
      <c r="AC574" s="797" t="n"/>
    </row>
    <row r="575" ht="27" customHeight="1">
      <c r="A575" s="54" t="inlineStr">
        <is>
          <t>SU002150</t>
        </is>
      </c>
      <c r="B575" s="54" t="inlineStr">
        <is>
          <t>P003636</t>
        </is>
      </c>
      <c r="C575" s="31" t="n">
        <v>4301031252</v>
      </c>
      <c r="D575" s="779" t="n">
        <v>4680115883116</v>
      </c>
      <c r="E575" s="780" t="n"/>
      <c r="F575" s="1220" t="n">
        <v>0.88</v>
      </c>
      <c r="G575" s="32" t="n">
        <v>6</v>
      </c>
      <c r="H575" s="1220" t="n">
        <v>5.28</v>
      </c>
      <c r="I575" s="1220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5" s="782" t="n"/>
      <c r="R575" s="782" t="n"/>
      <c r="S575" s="782" t="n"/>
      <c r="T575" s="783" t="n"/>
      <c r="U575" s="34" t="n"/>
      <c r="V575" s="34" t="n"/>
      <c r="W575" s="35" t="inlineStr">
        <is>
          <t>кг</t>
        </is>
      </c>
      <c r="X575" s="1221" t="n">
        <v>150</v>
      </c>
      <c r="Y575" s="1222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69" t="inlineStr">
        <is>
          <t>ЕАЭС N RU Д-RU.РА01.В.81855/20</t>
        </is>
      </c>
      <c r="AG575" s="64" t="n"/>
      <c r="AJ575" s="68" t="n"/>
      <c r="AK575" s="68" t="n">
        <v>0</v>
      </c>
      <c r="BB575" s="67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79" t="n">
        <v>4680115883093</v>
      </c>
      <c r="E576" s="780" t="n"/>
      <c r="F576" s="1220" t="n">
        <v>0.88</v>
      </c>
      <c r="G576" s="32" t="n">
        <v>6</v>
      </c>
      <c r="H576" s="1220" t="n">
        <v>5.28</v>
      </c>
      <c r="I576" s="1220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1" t="n">
        <v>0</v>
      </c>
      <c r="Y576" s="1222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№ RU Д-RU.РА01.В.04512/20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79" t="n">
        <v>4680115883109</v>
      </c>
      <c r="E577" s="780" t="n"/>
      <c r="F577" s="1220" t="n">
        <v>0.88</v>
      </c>
      <c r="G577" s="32" t="n">
        <v>6</v>
      </c>
      <c r="H577" s="1220" t="n">
        <v>5.28</v>
      </c>
      <c r="I577" s="1220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1" t="n">
        <v>200</v>
      </c>
      <c r="Y577" s="1222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Д-RU.РА01.В.81823/20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79" t="n">
        <v>4680115882072</v>
      </c>
      <c r="E578" s="780" t="n"/>
      <c r="F578" s="1220" t="n">
        <v>0.6</v>
      </c>
      <c r="G578" s="32" t="n">
        <v>6</v>
      </c>
      <c r="H578" s="1220" t="n">
        <v>3.6</v>
      </c>
      <c r="I578" s="1220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6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1" t="n">
        <v>0</v>
      </c>
      <c r="Y578" s="1222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75" t="inlineStr">
        <is>
          <t>ЕАЭС N RU Д-RU.РА05.В.41862/23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79" t="n">
        <v>4680115882072</v>
      </c>
      <c r="E579" s="780" t="n"/>
      <c r="F579" s="1220" t="n">
        <v>0.6</v>
      </c>
      <c r="G579" s="32" t="n">
        <v>8</v>
      </c>
      <c r="H579" s="1220" t="n">
        <v>4.8</v>
      </c>
      <c r="I579" s="1220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3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1" t="n">
        <v>0</v>
      </c>
      <c r="Y579" s="1222">
        <f>IFERROR(IF(X579="",0,CEILING((X579/$H579),1)*$H579),"")</f>
        <v/>
      </c>
      <c r="Z579" s="36">
        <f>IFERROR(IF(Y579=0,"",ROUNDUP(Y579/H579,0)*0.00937),"")</f>
        <v/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SU002919</t>
        </is>
      </c>
      <c r="B580" s="54" t="inlineStr">
        <is>
          <t>P003635</t>
        </is>
      </c>
      <c r="C580" s="31" t="n">
        <v>4301031251</v>
      </c>
      <c r="D580" s="779" t="n">
        <v>4680115882102</v>
      </c>
      <c r="E580" s="780" t="n"/>
      <c r="F580" s="1220" t="n">
        <v>0.6</v>
      </c>
      <c r="G580" s="32" t="n">
        <v>6</v>
      </c>
      <c r="H580" s="1220" t="n">
        <v>3.6</v>
      </c>
      <c r="I580" s="1220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1" t="n">
        <v>0</v>
      </c>
      <c r="Y580" s="1222">
        <f>IFERROR(IF(X580="",0,CEILING((X580/$H580),1)*$H580),"")</f>
        <v/>
      </c>
      <c r="Z580" s="36">
        <f>IFERROR(IF(Y580=0,"",ROUNDUP(Y580/H580,0)*0.00902),"")</f>
        <v/>
      </c>
      <c r="AA580" s="56" t="n"/>
      <c r="AB580" s="57" t="n"/>
      <c r="AC580" s="679" t="inlineStr">
        <is>
          <t>ЕАЭС № RU Д-RU.РА01.В.04512/20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79" t="n">
        <v>4680115882102</v>
      </c>
      <c r="E581" s="780" t="n"/>
      <c r="F581" s="1220" t="n">
        <v>0.6</v>
      </c>
      <c r="G581" s="32" t="n">
        <v>8</v>
      </c>
      <c r="H581" s="1220" t="n">
        <v>4.8</v>
      </c>
      <c r="I581" s="1220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1" t="n">
        <v>0</v>
      </c>
      <c r="Y581" s="1222">
        <f>IFERROR(IF(X581="",0,CEILING((X581/$H581),1)*$H581),"")</f>
        <v/>
      </c>
      <c r="Z581" s="36">
        <f>IFERROR(IF(Y581=0,"",ROUNDUP(Y581/H581,0)*0.00937),"")</f>
        <v/>
      </c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SU002918</t>
        </is>
      </c>
      <c r="B582" s="54" t="inlineStr">
        <is>
          <t>P003637</t>
        </is>
      </c>
      <c r="C582" s="31" t="n">
        <v>4301031253</v>
      </c>
      <c r="D582" s="779" t="n">
        <v>4680115882096</v>
      </c>
      <c r="E582" s="780" t="n"/>
      <c r="F582" s="1220" t="n">
        <v>0.6</v>
      </c>
      <c r="G582" s="32" t="n">
        <v>6</v>
      </c>
      <c r="H582" s="1220" t="n">
        <v>3.6</v>
      </c>
      <c r="I582" s="1220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0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1" t="n">
        <v>0</v>
      </c>
      <c r="Y582" s="1222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3" t="inlineStr">
        <is>
          <t>ЕАЭС N RU Д-RU.РА01.В.81823/20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79" t="n">
        <v>4680115882096</v>
      </c>
      <c r="E583" s="780" t="n"/>
      <c r="F583" s="1220" t="n">
        <v>0.6</v>
      </c>
      <c r="G583" s="32" t="n">
        <v>8</v>
      </c>
      <c r="H583" s="1220" t="n">
        <v>4.8</v>
      </c>
      <c r="I583" s="1220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4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1" t="n">
        <v>0</v>
      </c>
      <c r="Y583" s="1222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>
      <c r="A584" s="789" t="n"/>
      <c r="B584" s="790" t="n"/>
      <c r="C584" s="790" t="n"/>
      <c r="D584" s="790" t="n"/>
      <c r="E584" s="790" t="n"/>
      <c r="F584" s="790" t="n"/>
      <c r="G584" s="790" t="n"/>
      <c r="H584" s="790" t="n"/>
      <c r="I584" s="790" t="n"/>
      <c r="J584" s="790" t="n"/>
      <c r="K584" s="790" t="n"/>
      <c r="L584" s="790" t="n"/>
      <c r="M584" s="790" t="n"/>
      <c r="N584" s="790" t="n"/>
      <c r="O584" s="791" t="n"/>
      <c r="P584" s="794" t="inlineStr">
        <is>
          <t>Итого</t>
        </is>
      </c>
      <c r="Q584" s="795" t="n"/>
      <c r="R584" s="795" t="n"/>
      <c r="S584" s="795" t="n"/>
      <c r="T584" s="795" t="n"/>
      <c r="U584" s="795" t="n"/>
      <c r="V584" s="796" t="n"/>
      <c r="W584" s="37" t="inlineStr">
        <is>
          <t>кор</t>
        </is>
      </c>
      <c r="X584" s="1223">
        <f>IFERROR(X575/H575,"0")+IFERROR(X576/H576,"0")+IFERROR(X577/H577,"0")+IFERROR(X578/H578,"0")+IFERROR(X579/H579,"0")+IFERROR(X580/H580,"0")+IFERROR(X581/H581,"0")+IFERROR(X582/H582,"0")+IFERROR(X583/H583,"0")</f>
        <v/>
      </c>
      <c r="Y584" s="1223">
        <f>IFERROR(Y575/H575,"0")+IFERROR(Y576/H576,"0")+IFERROR(Y577/H577,"0")+IFERROR(Y578/H578,"0")+IFERROR(Y579/H579,"0")+IFERROR(Y580/H580,"0")+IFERROR(Y581/H581,"0")+IFERROR(Y582/H582,"0")+IFERROR(Y583/H583,"0")</f>
        <v/>
      </c>
      <c r="Z584" s="122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/>
      </c>
      <c r="AA584" s="1224" t="n"/>
      <c r="AB584" s="1224" t="n"/>
      <c r="AC584" s="1224" t="n"/>
    </row>
    <row r="585">
      <c r="A585" s="790" t="n"/>
      <c r="B585" s="790" t="n"/>
      <c r="C585" s="790" t="n"/>
      <c r="D585" s="790" t="n"/>
      <c r="E585" s="790" t="n"/>
      <c r="F585" s="790" t="n"/>
      <c r="G585" s="790" t="n"/>
      <c r="H585" s="790" t="n"/>
      <c r="I585" s="790" t="n"/>
      <c r="J585" s="790" t="n"/>
      <c r="K585" s="790" t="n"/>
      <c r="L585" s="790" t="n"/>
      <c r="M585" s="790" t="n"/>
      <c r="N585" s="790" t="n"/>
      <c r="O585" s="791" t="n"/>
      <c r="P585" s="794" t="inlineStr">
        <is>
          <t>Итого</t>
        </is>
      </c>
      <c r="Q585" s="795" t="n"/>
      <c r="R585" s="795" t="n"/>
      <c r="S585" s="795" t="n"/>
      <c r="T585" s="795" t="n"/>
      <c r="U585" s="795" t="n"/>
      <c r="V585" s="796" t="n"/>
      <c r="W585" s="37" t="inlineStr">
        <is>
          <t>кг</t>
        </is>
      </c>
      <c r="X585" s="1223">
        <f>IFERROR(SUM(X575:X583),"0")</f>
        <v/>
      </c>
      <c r="Y585" s="1223">
        <f>IFERROR(SUM(Y575:Y583),"0")</f>
        <v/>
      </c>
      <c r="Z585" s="37" t="n"/>
      <c r="AA585" s="1224" t="n"/>
      <c r="AB585" s="1224" t="n"/>
      <c r="AC585" s="1224" t="n"/>
    </row>
    <row r="586" ht="14.25" customHeight="1">
      <c r="A586" s="797" t="inlineStr">
        <is>
          <t>Сосиски</t>
        </is>
      </c>
      <c r="B586" s="790" t="n"/>
      <c r="C586" s="790" t="n"/>
      <c r="D586" s="790" t="n"/>
      <c r="E586" s="790" t="n"/>
      <c r="F586" s="790" t="n"/>
      <c r="G586" s="790" t="n"/>
      <c r="H586" s="790" t="n"/>
      <c r="I586" s="790" t="n"/>
      <c r="J586" s="790" t="n"/>
      <c r="K586" s="790" t="n"/>
      <c r="L586" s="790" t="n"/>
      <c r="M586" s="790" t="n"/>
      <c r="N586" s="790" t="n"/>
      <c r="O586" s="790" t="n"/>
      <c r="P586" s="790" t="n"/>
      <c r="Q586" s="790" t="n"/>
      <c r="R586" s="790" t="n"/>
      <c r="S586" s="790" t="n"/>
      <c r="T586" s="790" t="n"/>
      <c r="U586" s="790" t="n"/>
      <c r="V586" s="790" t="n"/>
      <c r="W586" s="790" t="n"/>
      <c r="X586" s="790" t="n"/>
      <c r="Y586" s="790" t="n"/>
      <c r="Z586" s="790" t="n"/>
      <c r="AA586" s="797" t="n"/>
      <c r="AB586" s="797" t="n"/>
      <c r="AC586" s="797" t="n"/>
    </row>
    <row r="587" ht="27" customHeight="1">
      <c r="A587" s="54" t="inlineStr">
        <is>
          <t>SU002218</t>
        </is>
      </c>
      <c r="B587" s="54" t="inlineStr">
        <is>
          <t>P002854</t>
        </is>
      </c>
      <c r="C587" s="31" t="n">
        <v>4301051230</v>
      </c>
      <c r="D587" s="779" t="n">
        <v>4607091383409</v>
      </c>
      <c r="E587" s="780" t="n"/>
      <c r="F587" s="1220" t="n">
        <v>1.3</v>
      </c>
      <c r="G587" s="32" t="n">
        <v>6</v>
      </c>
      <c r="H587" s="1220" t="n">
        <v>7.8</v>
      </c>
      <c r="I587" s="1220" t="n">
        <v>8.346</v>
      </c>
      <c r="J587" s="32" t="n">
        <v>56</v>
      </c>
      <c r="K587" s="32" t="inlineStr">
        <is>
          <t>8</t>
        </is>
      </c>
      <c r="L587" s="32" t="n"/>
      <c r="M587" s="33" t="inlineStr">
        <is>
          <t>СК2</t>
        </is>
      </c>
      <c r="N587" s="33" t="n"/>
      <c r="O587" s="32" t="n">
        <v>45</v>
      </c>
      <c r="P587" s="949">
        <f>HYPERLINK("https://abi.ru/products/Охлажденные/Дугушка/Дугушка/Сосиски/P002854/","Сосиски «Молочные Дугушки» Весовые П/а мгс ТМ «Дугушка»")</f>
        <v/>
      </c>
      <c r="Q587" s="782" t="n"/>
      <c r="R587" s="782" t="n"/>
      <c r="S587" s="782" t="n"/>
      <c r="T587" s="783" t="n"/>
      <c r="U587" s="34" t="n"/>
      <c r="V587" s="34" t="n"/>
      <c r="W587" s="35" t="inlineStr">
        <is>
          <t>кг</t>
        </is>
      </c>
      <c r="X587" s="1221" t="n">
        <v>0</v>
      </c>
      <c r="Y587" s="1222">
        <f>IFERROR(IF(X587="",0,CEILING((X587/$H587),1)*$H587),"")</f>
        <v/>
      </c>
      <c r="Z587" s="36">
        <f>IFERROR(IF(Y587=0,"",ROUNDUP(Y587/H587,0)*0.02175),"")</f>
        <v/>
      </c>
      <c r="AA587" s="56" t="n"/>
      <c r="AB587" s="57" t="n"/>
      <c r="AC587" s="687" t="inlineStr">
        <is>
          <t>ЕАЭС N RU Д-RU.РА11.В.11513/23, ЕАЭС № RU Д-RU.РА01.В.93894/20</t>
        </is>
      </c>
      <c r="AG587" s="64" t="n"/>
      <c r="AJ587" s="68" t="n"/>
      <c r="AK587" s="68" t="n">
        <v>0</v>
      </c>
      <c r="BB587" s="688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SU002219</t>
        </is>
      </c>
      <c r="B588" s="54" t="inlineStr">
        <is>
          <t>P002855</t>
        </is>
      </c>
      <c r="C588" s="31" t="n">
        <v>4301051231</v>
      </c>
      <c r="D588" s="779" t="n">
        <v>4607091383416</v>
      </c>
      <c r="E588" s="780" t="n"/>
      <c r="F588" s="1220" t="n">
        <v>1.3</v>
      </c>
      <c r="G588" s="32" t="n">
        <v>6</v>
      </c>
      <c r="H588" s="1220" t="n">
        <v>7.8</v>
      </c>
      <c r="I588" s="1220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5">
        <f>HYPERLINK("https://abi.ru/products/Охлажденные/Дугушка/Дугушка/Сосиски/P002855/","Сосиски «Сливочные Дугушки» Весовые П/а мгс ТМ «Дугушка»")</f>
        <v/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1" t="n">
        <v>0</v>
      </c>
      <c r="Y588" s="1222">
        <f>IFERROR(IF(X588="",0,CEILING((X588/$H588),1)*$H588),"")</f>
        <v/>
      </c>
      <c r="Z588" s="36">
        <f>IFERROR(IF(Y588=0,"",ROUNDUP(Y588/H588,0)*0.02175),"")</f>
        <v/>
      </c>
      <c r="AA588" s="56" t="n"/>
      <c r="AB588" s="57" t="n"/>
      <c r="AC588" s="689" t="inlineStr">
        <is>
          <t>ЕАЭС N RU Д-RU.РА10.В.10687/23, ЕАЭС № RU Д-RU.РА01.В.93655/20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37.5" customHeight="1">
      <c r="A589" s="54" t="inlineStr">
        <is>
          <t>SU002146</t>
        </is>
      </c>
      <c r="B589" s="54" t="inlineStr">
        <is>
          <t>P002319</t>
        </is>
      </c>
      <c r="C589" s="31" t="n">
        <v>4301051058</v>
      </c>
      <c r="D589" s="779" t="n">
        <v>4680115883536</v>
      </c>
      <c r="E589" s="780" t="n"/>
      <c r="F589" s="1220" t="n">
        <v>0.3</v>
      </c>
      <c r="G589" s="32" t="n">
        <v>6</v>
      </c>
      <c r="H589" s="1220" t="n">
        <v>1.8</v>
      </c>
      <c r="I589" s="1220" t="n">
        <v>2.046</v>
      </c>
      <c r="J589" s="32" t="n">
        <v>182</v>
      </c>
      <c r="K589" s="32" t="inlineStr">
        <is>
          <t>14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3">
        <f>HYPERLINK("https://abi.ru/products/Охлажденные/Дугушка/Дугушка/Сосиски/P002319/","Сосиски «Молочные Дугушки» ф/в 0,3 амицел ТМ «Дугушка»")</f>
        <v/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1" t="n">
        <v>0</v>
      </c>
      <c r="Y589" s="1222">
        <f>IFERROR(IF(X589="",0,CEILING((X589/$H589),1)*$H589),"")</f>
        <v/>
      </c>
      <c r="Z589" s="36">
        <f>IFERROR(IF(Y589=0,"",ROUNDUP(Y589/H589,0)*0.00651),"")</f>
        <v/>
      </c>
      <c r="AA589" s="56" t="n"/>
      <c r="AB589" s="57" t="n"/>
      <c r="AC589" s="691" t="inlineStr">
        <is>
          <t>ЕАЭС N RU Д-RU.РА04.В.51196/23, ЕАЭС N RU Д-RU.РА04.В.72602/23, ЕАЭС N RU Д-RU.РА10.В.04165/24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>
      <c r="A590" s="789" t="n"/>
      <c r="B590" s="790" t="n"/>
      <c r="C590" s="790" t="n"/>
      <c r="D590" s="790" t="n"/>
      <c r="E590" s="790" t="n"/>
      <c r="F590" s="790" t="n"/>
      <c r="G590" s="790" t="n"/>
      <c r="H590" s="790" t="n"/>
      <c r="I590" s="790" t="n"/>
      <c r="J590" s="790" t="n"/>
      <c r="K590" s="790" t="n"/>
      <c r="L590" s="790" t="n"/>
      <c r="M590" s="790" t="n"/>
      <c r="N590" s="790" t="n"/>
      <c r="O590" s="791" t="n"/>
      <c r="P590" s="794" t="inlineStr">
        <is>
          <t>Итого</t>
        </is>
      </c>
      <c r="Q590" s="795" t="n"/>
      <c r="R590" s="795" t="n"/>
      <c r="S590" s="795" t="n"/>
      <c r="T590" s="795" t="n"/>
      <c r="U590" s="795" t="n"/>
      <c r="V590" s="796" t="n"/>
      <c r="W590" s="37" t="inlineStr">
        <is>
          <t>кор</t>
        </is>
      </c>
      <c r="X590" s="1223">
        <f>IFERROR(X587/H587,"0")+IFERROR(X588/H588,"0")+IFERROR(X589/H589,"0")</f>
        <v/>
      </c>
      <c r="Y590" s="1223">
        <f>IFERROR(Y587/H587,"0")+IFERROR(Y588/H588,"0")+IFERROR(Y589/H589,"0")</f>
        <v/>
      </c>
      <c r="Z590" s="1223">
        <f>IFERROR(IF(Z587="",0,Z587),"0")+IFERROR(IF(Z588="",0,Z588),"0")+IFERROR(IF(Z589="",0,Z589),"0")</f>
        <v/>
      </c>
      <c r="AA590" s="1224" t="n"/>
      <c r="AB590" s="1224" t="n"/>
      <c r="AC590" s="1224" t="n"/>
    </row>
    <row r="591">
      <c r="A591" s="790" t="n"/>
      <c r="B591" s="790" t="n"/>
      <c r="C591" s="790" t="n"/>
      <c r="D591" s="790" t="n"/>
      <c r="E591" s="790" t="n"/>
      <c r="F591" s="790" t="n"/>
      <c r="G591" s="790" t="n"/>
      <c r="H591" s="790" t="n"/>
      <c r="I591" s="790" t="n"/>
      <c r="J591" s="790" t="n"/>
      <c r="K591" s="790" t="n"/>
      <c r="L591" s="790" t="n"/>
      <c r="M591" s="790" t="n"/>
      <c r="N591" s="790" t="n"/>
      <c r="O591" s="791" t="n"/>
      <c r="P591" s="794" t="inlineStr">
        <is>
          <t>Итого</t>
        </is>
      </c>
      <c r="Q591" s="795" t="n"/>
      <c r="R591" s="795" t="n"/>
      <c r="S591" s="795" t="n"/>
      <c r="T591" s="795" t="n"/>
      <c r="U591" s="795" t="n"/>
      <c r="V591" s="796" t="n"/>
      <c r="W591" s="37" t="inlineStr">
        <is>
          <t>кг</t>
        </is>
      </c>
      <c r="X591" s="1223">
        <f>IFERROR(SUM(X587:X589),"0")</f>
        <v/>
      </c>
      <c r="Y591" s="1223">
        <f>IFERROR(SUM(Y587:Y589),"0")</f>
        <v/>
      </c>
      <c r="Z591" s="37" t="n"/>
      <c r="AA591" s="1224" t="n"/>
      <c r="AB591" s="1224" t="n"/>
      <c r="AC591" s="1224" t="n"/>
    </row>
    <row r="592" ht="14.25" customHeight="1">
      <c r="A592" s="797" t="inlineStr">
        <is>
          <t>Сардельки</t>
        </is>
      </c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0" t="n"/>
      <c r="P592" s="790" t="n"/>
      <c r="Q592" s="790" t="n"/>
      <c r="R592" s="790" t="n"/>
      <c r="S592" s="790" t="n"/>
      <c r="T592" s="790" t="n"/>
      <c r="U592" s="790" t="n"/>
      <c r="V592" s="790" t="n"/>
      <c r="W592" s="790" t="n"/>
      <c r="X592" s="790" t="n"/>
      <c r="Y592" s="790" t="n"/>
      <c r="Z592" s="790" t="n"/>
      <c r="AA592" s="797" t="n"/>
      <c r="AB592" s="797" t="n"/>
      <c r="AC592" s="797" t="n"/>
    </row>
    <row r="593" ht="27" customHeight="1">
      <c r="A593" s="54" t="inlineStr">
        <is>
          <t>SU003136</t>
        </is>
      </c>
      <c r="B593" s="54" t="inlineStr">
        <is>
          <t>P003722</t>
        </is>
      </c>
      <c r="C593" s="31" t="n">
        <v>4301060363</v>
      </c>
      <c r="D593" s="779" t="n">
        <v>4680115885035</v>
      </c>
      <c r="E593" s="780" t="n"/>
      <c r="F593" s="1220" t="n">
        <v>1</v>
      </c>
      <c r="G593" s="32" t="n">
        <v>4</v>
      </c>
      <c r="H593" s="1220" t="n">
        <v>4</v>
      </c>
      <c r="I593" s="1220" t="n">
        <v>4.416</v>
      </c>
      <c r="J593" s="32" t="n">
        <v>104</v>
      </c>
      <c r="K593" s="32" t="inlineStr">
        <is>
          <t>8</t>
        </is>
      </c>
      <c r="L593" s="32" t="n"/>
      <c r="M593" s="33" t="inlineStr">
        <is>
          <t>СК2</t>
        </is>
      </c>
      <c r="N593" s="33" t="n"/>
      <c r="O593" s="32" t="n">
        <v>35</v>
      </c>
      <c r="P593" s="947">
        <f>HYPERLINK("https://abi.ru/products/Охлажденные/Дугушка/Дугушка/Сардельки/P003722/","Сардельки «Дугушки» Весовой н/о ТМ «Дугушка»")</f>
        <v/>
      </c>
      <c r="Q593" s="782" t="n"/>
      <c r="R593" s="782" t="n"/>
      <c r="S593" s="782" t="n"/>
      <c r="T593" s="783" t="n"/>
      <c r="U593" s="34" t="n"/>
      <c r="V593" s="34" t="n"/>
      <c r="W593" s="35" t="inlineStr">
        <is>
          <t>кг</t>
        </is>
      </c>
      <c r="X593" s="1221" t="n">
        <v>0</v>
      </c>
      <c r="Y593" s="1222">
        <f>IFERROR(IF(X593="",0,CEILING((X593/$H593),1)*$H593),"")</f>
        <v/>
      </c>
      <c r="Z593" s="36">
        <f>IFERROR(IF(Y593=0,"",ROUNDUP(Y593/H593,0)*0.01196),"")</f>
        <v/>
      </c>
      <c r="AA593" s="56" t="n"/>
      <c r="AB593" s="57" t="n"/>
      <c r="AC593" s="693" t="inlineStr">
        <is>
          <t>ЕАЭС N RU Д-RU.РА02.В.61682/24, ЕАЭС N RU Д-RU.РА10.В.25236/24</t>
        </is>
      </c>
      <c r="AG593" s="64" t="n"/>
      <c r="AJ593" s="68" t="n"/>
      <c r="AK593" s="68" t="n">
        <v>0</v>
      </c>
      <c r="BB593" s="694" t="inlineStr">
        <is>
          <t>КИ</t>
        </is>
      </c>
      <c r="BM593" s="64">
        <f>IFERROR(X593*I593/H593,"0")</f>
        <v/>
      </c>
      <c r="BN593" s="64">
        <f>IFERROR(Y593*I593/H593,"0")</f>
        <v/>
      </c>
      <c r="BO593" s="64">
        <f>IFERROR(1/J593*(X593/H593),"0")</f>
        <v/>
      </c>
      <c r="BP593" s="64">
        <f>IFERROR(1/J593*(Y593/H593),"0")</f>
        <v/>
      </c>
    </row>
    <row r="594" ht="27" customHeight="1">
      <c r="A594" s="54" t="inlineStr">
        <is>
          <t>SU003687</t>
        </is>
      </c>
      <c r="B594" s="54" t="inlineStr">
        <is>
          <t>P004680</t>
        </is>
      </c>
      <c r="C594" s="31" t="n">
        <v>4301060436</v>
      </c>
      <c r="D594" s="779" t="n">
        <v>4680115885936</v>
      </c>
      <c r="E594" s="780" t="n"/>
      <c r="F594" s="1220" t="n">
        <v>1.3</v>
      </c>
      <c r="G594" s="32" t="n">
        <v>6</v>
      </c>
      <c r="H594" s="1220" t="n">
        <v>7.8</v>
      </c>
      <c r="I594" s="1220" t="n">
        <v>8.279999999999999</v>
      </c>
      <c r="J594" s="32" t="n">
        <v>56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3" t="inlineStr">
        <is>
          <t>Сардельки «Дугушки» Весовой черева ТМ «Стародворье»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1" t="n">
        <v>0</v>
      </c>
      <c r="Y594" s="1222">
        <f>IFERROR(IF(X594="",0,CEILING((X594/$H594),1)*$H594),"")</f>
        <v/>
      </c>
      <c r="Z594" s="36">
        <f>IFERROR(IF(Y594=0,"",ROUNDUP(Y594/H594,0)*0.02175),"")</f>
        <v/>
      </c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>
        <f>IFERROR(X594*I594/H594,"0")</f>
        <v/>
      </c>
      <c r="BN594" s="64">
        <f>IFERROR(Y594*I594/H594,"0")</f>
        <v/>
      </c>
      <c r="BO594" s="64">
        <f>IFERROR(1/J594*(X594/H594),"0")</f>
        <v/>
      </c>
      <c r="BP594" s="64">
        <f>IFERROR(1/J594*(Y594/H594),"0")</f>
        <v/>
      </c>
    </row>
    <row r="595">
      <c r="A595" s="789" t="n"/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1" t="n"/>
      <c r="P595" s="794" t="inlineStr">
        <is>
          <t>Итого</t>
        </is>
      </c>
      <c r="Q595" s="795" t="n"/>
      <c r="R595" s="795" t="n"/>
      <c r="S595" s="795" t="n"/>
      <c r="T595" s="795" t="n"/>
      <c r="U595" s="795" t="n"/>
      <c r="V595" s="796" t="n"/>
      <c r="W595" s="37" t="inlineStr">
        <is>
          <t>кор</t>
        </is>
      </c>
      <c r="X595" s="1223">
        <f>IFERROR(X593/H593,"0")+IFERROR(X594/H594,"0")</f>
        <v/>
      </c>
      <c r="Y595" s="1223">
        <f>IFERROR(Y593/H593,"0")+IFERROR(Y594/H594,"0")</f>
        <v/>
      </c>
      <c r="Z595" s="1223">
        <f>IFERROR(IF(Z593="",0,Z593),"0")+IFERROR(IF(Z594="",0,Z594),"0")</f>
        <v/>
      </c>
      <c r="AA595" s="1224" t="n"/>
      <c r="AB595" s="1224" t="n"/>
      <c r="AC595" s="1224" t="n"/>
    </row>
    <row r="596">
      <c r="A596" s="790" t="n"/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1" t="n"/>
      <c r="P596" s="794" t="inlineStr">
        <is>
          <t>Итого</t>
        </is>
      </c>
      <c r="Q596" s="795" t="n"/>
      <c r="R596" s="795" t="n"/>
      <c r="S596" s="795" t="n"/>
      <c r="T596" s="795" t="n"/>
      <c r="U596" s="795" t="n"/>
      <c r="V596" s="796" t="n"/>
      <c r="W596" s="37" t="inlineStr">
        <is>
          <t>кг</t>
        </is>
      </c>
      <c r="X596" s="1223">
        <f>IFERROR(SUM(X593:X594),"0")</f>
        <v/>
      </c>
      <c r="Y596" s="1223">
        <f>IFERROR(SUM(Y593:Y594),"0")</f>
        <v/>
      </c>
      <c r="Z596" s="37" t="n"/>
      <c r="AA596" s="1224" t="n"/>
      <c r="AB596" s="1224" t="n"/>
      <c r="AC596" s="1224" t="n"/>
    </row>
    <row r="597" ht="27.75" customHeight="1">
      <c r="A597" s="873" t="inlineStr">
        <is>
          <t>Зареченские продукты</t>
        </is>
      </c>
      <c r="B597" s="874" t="n"/>
      <c r="C597" s="874" t="n"/>
      <c r="D597" s="874" t="n"/>
      <c r="E597" s="874" t="n"/>
      <c r="F597" s="874" t="n"/>
      <c r="G597" s="874" t="n"/>
      <c r="H597" s="874" t="n"/>
      <c r="I597" s="874" t="n"/>
      <c r="J597" s="874" t="n"/>
      <c r="K597" s="874" t="n"/>
      <c r="L597" s="874" t="n"/>
      <c r="M597" s="874" t="n"/>
      <c r="N597" s="874" t="n"/>
      <c r="O597" s="874" t="n"/>
      <c r="P597" s="874" t="n"/>
      <c r="Q597" s="874" t="n"/>
      <c r="R597" s="874" t="n"/>
      <c r="S597" s="874" t="n"/>
      <c r="T597" s="874" t="n"/>
      <c r="U597" s="874" t="n"/>
      <c r="V597" s="874" t="n"/>
      <c r="W597" s="874" t="n"/>
      <c r="X597" s="874" t="n"/>
      <c r="Y597" s="874" t="n"/>
      <c r="Z597" s="874" t="n"/>
      <c r="AA597" s="48" t="n"/>
      <c r="AB597" s="48" t="n"/>
      <c r="AC597" s="48" t="n"/>
    </row>
    <row r="598" ht="16.5" customHeight="1">
      <c r="A598" s="828" t="inlineStr">
        <is>
          <t>Зареченские продукты</t>
        </is>
      </c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0" t="n"/>
      <c r="P598" s="790" t="n"/>
      <c r="Q598" s="790" t="n"/>
      <c r="R598" s="790" t="n"/>
      <c r="S598" s="790" t="n"/>
      <c r="T598" s="790" t="n"/>
      <c r="U598" s="790" t="n"/>
      <c r="V598" s="790" t="n"/>
      <c r="W598" s="790" t="n"/>
      <c r="X598" s="790" t="n"/>
      <c r="Y598" s="790" t="n"/>
      <c r="Z598" s="790" t="n"/>
      <c r="AA598" s="828" t="n"/>
      <c r="AB598" s="828" t="n"/>
      <c r="AC598" s="828" t="n"/>
    </row>
    <row r="599" ht="14.25" customHeight="1">
      <c r="A599" s="797" t="inlineStr">
        <is>
          <t>Вареные колбасы</t>
        </is>
      </c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0" t="n"/>
      <c r="P599" s="790" t="n"/>
      <c r="Q599" s="790" t="n"/>
      <c r="R599" s="790" t="n"/>
      <c r="S599" s="790" t="n"/>
      <c r="T599" s="790" t="n"/>
      <c r="U599" s="790" t="n"/>
      <c r="V599" s="790" t="n"/>
      <c r="W599" s="790" t="n"/>
      <c r="X599" s="790" t="n"/>
      <c r="Y599" s="790" t="n"/>
      <c r="Z599" s="790" t="n"/>
      <c r="AA599" s="797" t="n"/>
      <c r="AB599" s="797" t="n"/>
      <c r="AC599" s="797" t="n"/>
    </row>
    <row r="600" ht="27" customHeight="1">
      <c r="A600" s="54" t="inlineStr">
        <is>
          <t>SU003290</t>
        </is>
      </c>
      <c r="B600" s="54" t="inlineStr">
        <is>
          <t>P004000</t>
        </is>
      </c>
      <c r="C600" s="31" t="n">
        <v>4301011763</v>
      </c>
      <c r="D600" s="779" t="n">
        <v>4640242181011</v>
      </c>
      <c r="E600" s="780" t="n"/>
      <c r="F600" s="1220" t="n">
        <v>1.35</v>
      </c>
      <c r="G600" s="32" t="n">
        <v>8</v>
      </c>
      <c r="H600" s="1220" t="n">
        <v>10.8</v>
      </c>
      <c r="I600" s="1220" t="n">
        <v>11.28</v>
      </c>
      <c r="J600" s="32" t="n">
        <v>56</v>
      </c>
      <c r="K600" s="32" t="inlineStr">
        <is>
          <t>8</t>
        </is>
      </c>
      <c r="L600" s="32" t="n"/>
      <c r="M600" s="33" t="inlineStr">
        <is>
          <t>СК3</t>
        </is>
      </c>
      <c r="N600" s="33" t="n"/>
      <c r="O600" s="32" t="n">
        <v>55</v>
      </c>
      <c r="P600" s="792" t="inlineStr">
        <is>
          <t>Вареные колбасы «Молочная» Весовой п/а ТМ «Зареченские»</t>
        </is>
      </c>
      <c r="Q600" s="782" t="n"/>
      <c r="R600" s="782" t="n"/>
      <c r="S600" s="782" t="n"/>
      <c r="T600" s="783" t="n"/>
      <c r="U600" s="34" t="n"/>
      <c r="V600" s="34" t="n"/>
      <c r="W600" s="35" t="inlineStr">
        <is>
          <t>кг</t>
        </is>
      </c>
      <c r="X600" s="1221" t="n">
        <v>0</v>
      </c>
      <c r="Y600" s="1222">
        <f>IFERROR(IF(X600="",0,CEILING((X600/$H600),1)*$H600),"")</f>
        <v/>
      </c>
      <c r="Z600" s="36">
        <f>IFERROR(IF(Y600=0,"",ROUNDUP(Y600/H600,0)*0.02175),"")</f>
        <v/>
      </c>
      <c r="AA600" s="56" t="n"/>
      <c r="AB600" s="57" t="n"/>
      <c r="AC600" s="697" t="inlineStr">
        <is>
          <t>ЕАЭС N RU Д-RU.РА10.В.50054/23</t>
        </is>
      </c>
      <c r="AG600" s="64" t="n"/>
      <c r="AJ600" s="68" t="n"/>
      <c r="AK600" s="68" t="n">
        <v>0</v>
      </c>
      <c r="BB600" s="698" t="inlineStr">
        <is>
          <t>КИ</t>
        </is>
      </c>
      <c r="BM600" s="64">
        <f>IFERROR(X600*I600/H600,"0")</f>
        <v/>
      </c>
      <c r="BN600" s="64">
        <f>IFERROR(Y600*I600/H600,"0")</f>
        <v/>
      </c>
      <c r="BO600" s="64">
        <f>IFERROR(1/J600*(X600/H600),"0")</f>
        <v/>
      </c>
      <c r="BP600" s="64">
        <f>IFERROR(1/J600*(Y600/H600),"0")</f>
        <v/>
      </c>
    </row>
    <row r="601" ht="27" customHeight="1">
      <c r="A601" s="54" t="inlineStr">
        <is>
          <t>SU002807</t>
        </is>
      </c>
      <c r="B601" s="54" t="inlineStr">
        <is>
          <t>P003583</t>
        </is>
      </c>
      <c r="C601" s="31" t="n">
        <v>4301011585</v>
      </c>
      <c r="D601" s="779" t="n">
        <v>4640242180441</v>
      </c>
      <c r="E601" s="780" t="n"/>
      <c r="F601" s="1220" t="n">
        <v>1.5</v>
      </c>
      <c r="G601" s="32" t="n">
        <v>8</v>
      </c>
      <c r="H601" s="1220" t="n">
        <v>12</v>
      </c>
      <c r="I601" s="1220" t="n">
        <v>12.48</v>
      </c>
      <c r="J601" s="32" t="n">
        <v>56</v>
      </c>
      <c r="K601" s="32" t="inlineStr">
        <is>
          <t>8</t>
        </is>
      </c>
      <c r="L601" s="32" t="n"/>
      <c r="M601" s="33" t="inlineStr">
        <is>
          <t>СК1</t>
        </is>
      </c>
      <c r="N601" s="33" t="n"/>
      <c r="O601" s="32" t="n">
        <v>50</v>
      </c>
      <c r="P601" s="1161" t="inlineStr">
        <is>
          <t>Вареные колбасы «Муромская»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1" t="n">
        <v>0</v>
      </c>
      <c r="Y601" s="1222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Д-RU.РА05.В.98227/23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SU002808</t>
        </is>
      </c>
      <c r="B602" s="54" t="inlineStr">
        <is>
          <t>P003582</t>
        </is>
      </c>
      <c r="C602" s="31" t="n">
        <v>4301011584</v>
      </c>
      <c r="D602" s="779" t="n">
        <v>4640242180564</v>
      </c>
      <c r="E602" s="780" t="n"/>
      <c r="F602" s="1220" t="n">
        <v>1.5</v>
      </c>
      <c r="G602" s="32" t="n">
        <v>8</v>
      </c>
      <c r="H602" s="1220" t="n">
        <v>12</v>
      </c>
      <c r="I602" s="1220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1" t="inlineStr">
        <is>
          <t>Вареные колбасы «Нежная» НТУ Весовые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1" t="n">
        <v>0</v>
      </c>
      <c r="Y602" s="1222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Д-RU.РА05.В.95257/23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SU003289</t>
        </is>
      </c>
      <c r="B603" s="54" t="inlineStr">
        <is>
          <t>P003999</t>
        </is>
      </c>
      <c r="C603" s="31" t="n">
        <v>4301011762</v>
      </c>
      <c r="D603" s="779" t="n">
        <v>4640242180922</v>
      </c>
      <c r="E603" s="780" t="n"/>
      <c r="F603" s="1220" t="n">
        <v>1.35</v>
      </c>
      <c r="G603" s="32" t="n">
        <v>8</v>
      </c>
      <c r="H603" s="1220" t="n">
        <v>10.8</v>
      </c>
      <c r="I603" s="1220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55</v>
      </c>
      <c r="P603" s="1165" t="inlineStr">
        <is>
          <t>Вареные колбасы «Нежная со шпиком» Весовой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1" t="n">
        <v>0</v>
      </c>
      <c r="Y603" s="1222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703" t="inlineStr">
        <is>
          <t>ЕАЭС N RU Д-RU.РА10.В.53840/23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SU003296</t>
        </is>
      </c>
      <c r="B604" s="54" t="inlineStr">
        <is>
          <t>P004002</t>
        </is>
      </c>
      <c r="C604" s="31" t="n">
        <v>4301011764</v>
      </c>
      <c r="D604" s="779" t="n">
        <v>4640242181189</v>
      </c>
      <c r="E604" s="780" t="n"/>
      <c r="F604" s="1220" t="n">
        <v>0.4</v>
      </c>
      <c r="G604" s="32" t="n">
        <v>10</v>
      </c>
      <c r="H604" s="1220" t="n">
        <v>4</v>
      </c>
      <c r="I604" s="1220" t="n">
        <v>4.21</v>
      </c>
      <c r="J604" s="32" t="n">
        <v>132</v>
      </c>
      <c r="K604" s="32" t="inlineStr">
        <is>
          <t>12</t>
        </is>
      </c>
      <c r="L604" s="32" t="n"/>
      <c r="M604" s="33" t="inlineStr">
        <is>
          <t>СК3</t>
        </is>
      </c>
      <c r="N604" s="33" t="n"/>
      <c r="O604" s="32" t="n">
        <v>55</v>
      </c>
      <c r="P604" s="1029" t="inlineStr">
        <is>
          <t>Вареные колбасы «Молочная» Фикс.вес 0,4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1" t="n">
        <v>0</v>
      </c>
      <c r="Y604" s="1222">
        <f>IFERROR(IF(X604="",0,CEILING((X604/$H604),1)*$H604),"")</f>
        <v/>
      </c>
      <c r="Z604" s="36">
        <f>IFERROR(IF(Y604=0,"",ROUNDUP(Y604/H604,0)*0.00902),"")</f>
        <v/>
      </c>
      <c r="AA604" s="56" t="n"/>
      <c r="AB604" s="57" t="n"/>
      <c r="AC604" s="705" t="inlineStr">
        <is>
          <t>ЕАЭС N RU Д-RU.РА10.В.50054/23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SU002974</t>
        </is>
      </c>
      <c r="B605" s="54" t="inlineStr">
        <is>
          <t>P003426</t>
        </is>
      </c>
      <c r="C605" s="31" t="n">
        <v>4301011551</v>
      </c>
      <c r="D605" s="779" t="n">
        <v>4640242180038</v>
      </c>
      <c r="E605" s="780" t="n"/>
      <c r="F605" s="1220" t="n">
        <v>0.4</v>
      </c>
      <c r="G605" s="32" t="n">
        <v>10</v>
      </c>
      <c r="H605" s="1220" t="n">
        <v>4</v>
      </c>
      <c r="I605" s="1220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5" t="inlineStr">
        <is>
          <t>Вареные колбасы «Нежная» ф/в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1" t="n">
        <v>0</v>
      </c>
      <c r="Y605" s="1222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Д-RU.РА05.В.95257/23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SU003295</t>
        </is>
      </c>
      <c r="B606" s="54" t="inlineStr">
        <is>
          <t>P004004</t>
        </is>
      </c>
      <c r="C606" s="31" t="n">
        <v>4301011765</v>
      </c>
      <c r="D606" s="779" t="n">
        <v>4640242181172</v>
      </c>
      <c r="E606" s="780" t="n"/>
      <c r="F606" s="1220" t="n">
        <v>0.4</v>
      </c>
      <c r="G606" s="32" t="n">
        <v>10</v>
      </c>
      <c r="H606" s="1220" t="n">
        <v>4</v>
      </c>
      <c r="I606" s="1220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3" t="inlineStr">
        <is>
          <t>Вареные колбасы «Нежная со шпиком» Фикс.вес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1" t="n">
        <v>0</v>
      </c>
      <c r="Y606" s="1222">
        <f>IFERROR(IF(X606="",0,CEILING((X606/$H606),1)*$H606),"")</f>
        <v/>
      </c>
      <c r="Z606" s="36">
        <f>IFERROR(IF(Y606=0,"",ROUNDUP(Y606/H606,0)*0.00902),"")</f>
        <v/>
      </c>
      <c r="AA606" s="56" t="n"/>
      <c r="AB606" s="57" t="n"/>
      <c r="AC606" s="709" t="inlineStr">
        <is>
          <t>ЕАЭС N RU Д-RU.РА10.В.53840/23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>
      <c r="A607" s="789" t="n"/>
      <c r="B607" s="790" t="n"/>
      <c r="C607" s="790" t="n"/>
      <c r="D607" s="790" t="n"/>
      <c r="E607" s="790" t="n"/>
      <c r="F607" s="790" t="n"/>
      <c r="G607" s="790" t="n"/>
      <c r="H607" s="790" t="n"/>
      <c r="I607" s="790" t="n"/>
      <c r="J607" s="790" t="n"/>
      <c r="K607" s="790" t="n"/>
      <c r="L607" s="790" t="n"/>
      <c r="M607" s="790" t="n"/>
      <c r="N607" s="790" t="n"/>
      <c r="O607" s="791" t="n"/>
      <c r="P607" s="794" t="inlineStr">
        <is>
          <t>Итого</t>
        </is>
      </c>
      <c r="Q607" s="795" t="n"/>
      <c r="R607" s="795" t="n"/>
      <c r="S607" s="795" t="n"/>
      <c r="T607" s="795" t="n"/>
      <c r="U607" s="795" t="n"/>
      <c r="V607" s="796" t="n"/>
      <c r="W607" s="37" t="inlineStr">
        <is>
          <t>кор</t>
        </is>
      </c>
      <c r="X607" s="1223">
        <f>IFERROR(X600/H600,"0")+IFERROR(X601/H601,"0")+IFERROR(X602/H602,"0")+IFERROR(X603/H603,"0")+IFERROR(X604/H604,"0")+IFERROR(X605/H605,"0")+IFERROR(X606/H606,"0")</f>
        <v/>
      </c>
      <c r="Y607" s="1223">
        <f>IFERROR(Y600/H600,"0")+IFERROR(Y601/H601,"0")+IFERROR(Y602/H602,"0")+IFERROR(Y603/H603,"0")+IFERROR(Y604/H604,"0")+IFERROR(Y605/H605,"0")+IFERROR(Y606/H606,"0")</f>
        <v/>
      </c>
      <c r="Z607" s="1223">
        <f>IFERROR(IF(Z600="",0,Z600),"0")+IFERROR(IF(Z601="",0,Z601),"0")+IFERROR(IF(Z602="",0,Z602),"0")+IFERROR(IF(Z603="",0,Z603),"0")+IFERROR(IF(Z604="",0,Z604),"0")+IFERROR(IF(Z605="",0,Z605),"0")+IFERROR(IF(Z606="",0,Z606),"0")</f>
        <v/>
      </c>
      <c r="AA607" s="1224" t="n"/>
      <c r="AB607" s="1224" t="n"/>
      <c r="AC607" s="1224" t="n"/>
    </row>
    <row r="608">
      <c r="A608" s="790" t="n"/>
      <c r="B608" s="790" t="n"/>
      <c r="C608" s="790" t="n"/>
      <c r="D608" s="790" t="n"/>
      <c r="E608" s="790" t="n"/>
      <c r="F608" s="790" t="n"/>
      <c r="G608" s="790" t="n"/>
      <c r="H608" s="790" t="n"/>
      <c r="I608" s="790" t="n"/>
      <c r="J608" s="790" t="n"/>
      <c r="K608" s="790" t="n"/>
      <c r="L608" s="790" t="n"/>
      <c r="M608" s="790" t="n"/>
      <c r="N608" s="790" t="n"/>
      <c r="O608" s="791" t="n"/>
      <c r="P608" s="794" t="inlineStr">
        <is>
          <t>Итого</t>
        </is>
      </c>
      <c r="Q608" s="795" t="n"/>
      <c r="R608" s="795" t="n"/>
      <c r="S608" s="795" t="n"/>
      <c r="T608" s="795" t="n"/>
      <c r="U608" s="795" t="n"/>
      <c r="V608" s="796" t="n"/>
      <c r="W608" s="37" t="inlineStr">
        <is>
          <t>кг</t>
        </is>
      </c>
      <c r="X608" s="1223">
        <f>IFERROR(SUM(X600:X606),"0")</f>
        <v/>
      </c>
      <c r="Y608" s="1223">
        <f>IFERROR(SUM(Y600:Y606),"0")</f>
        <v/>
      </c>
      <c r="Z608" s="37" t="n"/>
      <c r="AA608" s="1224" t="n"/>
      <c r="AB608" s="1224" t="n"/>
      <c r="AC608" s="1224" t="n"/>
    </row>
    <row r="609" ht="14.25" customHeight="1">
      <c r="A609" s="797" t="inlineStr">
        <is>
          <t>Ветчины</t>
        </is>
      </c>
      <c r="B609" s="790" t="n"/>
      <c r="C609" s="790" t="n"/>
      <c r="D609" s="790" t="n"/>
      <c r="E609" s="790" t="n"/>
      <c r="F609" s="790" t="n"/>
      <c r="G609" s="790" t="n"/>
      <c r="H609" s="790" t="n"/>
      <c r="I609" s="790" t="n"/>
      <c r="J609" s="790" t="n"/>
      <c r="K609" s="790" t="n"/>
      <c r="L609" s="790" t="n"/>
      <c r="M609" s="790" t="n"/>
      <c r="N609" s="790" t="n"/>
      <c r="O609" s="790" t="n"/>
      <c r="P609" s="790" t="n"/>
      <c r="Q609" s="790" t="n"/>
      <c r="R609" s="790" t="n"/>
      <c r="S609" s="790" t="n"/>
      <c r="T609" s="790" t="n"/>
      <c r="U609" s="790" t="n"/>
      <c r="V609" s="790" t="n"/>
      <c r="W609" s="790" t="n"/>
      <c r="X609" s="790" t="n"/>
      <c r="Y609" s="790" t="n"/>
      <c r="Z609" s="790" t="n"/>
      <c r="AA609" s="797" t="n"/>
      <c r="AB609" s="797" t="n"/>
      <c r="AC609" s="797" t="n"/>
    </row>
    <row r="610" ht="16.5" customHeight="1">
      <c r="A610" s="54" t="inlineStr">
        <is>
          <t>SU002806</t>
        </is>
      </c>
      <c r="B610" s="54" t="inlineStr">
        <is>
          <t>P003591</t>
        </is>
      </c>
      <c r="C610" s="31" t="n">
        <v>4301020269</v>
      </c>
      <c r="D610" s="779" t="n">
        <v>4640242180519</v>
      </c>
      <c r="E610" s="780" t="n"/>
      <c r="F610" s="1220" t="n">
        <v>1.35</v>
      </c>
      <c r="G610" s="32" t="n">
        <v>8</v>
      </c>
      <c r="H610" s="1220" t="n">
        <v>10.8</v>
      </c>
      <c r="I610" s="1220" t="n">
        <v>11.28</v>
      </c>
      <c r="J610" s="32" t="n">
        <v>56</v>
      </c>
      <c r="K610" s="32" t="inlineStr">
        <is>
          <t>8</t>
        </is>
      </c>
      <c r="L610" s="32" t="n"/>
      <c r="M610" s="33" t="inlineStr">
        <is>
          <t>СК3</t>
        </is>
      </c>
      <c r="N610" s="33" t="n"/>
      <c r="O610" s="32" t="n">
        <v>50</v>
      </c>
      <c r="P610" s="914" t="inlineStr">
        <is>
          <t>Ветчины «Нежная» Весовой п/а ТМ «Зареченские»</t>
        </is>
      </c>
      <c r="Q610" s="782" t="n"/>
      <c r="R610" s="782" t="n"/>
      <c r="S610" s="782" t="n"/>
      <c r="T610" s="783" t="n"/>
      <c r="U610" s="34" t="n"/>
      <c r="V610" s="34" t="n"/>
      <c r="W610" s="35" t="inlineStr">
        <is>
          <t>кг</t>
        </is>
      </c>
      <c r="X610" s="1221" t="n">
        <v>0</v>
      </c>
      <c r="Y610" s="1222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1" t="inlineStr">
        <is>
          <t>ЕАЭС № RU Д-RU.РА01.В.93655/20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SU002811</t>
        </is>
      </c>
      <c r="B611" s="54" t="inlineStr">
        <is>
          <t>P003588</t>
        </is>
      </c>
      <c r="C611" s="31" t="n">
        <v>4301020260</v>
      </c>
      <c r="D611" s="779" t="n">
        <v>4640242180526</v>
      </c>
      <c r="E611" s="780" t="n"/>
      <c r="F611" s="1220" t="n">
        <v>1.8</v>
      </c>
      <c r="G611" s="32" t="n">
        <v>6</v>
      </c>
      <c r="H611" s="1220" t="n">
        <v>10.8</v>
      </c>
      <c r="I611" s="1220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50</v>
      </c>
      <c r="P611" s="1014" t="inlineStr">
        <is>
          <t>Ветчины «Нежная» Весовой п/а ТМ «Зареченские» большой батон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1" t="n">
        <v>0</v>
      </c>
      <c r="Y611" s="1222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SU003398</t>
        </is>
      </c>
      <c r="B612" s="54" t="inlineStr">
        <is>
          <t>P004217</t>
        </is>
      </c>
      <c r="C612" s="31" t="n">
        <v>4301020309</v>
      </c>
      <c r="D612" s="779" t="n">
        <v>4640242180090</v>
      </c>
      <c r="E612" s="780" t="n"/>
      <c r="F612" s="1220" t="n">
        <v>1.35</v>
      </c>
      <c r="G612" s="32" t="n">
        <v>8</v>
      </c>
      <c r="H612" s="1220" t="n">
        <v>10.8</v>
      </c>
      <c r="I612" s="1220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5" t="inlineStr">
        <is>
          <t>Ветчины «Рубленая» Весовой п/а ТМ «Зареченские»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1" t="n">
        <v>0</v>
      </c>
      <c r="Y612" s="1222">
        <f>IFERROR(IF(X612="",0,CEILING((X612/$H612),1)*$H612),"")</f>
        <v/>
      </c>
      <c r="Z612" s="36">
        <f>IFERROR(IF(Y612=0,"",ROUNDUP(Y612/H612,0)*0.02175),"")</f>
        <v/>
      </c>
      <c r="AA612" s="56" t="n"/>
      <c r="AB612" s="57" t="n"/>
      <c r="AC612" s="715" t="inlineStr">
        <is>
          <t>ЕАЭС N RU Д-RU.РА01.В.73138/24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SU003298</t>
        </is>
      </c>
      <c r="B613" s="54" t="inlineStr">
        <is>
          <t>P004003</t>
        </is>
      </c>
      <c r="C613" s="31" t="n">
        <v>4301020295</v>
      </c>
      <c r="D613" s="779" t="n">
        <v>4640242181363</v>
      </c>
      <c r="E613" s="780" t="n"/>
      <c r="F613" s="1220" t="n">
        <v>0.4</v>
      </c>
      <c r="G613" s="32" t="n">
        <v>10</v>
      </c>
      <c r="H613" s="1220" t="n">
        <v>4</v>
      </c>
      <c r="I613" s="1220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87" t="inlineStr">
        <is>
          <t>Ветчины «Рубленая» Фикс.вес 0,4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1" t="n">
        <v>0</v>
      </c>
      <c r="Y613" s="1222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>
      <c r="A614" s="789" t="n"/>
      <c r="B614" s="790" t="n"/>
      <c r="C614" s="790" t="n"/>
      <c r="D614" s="790" t="n"/>
      <c r="E614" s="790" t="n"/>
      <c r="F614" s="790" t="n"/>
      <c r="G614" s="790" t="n"/>
      <c r="H614" s="790" t="n"/>
      <c r="I614" s="790" t="n"/>
      <c r="J614" s="790" t="n"/>
      <c r="K614" s="790" t="n"/>
      <c r="L614" s="790" t="n"/>
      <c r="M614" s="790" t="n"/>
      <c r="N614" s="790" t="n"/>
      <c r="O614" s="791" t="n"/>
      <c r="P614" s="794" t="inlineStr">
        <is>
          <t>Итого</t>
        </is>
      </c>
      <c r="Q614" s="795" t="n"/>
      <c r="R614" s="795" t="n"/>
      <c r="S614" s="795" t="n"/>
      <c r="T614" s="795" t="n"/>
      <c r="U614" s="795" t="n"/>
      <c r="V614" s="796" t="n"/>
      <c r="W614" s="37" t="inlineStr">
        <is>
          <t>кор</t>
        </is>
      </c>
      <c r="X614" s="1223">
        <f>IFERROR(X610/H610,"0")+IFERROR(X611/H611,"0")+IFERROR(X612/H612,"0")+IFERROR(X613/H613,"0")</f>
        <v/>
      </c>
      <c r="Y614" s="1223">
        <f>IFERROR(Y610/H610,"0")+IFERROR(Y611/H611,"0")+IFERROR(Y612/H612,"0")+IFERROR(Y613/H613,"0")</f>
        <v/>
      </c>
      <c r="Z614" s="1223">
        <f>IFERROR(IF(Z610="",0,Z610),"0")+IFERROR(IF(Z611="",0,Z611),"0")+IFERROR(IF(Z612="",0,Z612),"0")+IFERROR(IF(Z613="",0,Z613),"0")</f>
        <v/>
      </c>
      <c r="AA614" s="1224" t="n"/>
      <c r="AB614" s="1224" t="n"/>
      <c r="AC614" s="1224" t="n"/>
    </row>
    <row r="615">
      <c r="A615" s="790" t="n"/>
      <c r="B615" s="790" t="n"/>
      <c r="C615" s="790" t="n"/>
      <c r="D615" s="790" t="n"/>
      <c r="E615" s="790" t="n"/>
      <c r="F615" s="790" t="n"/>
      <c r="G615" s="790" t="n"/>
      <c r="H615" s="790" t="n"/>
      <c r="I615" s="790" t="n"/>
      <c r="J615" s="790" t="n"/>
      <c r="K615" s="790" t="n"/>
      <c r="L615" s="790" t="n"/>
      <c r="M615" s="790" t="n"/>
      <c r="N615" s="790" t="n"/>
      <c r="O615" s="791" t="n"/>
      <c r="P615" s="794" t="inlineStr">
        <is>
          <t>Итого</t>
        </is>
      </c>
      <c r="Q615" s="795" t="n"/>
      <c r="R615" s="795" t="n"/>
      <c r="S615" s="795" t="n"/>
      <c r="T615" s="795" t="n"/>
      <c r="U615" s="795" t="n"/>
      <c r="V615" s="796" t="n"/>
      <c r="W615" s="37" t="inlineStr">
        <is>
          <t>кг</t>
        </is>
      </c>
      <c r="X615" s="1223">
        <f>IFERROR(SUM(X610:X613),"0")</f>
        <v/>
      </c>
      <c r="Y615" s="1223">
        <f>IFERROR(SUM(Y610:Y613),"0")</f>
        <v/>
      </c>
      <c r="Z615" s="37" t="n"/>
      <c r="AA615" s="1224" t="n"/>
      <c r="AB615" s="1224" t="n"/>
      <c r="AC615" s="1224" t="n"/>
    </row>
    <row r="616" ht="14.25" customHeight="1">
      <c r="A616" s="797" t="inlineStr">
        <is>
          <t>Копченые колбасы</t>
        </is>
      </c>
      <c r="B616" s="790" t="n"/>
      <c r="C616" s="790" t="n"/>
      <c r="D616" s="790" t="n"/>
      <c r="E616" s="790" t="n"/>
      <c r="F616" s="790" t="n"/>
      <c r="G616" s="790" t="n"/>
      <c r="H616" s="790" t="n"/>
      <c r="I616" s="790" t="n"/>
      <c r="J616" s="790" t="n"/>
      <c r="K616" s="790" t="n"/>
      <c r="L616" s="790" t="n"/>
      <c r="M616" s="790" t="n"/>
      <c r="N616" s="790" t="n"/>
      <c r="O616" s="790" t="n"/>
      <c r="P616" s="790" t="n"/>
      <c r="Q616" s="790" t="n"/>
      <c r="R616" s="790" t="n"/>
      <c r="S616" s="790" t="n"/>
      <c r="T616" s="790" t="n"/>
      <c r="U616" s="790" t="n"/>
      <c r="V616" s="790" t="n"/>
      <c r="W616" s="790" t="n"/>
      <c r="X616" s="790" t="n"/>
      <c r="Y616" s="790" t="n"/>
      <c r="Z616" s="790" t="n"/>
      <c r="AA616" s="797" t="n"/>
      <c r="AB616" s="797" t="n"/>
      <c r="AC616" s="797" t="n"/>
    </row>
    <row r="617" ht="27" customHeight="1">
      <c r="A617" s="54" t="inlineStr">
        <is>
          <t>SU002805</t>
        </is>
      </c>
      <c r="B617" s="54" t="inlineStr">
        <is>
          <t>P003584</t>
        </is>
      </c>
      <c r="C617" s="31" t="n">
        <v>4301031280</v>
      </c>
      <c r="D617" s="779" t="n">
        <v>4640242180816</v>
      </c>
      <c r="E617" s="780" t="n"/>
      <c r="F617" s="1220" t="n">
        <v>0.7</v>
      </c>
      <c r="G617" s="32" t="n">
        <v>6</v>
      </c>
      <c r="H617" s="1220" t="n">
        <v>4.2</v>
      </c>
      <c r="I617" s="1220" t="n">
        <v>4.47</v>
      </c>
      <c r="J617" s="32" t="n">
        <v>132</v>
      </c>
      <c r="K617" s="32" t="inlineStr">
        <is>
          <t>12</t>
        </is>
      </c>
      <c r="L617" s="32" t="n"/>
      <c r="M617" s="33" t="inlineStr">
        <is>
          <t>СК2</t>
        </is>
      </c>
      <c r="N617" s="33" t="n"/>
      <c r="O617" s="32" t="n">
        <v>40</v>
      </c>
      <c r="P617" s="1042" t="inlineStr">
        <is>
          <t>Копченые колбасы «Сервелат Пражский» Весовой фиброуз ТМ «Зареченские»</t>
        </is>
      </c>
      <c r="Q617" s="782" t="n"/>
      <c r="R617" s="782" t="n"/>
      <c r="S617" s="782" t="n"/>
      <c r="T617" s="783" t="n"/>
      <c r="U617" s="34" t="n"/>
      <c r="V617" s="34" t="n"/>
      <c r="W617" s="35" t="inlineStr">
        <is>
          <t>кг</t>
        </is>
      </c>
      <c r="X617" s="1221" t="n">
        <v>0</v>
      </c>
      <c r="Y617" s="1222">
        <f>IFERROR(IF(X617="",0,CEILING((X617/$H617),1)*$H617),"")</f>
        <v/>
      </c>
      <c r="Z617" s="36">
        <f>IFERROR(IF(Y617=0,"",ROUNDUP(Y617/H617,0)*0.00902),"")</f>
        <v/>
      </c>
      <c r="AA617" s="56" t="n"/>
      <c r="AB617" s="57" t="n"/>
      <c r="AC617" s="719" t="inlineStr">
        <is>
          <t>ЕАЭС N RU Д-RU.РА05.В.95896/23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SU002809</t>
        </is>
      </c>
      <c r="B618" s="54" t="inlineStr">
        <is>
          <t>P003586</t>
        </is>
      </c>
      <c r="C618" s="31" t="n">
        <v>4301031244</v>
      </c>
      <c r="D618" s="779" t="n">
        <v>4640242180595</v>
      </c>
      <c r="E618" s="780" t="n"/>
      <c r="F618" s="1220" t="n">
        <v>0.7</v>
      </c>
      <c r="G618" s="32" t="n">
        <v>6</v>
      </c>
      <c r="H618" s="1220" t="n">
        <v>4.2</v>
      </c>
      <c r="I618" s="1220" t="n">
        <v>4.47</v>
      </c>
      <c r="J618" s="32" t="n">
        <v>132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4" t="inlineStr">
        <is>
          <t>В/к колбасы «Сервелат Рижский» НТУ Весовые Фиброуз в/у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1" t="n">
        <v>0</v>
      </c>
      <c r="Y618" s="1222">
        <f>IFERROR(IF(X618="",0,CEILING((X618/$H618),1)*$H618),"")</f>
        <v/>
      </c>
      <c r="Z618" s="36">
        <f>IFERROR(IF(Y618=0,"",ROUNDUP(Y618/H618,0)*0.00902),"")</f>
        <v/>
      </c>
      <c r="AA618" s="56" t="n"/>
      <c r="AB618" s="57" t="n"/>
      <c r="AC618" s="721" t="inlineStr">
        <is>
          <t>ЕАЭС N RU Д-RU.РА05.В.94332/23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SU003303</t>
        </is>
      </c>
      <c r="B619" s="54" t="inlineStr">
        <is>
          <t>P004010</t>
        </is>
      </c>
      <c r="C619" s="31" t="n">
        <v>4301031289</v>
      </c>
      <c r="D619" s="779" t="n">
        <v>4640242181615</v>
      </c>
      <c r="E619" s="780" t="n"/>
      <c r="F619" s="1220" t="n">
        <v>0.7</v>
      </c>
      <c r="G619" s="32" t="n">
        <v>6</v>
      </c>
      <c r="H619" s="1220" t="n">
        <v>4.2</v>
      </c>
      <c r="I619" s="1220" t="n">
        <v>4.41</v>
      </c>
      <c r="J619" s="32" t="n">
        <v>132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45</v>
      </c>
      <c r="P619" s="1018" t="inlineStr">
        <is>
          <t>В/к колбасы «Салями Мясная » Весовой Айцел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1" t="n">
        <v>0</v>
      </c>
      <c r="Y619" s="1222">
        <f>IFERROR(IF(X619="",0,CEILING((X619/$H619),1)*$H619),"")</f>
        <v/>
      </c>
      <c r="Z619" s="36">
        <f>IFERROR(IF(Y619=0,"",ROUNDUP(Y619/H619,0)*0.00902),"")</f>
        <v/>
      </c>
      <c r="AA619" s="56" t="n"/>
      <c r="AB619" s="57" t="n"/>
      <c r="AC619" s="723" t="inlineStr">
        <is>
          <t>ЕАЭС N RU Д-RU.РА04.В.24528/24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SU003299</t>
        </is>
      </c>
      <c r="B620" s="54" t="inlineStr">
        <is>
          <t>P004005</t>
        </is>
      </c>
      <c r="C620" s="31" t="n">
        <v>4301031285</v>
      </c>
      <c r="D620" s="779" t="n">
        <v>4640242181639</v>
      </c>
      <c r="E620" s="780" t="n"/>
      <c r="F620" s="1220" t="n">
        <v>0.7</v>
      </c>
      <c r="G620" s="32" t="n">
        <v>6</v>
      </c>
      <c r="H620" s="1220" t="n">
        <v>4.2</v>
      </c>
      <c r="I620" s="1220" t="n">
        <v>4.41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79" t="inlineStr">
        <is>
          <t>В/к колбасы «Сервелат Мясной с ароматными пряностями»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1" t="n">
        <v>0</v>
      </c>
      <c r="Y620" s="1222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5" t="inlineStr">
        <is>
          <t>ЕАЭС N RU Д-RU.РА04.В.24720/24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SU003301</t>
        </is>
      </c>
      <c r="B621" s="54" t="inlineStr">
        <is>
          <t>P004007</t>
        </is>
      </c>
      <c r="C621" s="31" t="n">
        <v>4301031287</v>
      </c>
      <c r="D621" s="779" t="n">
        <v>4640242181622</v>
      </c>
      <c r="E621" s="780" t="n"/>
      <c r="F621" s="1220" t="n">
        <v>0.7</v>
      </c>
      <c r="G621" s="32" t="n">
        <v>6</v>
      </c>
      <c r="H621" s="1220" t="n">
        <v>4.2</v>
      </c>
      <c r="I621" s="1220" t="n">
        <v>4.41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1" t="inlineStr">
        <is>
          <t>В/к колбасы «Сервелат Мясной с душистым чесноком»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1" t="n">
        <v>0</v>
      </c>
      <c r="Y621" s="1222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7" t="inlineStr">
        <is>
          <t>ЕАЭС N RU Д-RU.РА04.В.24352/24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SU002855</t>
        </is>
      </c>
      <c r="B622" s="54" t="inlineStr">
        <is>
          <t>P003261</t>
        </is>
      </c>
      <c r="C622" s="31" t="n">
        <v>4301031203</v>
      </c>
      <c r="D622" s="779" t="n">
        <v>4640242180908</v>
      </c>
      <c r="E622" s="780" t="n"/>
      <c r="F622" s="1220" t="n">
        <v>0.28</v>
      </c>
      <c r="G622" s="32" t="n">
        <v>6</v>
      </c>
      <c r="H622" s="1220" t="n">
        <v>1.68</v>
      </c>
      <c r="I622" s="1220" t="n">
        <v>1.81</v>
      </c>
      <c r="J622" s="32" t="n">
        <v>234</v>
      </c>
      <c r="K622" s="32" t="inlineStr">
        <is>
          <t>18</t>
        </is>
      </c>
      <c r="L622" s="32" t="n"/>
      <c r="M622" s="33" t="inlineStr">
        <is>
          <t>СК2</t>
        </is>
      </c>
      <c r="N622" s="33" t="n"/>
      <c r="O622" s="32" t="n">
        <v>40</v>
      </c>
      <c r="P622" s="1006" t="inlineStr">
        <is>
          <t>Копченые колбасы «Сервелат Пражский» срез Фикс.вес 0,28 фиброуз в/у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1" t="n">
        <v>0</v>
      </c>
      <c r="Y622" s="1222">
        <f>IFERROR(IF(X622="",0,CEILING((X622/$H622),1)*$H622),"")</f>
        <v/>
      </c>
      <c r="Z622" s="36">
        <f>IFERROR(IF(Y622=0,"",ROUNDUP(Y622/H622,0)*0.00502),"")</f>
        <v/>
      </c>
      <c r="AA622" s="56" t="n"/>
      <c r="AB622" s="57" t="n"/>
      <c r="AC622" s="729" t="inlineStr">
        <is>
          <t>ЕАЭС N RU Д-RU.РА05.В.95896/23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SU002856</t>
        </is>
      </c>
      <c r="B623" s="54" t="inlineStr">
        <is>
          <t>P003257</t>
        </is>
      </c>
      <c r="C623" s="31" t="n">
        <v>4301031200</v>
      </c>
      <c r="D623" s="779" t="n">
        <v>4640242180489</v>
      </c>
      <c r="E623" s="780" t="n"/>
      <c r="F623" s="1220" t="n">
        <v>0.28</v>
      </c>
      <c r="G623" s="32" t="n">
        <v>6</v>
      </c>
      <c r="H623" s="1220" t="n">
        <v>1.68</v>
      </c>
      <c r="I623" s="1220" t="n">
        <v>1.84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3" t="inlineStr">
        <is>
          <t>В/к колбасы «Сервелат Рижский»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1" t="n">
        <v>0</v>
      </c>
      <c r="Y623" s="1222">
        <f>IFERROR(IF(X623="",0,CEILING((X623/$H623),1)*$H623),"")</f>
        <v/>
      </c>
      <c r="Z623" s="36">
        <f>IFERROR(IF(Y623=0,"",ROUNDUP(Y623/H623,0)*0.00502),"")</f>
        <v/>
      </c>
      <c r="AA623" s="56" t="n"/>
      <c r="AB623" s="57" t="n"/>
      <c r="AC623" s="731" t="inlineStr">
        <is>
          <t>ЕАЭС N RU Д-RU.РА05.В.94332/23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>
      <c r="A624" s="789" t="n"/>
      <c r="B624" s="790" t="n"/>
      <c r="C624" s="790" t="n"/>
      <c r="D624" s="790" t="n"/>
      <c r="E624" s="790" t="n"/>
      <c r="F624" s="790" t="n"/>
      <c r="G624" s="790" t="n"/>
      <c r="H624" s="790" t="n"/>
      <c r="I624" s="790" t="n"/>
      <c r="J624" s="790" t="n"/>
      <c r="K624" s="790" t="n"/>
      <c r="L624" s="790" t="n"/>
      <c r="M624" s="790" t="n"/>
      <c r="N624" s="790" t="n"/>
      <c r="O624" s="791" t="n"/>
      <c r="P624" s="794" t="inlineStr">
        <is>
          <t>Итого</t>
        </is>
      </c>
      <c r="Q624" s="795" t="n"/>
      <c r="R624" s="795" t="n"/>
      <c r="S624" s="795" t="n"/>
      <c r="T624" s="795" t="n"/>
      <c r="U624" s="795" t="n"/>
      <c r="V624" s="796" t="n"/>
      <c r="W624" s="37" t="inlineStr">
        <is>
          <t>кор</t>
        </is>
      </c>
      <c r="X624" s="1223">
        <f>IFERROR(X617/H617,"0")+IFERROR(X618/H618,"0")+IFERROR(X619/H619,"0")+IFERROR(X620/H620,"0")+IFERROR(X621/H621,"0")+IFERROR(X622/H622,"0")+IFERROR(X623/H623,"0")</f>
        <v/>
      </c>
      <c r="Y624" s="1223">
        <f>IFERROR(Y617/H617,"0")+IFERROR(Y618/H618,"0")+IFERROR(Y619/H619,"0")+IFERROR(Y620/H620,"0")+IFERROR(Y621/H621,"0")+IFERROR(Y622/H622,"0")+IFERROR(Y623/H623,"0")</f>
        <v/>
      </c>
      <c r="Z624" s="1223">
        <f>IFERROR(IF(Z617="",0,Z617),"0")+IFERROR(IF(Z618="",0,Z618),"0")+IFERROR(IF(Z619="",0,Z619),"0")+IFERROR(IF(Z620="",0,Z620),"0")+IFERROR(IF(Z621="",0,Z621),"0")+IFERROR(IF(Z622="",0,Z622),"0")+IFERROR(IF(Z623="",0,Z623),"0")</f>
        <v/>
      </c>
      <c r="AA624" s="1224" t="n"/>
      <c r="AB624" s="1224" t="n"/>
      <c r="AC624" s="1224" t="n"/>
    </row>
    <row r="625">
      <c r="A625" s="790" t="n"/>
      <c r="B625" s="790" t="n"/>
      <c r="C625" s="790" t="n"/>
      <c r="D625" s="790" t="n"/>
      <c r="E625" s="790" t="n"/>
      <c r="F625" s="790" t="n"/>
      <c r="G625" s="790" t="n"/>
      <c r="H625" s="790" t="n"/>
      <c r="I625" s="790" t="n"/>
      <c r="J625" s="790" t="n"/>
      <c r="K625" s="790" t="n"/>
      <c r="L625" s="790" t="n"/>
      <c r="M625" s="790" t="n"/>
      <c r="N625" s="790" t="n"/>
      <c r="O625" s="791" t="n"/>
      <c r="P625" s="794" t="inlineStr">
        <is>
          <t>Итого</t>
        </is>
      </c>
      <c r="Q625" s="795" t="n"/>
      <c r="R625" s="795" t="n"/>
      <c r="S625" s="795" t="n"/>
      <c r="T625" s="795" t="n"/>
      <c r="U625" s="795" t="n"/>
      <c r="V625" s="796" t="n"/>
      <c r="W625" s="37" t="inlineStr">
        <is>
          <t>кг</t>
        </is>
      </c>
      <c r="X625" s="1223">
        <f>IFERROR(SUM(X617:X623),"0")</f>
        <v/>
      </c>
      <c r="Y625" s="1223">
        <f>IFERROR(SUM(Y617:Y623),"0")</f>
        <v/>
      </c>
      <c r="Z625" s="37" t="n"/>
      <c r="AA625" s="1224" t="n"/>
      <c r="AB625" s="1224" t="n"/>
      <c r="AC625" s="1224" t="n"/>
    </row>
    <row r="626" ht="14.25" customHeight="1">
      <c r="A626" s="797" t="inlineStr">
        <is>
          <t>Сосиски</t>
        </is>
      </c>
      <c r="B626" s="790" t="n"/>
      <c r="C626" s="790" t="n"/>
      <c r="D626" s="790" t="n"/>
      <c r="E626" s="790" t="n"/>
      <c r="F626" s="790" t="n"/>
      <c r="G626" s="790" t="n"/>
      <c r="H626" s="790" t="n"/>
      <c r="I626" s="790" t="n"/>
      <c r="J626" s="790" t="n"/>
      <c r="K626" s="790" t="n"/>
      <c r="L626" s="790" t="n"/>
      <c r="M626" s="790" t="n"/>
      <c r="N626" s="790" t="n"/>
      <c r="O626" s="790" t="n"/>
      <c r="P626" s="790" t="n"/>
      <c r="Q626" s="790" t="n"/>
      <c r="R626" s="790" t="n"/>
      <c r="S626" s="790" t="n"/>
      <c r="T626" s="790" t="n"/>
      <c r="U626" s="790" t="n"/>
      <c r="V626" s="790" t="n"/>
      <c r="W626" s="790" t="n"/>
      <c r="X626" s="790" t="n"/>
      <c r="Y626" s="790" t="n"/>
      <c r="Z626" s="790" t="n"/>
      <c r="AA626" s="797" t="n"/>
      <c r="AB626" s="797" t="n"/>
      <c r="AC626" s="797" t="n"/>
    </row>
    <row r="627" ht="27" customHeight="1">
      <c r="A627" s="54" t="inlineStr">
        <is>
          <t>SU002655</t>
        </is>
      </c>
      <c r="B627" s="54" t="inlineStr">
        <is>
          <t>P004115</t>
        </is>
      </c>
      <c r="C627" s="31" t="n">
        <v>4301051746</v>
      </c>
      <c r="D627" s="779" t="n">
        <v>4640242180533</v>
      </c>
      <c r="E627" s="780" t="n"/>
      <c r="F627" s="1220" t="n">
        <v>1.3</v>
      </c>
      <c r="G627" s="32" t="n">
        <v>6</v>
      </c>
      <c r="H627" s="1220" t="n">
        <v>7.8</v>
      </c>
      <c r="I627" s="1220" t="n">
        <v>8.364000000000001</v>
      </c>
      <c r="J627" s="32" t="n">
        <v>56</v>
      </c>
      <c r="K627" s="32" t="inlineStr">
        <is>
          <t>8</t>
        </is>
      </c>
      <c r="L627" s="32" t="n"/>
      <c r="M627" s="33" t="inlineStr">
        <is>
          <t>СК3</t>
        </is>
      </c>
      <c r="N627" s="33" t="n"/>
      <c r="O627" s="32" t="n">
        <v>40</v>
      </c>
      <c r="P627" s="997" t="inlineStr">
        <is>
          <t>Сосиски Датские Зареченские продукты Весовые П/а мгс Зареченские</t>
        </is>
      </c>
      <c r="Q627" s="782" t="n"/>
      <c r="R627" s="782" t="n"/>
      <c r="S627" s="782" t="n"/>
      <c r="T627" s="783" t="n"/>
      <c r="U627" s="34" t="n"/>
      <c r="V627" s="34" t="n"/>
      <c r="W627" s="35" t="inlineStr">
        <is>
          <t>кг</t>
        </is>
      </c>
      <c r="X627" s="1221" t="n">
        <v>0</v>
      </c>
      <c r="Y627" s="1222">
        <f>IFERROR(IF(X627="",0,CEILING((X627/$H627),1)*$H627),"")</f>
        <v/>
      </c>
      <c r="Z627" s="36">
        <f>IFERROR(IF(Y627=0,"",ROUNDUP(Y627/H627,0)*0.02175),"")</f>
        <v/>
      </c>
      <c r="AA627" s="56" t="n"/>
      <c r="AB627" s="57" t="n"/>
      <c r="AC627" s="733" t="inlineStr">
        <is>
          <t>ЕАЭС N RU Д-RU.РА05.В.94085/23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SU002655</t>
        </is>
      </c>
      <c r="B628" s="54" t="inlineStr">
        <is>
          <t>P004737</t>
        </is>
      </c>
      <c r="C628" s="31" t="n">
        <v>4301051887</v>
      </c>
      <c r="D628" s="779" t="n">
        <v>4640242180533</v>
      </c>
      <c r="E628" s="780" t="n"/>
      <c r="F628" s="1220" t="n">
        <v>1.3</v>
      </c>
      <c r="G628" s="32" t="n">
        <v>6</v>
      </c>
      <c r="H628" s="1220" t="n">
        <v>7.8</v>
      </c>
      <c r="I628" s="1220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45</v>
      </c>
      <c r="P628" s="813" t="inlineStr">
        <is>
          <t>Сосиски «Датские» Весовой п/а ТМ «Зареченские продукты»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1" t="n">
        <v>0</v>
      </c>
      <c r="Y628" s="1222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SU002803</t>
        </is>
      </c>
      <c r="B629" s="54" t="inlineStr">
        <is>
          <t>P003590</t>
        </is>
      </c>
      <c r="C629" s="31" t="n">
        <v>4301051510</v>
      </c>
      <c r="D629" s="779" t="n">
        <v>4640242180540</v>
      </c>
      <c r="E629" s="780" t="n"/>
      <c r="F629" s="1220" t="n">
        <v>1.3</v>
      </c>
      <c r="G629" s="32" t="n">
        <v>6</v>
      </c>
      <c r="H629" s="1220" t="n">
        <v>7.8</v>
      </c>
      <c r="I629" s="1220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СК2</t>
        </is>
      </c>
      <c r="N629" s="33" t="n"/>
      <c r="O629" s="32" t="n">
        <v>30</v>
      </c>
      <c r="P629" s="1033" t="inlineStr">
        <is>
          <t>Сосиски «Сочные» Весовой п/а ТМ «Зареченские»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1" t="n">
        <v>0</v>
      </c>
      <c r="Y629" s="1222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Д-RU.РА05.В.94245/23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79" t="n">
        <v>4640242180540</v>
      </c>
      <c r="E630" s="780" t="n"/>
      <c r="F630" s="1220" t="n">
        <v>1.3</v>
      </c>
      <c r="G630" s="32" t="n">
        <v>6</v>
      </c>
      <c r="H630" s="1220" t="n">
        <v>7.8</v>
      </c>
      <c r="I630" s="1220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40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1" t="n">
        <v>0</v>
      </c>
      <c r="Y630" s="1222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SU002812</t>
        </is>
      </c>
      <c r="B631" s="54" t="inlineStr">
        <is>
          <t>P003218</t>
        </is>
      </c>
      <c r="C631" s="31" t="n">
        <v>4301051390</v>
      </c>
      <c r="D631" s="779" t="n">
        <v>4640242181233</v>
      </c>
      <c r="E631" s="780" t="n"/>
      <c r="F631" s="1220" t="n">
        <v>0.3</v>
      </c>
      <c r="G631" s="32" t="n">
        <v>6</v>
      </c>
      <c r="H631" s="1220" t="n">
        <v>1.8</v>
      </c>
      <c r="I631" s="1220" t="n">
        <v>1.984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84" t="inlineStr">
        <is>
          <t>Сосиски «Датские» Фикс.вес 0,3 П/а мгс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1" t="n">
        <v>0</v>
      </c>
      <c r="Y631" s="1222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1" t="inlineStr">
        <is>
          <t>ЕАЭС N RU Д-RU.РА05.В.94085/23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SU002812</t>
        </is>
      </c>
      <c r="B632" s="54" t="inlineStr">
        <is>
          <t>P004879</t>
        </is>
      </c>
      <c r="C632" s="31" t="n">
        <v>4301051920</v>
      </c>
      <c r="D632" s="779" t="n">
        <v>4640242181233</v>
      </c>
      <c r="E632" s="780" t="n"/>
      <c r="F632" s="1220" t="n">
        <v>0.3</v>
      </c>
      <c r="G632" s="32" t="n">
        <v>6</v>
      </c>
      <c r="H632" s="1220" t="n">
        <v>1.8</v>
      </c>
      <c r="I632" s="1220" t="n">
        <v>2.064</v>
      </c>
      <c r="J632" s="32" t="n">
        <v>182</v>
      </c>
      <c r="K632" s="32" t="inlineStr">
        <is>
          <t>14</t>
        </is>
      </c>
      <c r="L632" s="32" t="n"/>
      <c r="M632" s="33" t="inlineStr">
        <is>
          <t>СК4</t>
        </is>
      </c>
      <c r="N632" s="33" t="n"/>
      <c r="O632" s="32" t="n">
        <v>45</v>
      </c>
      <c r="P632" s="1046" t="inlineStr">
        <is>
          <t>Сосиски «Датские» Фикс.вес 0,3 п/а ТМ «Зареченские продукты»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1" t="n">
        <v>0</v>
      </c>
      <c r="Y632" s="1222">
        <f>IFERROR(IF(X632="",0,CEILING((X632/$H632),1)*$H632),"")</f>
        <v/>
      </c>
      <c r="Z632" s="36">
        <f>IFERROR(IF(Y632=0,"",ROUNDUP(Y632/H632,0)*0.00651),"")</f>
        <v/>
      </c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SU002922</t>
        </is>
      </c>
      <c r="B633" s="54" t="inlineStr">
        <is>
          <t>P003358</t>
        </is>
      </c>
      <c r="C633" s="31" t="n">
        <v>4301051448</v>
      </c>
      <c r="D633" s="779" t="n">
        <v>4640242181226</v>
      </c>
      <c r="E633" s="780" t="n"/>
      <c r="F633" s="1220" t="n">
        <v>0.3</v>
      </c>
      <c r="G633" s="32" t="n">
        <v>6</v>
      </c>
      <c r="H633" s="1220" t="n">
        <v>1.8</v>
      </c>
      <c r="I633" s="1220" t="n">
        <v>1.972</v>
      </c>
      <c r="J633" s="32" t="n">
        <v>234</v>
      </c>
      <c r="K633" s="32" t="inlineStr">
        <is>
          <t>18</t>
        </is>
      </c>
      <c r="L633" s="32" t="n"/>
      <c r="M633" s="33" t="inlineStr">
        <is>
          <t>СК2</t>
        </is>
      </c>
      <c r="N633" s="33" t="n"/>
      <c r="O633" s="32" t="n">
        <v>30</v>
      </c>
      <c r="P633" s="1093" t="inlineStr">
        <is>
          <t>Сосиски «Сочные» Фикс.Вес 0,3 п/а ТМ «Зареченские»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1" t="n">
        <v>0</v>
      </c>
      <c r="Y633" s="1222">
        <f>IFERROR(IF(X633="",0,CEILING((X633/$H633),1)*$H633),"")</f>
        <v/>
      </c>
      <c r="Z633" s="36">
        <f>IFERROR(IF(Y633=0,"",ROUNDUP(Y633/H633,0)*0.00502),"")</f>
        <v/>
      </c>
      <c r="AA633" s="56" t="n"/>
      <c r="AB633" s="57" t="n"/>
      <c r="AC633" s="745" t="inlineStr">
        <is>
          <t>ЕАЭС N RU Д-RU.РА05.В.94245/23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SU002922</t>
        </is>
      </c>
      <c r="B634" s="54" t="inlineStr">
        <is>
          <t>P004880</t>
        </is>
      </c>
      <c r="C634" s="31" t="n">
        <v>4301051921</v>
      </c>
      <c r="D634" s="779" t="n">
        <v>4640242181226</v>
      </c>
      <c r="E634" s="780" t="n"/>
      <c r="F634" s="1220" t="n">
        <v>0.3</v>
      </c>
      <c r="G634" s="32" t="n">
        <v>6</v>
      </c>
      <c r="H634" s="1220" t="n">
        <v>1.8</v>
      </c>
      <c r="I634" s="1220" t="n">
        <v>2.052</v>
      </c>
      <c r="J634" s="32" t="n">
        <v>182</v>
      </c>
      <c r="K634" s="32" t="inlineStr">
        <is>
          <t>14</t>
        </is>
      </c>
      <c r="L634" s="32" t="n"/>
      <c r="M634" s="33" t="inlineStr">
        <is>
          <t>СК4</t>
        </is>
      </c>
      <c r="N634" s="33" t="n"/>
      <c r="O634" s="32" t="n">
        <v>45</v>
      </c>
      <c r="P634" s="848" t="inlineStr">
        <is>
          <t>Сосиски «Сочные» Фикс.вес 0,3 п/а ТМ «Зареченские продукты»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1" t="n">
        <v>0</v>
      </c>
      <c r="Y634" s="1222">
        <f>IFERROR(IF(X634="",0,CEILING((X634/$H634),1)*$H634),"")</f>
        <v/>
      </c>
      <c r="Z634" s="36">
        <f>IFERROR(IF(Y634=0,"",ROUNDUP(Y634/H634,0)*0.00651),"")</f>
        <v/>
      </c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>
      <c r="A635" s="789" t="n"/>
      <c r="B635" s="790" t="n"/>
      <c r="C635" s="790" t="n"/>
      <c r="D635" s="790" t="n"/>
      <c r="E635" s="790" t="n"/>
      <c r="F635" s="790" t="n"/>
      <c r="G635" s="790" t="n"/>
      <c r="H635" s="790" t="n"/>
      <c r="I635" s="790" t="n"/>
      <c r="J635" s="790" t="n"/>
      <c r="K635" s="790" t="n"/>
      <c r="L635" s="790" t="n"/>
      <c r="M635" s="790" t="n"/>
      <c r="N635" s="790" t="n"/>
      <c r="O635" s="791" t="n"/>
      <c r="P635" s="794" t="inlineStr">
        <is>
          <t>Итого</t>
        </is>
      </c>
      <c r="Q635" s="795" t="n"/>
      <c r="R635" s="795" t="n"/>
      <c r="S635" s="795" t="n"/>
      <c r="T635" s="795" t="n"/>
      <c r="U635" s="795" t="n"/>
      <c r="V635" s="796" t="n"/>
      <c r="W635" s="37" t="inlineStr">
        <is>
          <t>кор</t>
        </is>
      </c>
      <c r="X635" s="1223">
        <f>IFERROR(X627/H627,"0")+IFERROR(X628/H628,"0")+IFERROR(X629/H629,"0")+IFERROR(X630/H630,"0")+IFERROR(X631/H631,"0")+IFERROR(X632/H632,"0")+IFERROR(X633/H633,"0")+IFERROR(X634/H634,"0")</f>
        <v/>
      </c>
      <c r="Y635" s="1223">
        <f>IFERROR(Y627/H627,"0")+IFERROR(Y628/H628,"0")+IFERROR(Y629/H629,"0")+IFERROR(Y630/H630,"0")+IFERROR(Y631/H631,"0")+IFERROR(Y632/H632,"0")+IFERROR(Y633/H633,"0")+IFERROR(Y634/H634,"0")</f>
        <v/>
      </c>
      <c r="Z635" s="122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/>
      </c>
      <c r="AA635" s="1224" t="n"/>
      <c r="AB635" s="1224" t="n"/>
      <c r="AC635" s="1224" t="n"/>
    </row>
    <row r="636">
      <c r="A636" s="790" t="n"/>
      <c r="B636" s="790" t="n"/>
      <c r="C636" s="790" t="n"/>
      <c r="D636" s="790" t="n"/>
      <c r="E636" s="790" t="n"/>
      <c r="F636" s="790" t="n"/>
      <c r="G636" s="790" t="n"/>
      <c r="H636" s="790" t="n"/>
      <c r="I636" s="790" t="n"/>
      <c r="J636" s="790" t="n"/>
      <c r="K636" s="790" t="n"/>
      <c r="L636" s="790" t="n"/>
      <c r="M636" s="790" t="n"/>
      <c r="N636" s="790" t="n"/>
      <c r="O636" s="791" t="n"/>
      <c r="P636" s="794" t="inlineStr">
        <is>
          <t>Итого</t>
        </is>
      </c>
      <c r="Q636" s="795" t="n"/>
      <c r="R636" s="795" t="n"/>
      <c r="S636" s="795" t="n"/>
      <c r="T636" s="795" t="n"/>
      <c r="U636" s="795" t="n"/>
      <c r="V636" s="796" t="n"/>
      <c r="W636" s="37" t="inlineStr">
        <is>
          <t>кг</t>
        </is>
      </c>
      <c r="X636" s="1223">
        <f>IFERROR(SUM(X627:X634),"0")</f>
        <v/>
      </c>
      <c r="Y636" s="1223">
        <f>IFERROR(SUM(Y627:Y634),"0")</f>
        <v/>
      </c>
      <c r="Z636" s="37" t="n"/>
      <c r="AA636" s="1224" t="n"/>
      <c r="AB636" s="1224" t="n"/>
      <c r="AC636" s="1224" t="n"/>
    </row>
    <row r="637" ht="14.25" customHeight="1">
      <c r="A637" s="797" t="inlineStr">
        <is>
          <t>Сардельки</t>
        </is>
      </c>
      <c r="B637" s="790" t="n"/>
      <c r="C637" s="790" t="n"/>
      <c r="D637" s="790" t="n"/>
      <c r="E637" s="790" t="n"/>
      <c r="F637" s="790" t="n"/>
      <c r="G637" s="790" t="n"/>
      <c r="H637" s="790" t="n"/>
      <c r="I637" s="790" t="n"/>
      <c r="J637" s="790" t="n"/>
      <c r="K637" s="790" t="n"/>
      <c r="L637" s="790" t="n"/>
      <c r="M637" s="790" t="n"/>
      <c r="N637" s="790" t="n"/>
      <c r="O637" s="790" t="n"/>
      <c r="P637" s="790" t="n"/>
      <c r="Q637" s="790" t="n"/>
      <c r="R637" s="790" t="n"/>
      <c r="S637" s="790" t="n"/>
      <c r="T637" s="790" t="n"/>
      <c r="U637" s="790" t="n"/>
      <c r="V637" s="790" t="n"/>
      <c r="W637" s="790" t="n"/>
      <c r="X637" s="790" t="n"/>
      <c r="Y637" s="790" t="n"/>
      <c r="Z637" s="790" t="n"/>
      <c r="AA637" s="797" t="n"/>
      <c r="AB637" s="797" t="n"/>
      <c r="AC637" s="797" t="n"/>
    </row>
    <row r="638" ht="27" customHeight="1">
      <c r="A638" s="54" t="inlineStr">
        <is>
          <t>SU002970</t>
        </is>
      </c>
      <c r="B638" s="54" t="inlineStr">
        <is>
          <t>P003422</t>
        </is>
      </c>
      <c r="C638" s="31" t="n">
        <v>4301060354</v>
      </c>
      <c r="D638" s="779" t="n">
        <v>4640242180120</v>
      </c>
      <c r="E638" s="780" t="n"/>
      <c r="F638" s="1220" t="n">
        <v>1.3</v>
      </c>
      <c r="G638" s="32" t="n">
        <v>6</v>
      </c>
      <c r="H638" s="1220" t="n">
        <v>7.8</v>
      </c>
      <c r="I638" s="1220" t="n">
        <v>8.279999999999999</v>
      </c>
      <c r="J638" s="32" t="n">
        <v>56</v>
      </c>
      <c r="K638" s="32" t="inlineStr">
        <is>
          <t>8</t>
        </is>
      </c>
      <c r="L638" s="32" t="n"/>
      <c r="M638" s="33" t="inlineStr">
        <is>
          <t>СК2</t>
        </is>
      </c>
      <c r="N638" s="33" t="n"/>
      <c r="O638" s="32" t="n">
        <v>40</v>
      </c>
      <c r="P638" s="931" t="inlineStr">
        <is>
          <t>Сардельки Зареченские Весовой NDX ТМ Зареченские</t>
        </is>
      </c>
      <c r="Q638" s="782" t="n"/>
      <c r="R638" s="782" t="n"/>
      <c r="S638" s="782" t="n"/>
      <c r="T638" s="783" t="n"/>
      <c r="U638" s="34" t="n"/>
      <c r="V638" s="34" t="n"/>
      <c r="W638" s="35" t="inlineStr">
        <is>
          <t>кг</t>
        </is>
      </c>
      <c r="X638" s="1221" t="n">
        <v>0</v>
      </c>
      <c r="Y638" s="1222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49" t="inlineStr">
        <is>
          <t>ЕАЭС N RU Д-RU.РА05.В.10039/23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SU002970</t>
        </is>
      </c>
      <c r="B639" s="54" t="inlineStr">
        <is>
          <t>P004319</t>
        </is>
      </c>
      <c r="C639" s="31" t="n">
        <v>4301060408</v>
      </c>
      <c r="D639" s="779" t="n">
        <v>4640242180120</v>
      </c>
      <c r="E639" s="780" t="n"/>
      <c r="F639" s="1220" t="n">
        <v>1.3</v>
      </c>
      <c r="G639" s="32" t="n">
        <v>6</v>
      </c>
      <c r="H639" s="1220" t="n">
        <v>7.8</v>
      </c>
      <c r="I639" s="1220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6" t="inlineStr">
        <is>
          <t>Сардельки «Зареченские» Весовой NDX ТМ «Зареченские» HR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1" t="n">
        <v>0</v>
      </c>
      <c r="Y639" s="1222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SU002971</t>
        </is>
      </c>
      <c r="B640" s="54" t="inlineStr">
        <is>
          <t>P003425</t>
        </is>
      </c>
      <c r="C640" s="31" t="n">
        <v>4301060355</v>
      </c>
      <c r="D640" s="779" t="n">
        <v>4640242180137</v>
      </c>
      <c r="E640" s="780" t="n"/>
      <c r="F640" s="1220" t="n">
        <v>1.3</v>
      </c>
      <c r="G640" s="32" t="n">
        <v>6</v>
      </c>
      <c r="H640" s="1220" t="n">
        <v>7.8</v>
      </c>
      <c r="I640" s="1220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2" t="inlineStr">
        <is>
          <t>Сардельки Шпикачки Зареченские Весовой NDX ТМ Зареченские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1" t="n">
        <v>0</v>
      </c>
      <c r="Y640" s="1222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Д-RU.РА05.В.12010/23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SU002971</t>
        </is>
      </c>
      <c r="B641" s="54" t="inlineStr">
        <is>
          <t>P004320</t>
        </is>
      </c>
      <c r="C641" s="31" t="n">
        <v>4301060407</v>
      </c>
      <c r="D641" s="779" t="n">
        <v>4640242180137</v>
      </c>
      <c r="E641" s="780" t="n"/>
      <c r="F641" s="1220" t="n">
        <v>1.3</v>
      </c>
      <c r="G641" s="32" t="n">
        <v>6</v>
      </c>
      <c r="H641" s="1220" t="n">
        <v>7.8</v>
      </c>
      <c r="I641" s="1220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«Шпикачки Зареченские» Весовой NDX ТМ «Зареченские» HR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1" t="n">
        <v>0</v>
      </c>
      <c r="Y641" s="1222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>
      <c r="A642" s="789" t="n"/>
      <c r="B642" s="790" t="n"/>
      <c r="C642" s="790" t="n"/>
      <c r="D642" s="790" t="n"/>
      <c r="E642" s="790" t="n"/>
      <c r="F642" s="790" t="n"/>
      <c r="G642" s="790" t="n"/>
      <c r="H642" s="790" t="n"/>
      <c r="I642" s="790" t="n"/>
      <c r="J642" s="790" t="n"/>
      <c r="K642" s="790" t="n"/>
      <c r="L642" s="790" t="n"/>
      <c r="M642" s="790" t="n"/>
      <c r="N642" s="790" t="n"/>
      <c r="O642" s="791" t="n"/>
      <c r="P642" s="794" t="inlineStr">
        <is>
          <t>Итого</t>
        </is>
      </c>
      <c r="Q642" s="795" t="n"/>
      <c r="R642" s="795" t="n"/>
      <c r="S642" s="795" t="n"/>
      <c r="T642" s="795" t="n"/>
      <c r="U642" s="795" t="n"/>
      <c r="V642" s="796" t="n"/>
      <c r="W642" s="37" t="inlineStr">
        <is>
          <t>кор</t>
        </is>
      </c>
      <c r="X642" s="1223">
        <f>IFERROR(X638/H638,"0")+IFERROR(X639/H639,"0")+IFERROR(X640/H640,"0")+IFERROR(X641/H641,"0")</f>
        <v/>
      </c>
      <c r="Y642" s="1223">
        <f>IFERROR(Y638/H638,"0")+IFERROR(Y639/H639,"0")+IFERROR(Y640/H640,"0")+IFERROR(Y641/H641,"0")</f>
        <v/>
      </c>
      <c r="Z642" s="1223">
        <f>IFERROR(IF(Z638="",0,Z638),"0")+IFERROR(IF(Z639="",0,Z639),"0")+IFERROR(IF(Z640="",0,Z640),"0")+IFERROR(IF(Z641="",0,Z641),"0")</f>
        <v/>
      </c>
      <c r="AA642" s="1224" t="n"/>
      <c r="AB642" s="1224" t="n"/>
      <c r="AC642" s="1224" t="n"/>
    </row>
    <row r="643">
      <c r="A643" s="790" t="n"/>
      <c r="B643" s="790" t="n"/>
      <c r="C643" s="790" t="n"/>
      <c r="D643" s="790" t="n"/>
      <c r="E643" s="790" t="n"/>
      <c r="F643" s="790" t="n"/>
      <c r="G643" s="790" t="n"/>
      <c r="H643" s="790" t="n"/>
      <c r="I643" s="790" t="n"/>
      <c r="J643" s="790" t="n"/>
      <c r="K643" s="790" t="n"/>
      <c r="L643" s="790" t="n"/>
      <c r="M643" s="790" t="n"/>
      <c r="N643" s="790" t="n"/>
      <c r="O643" s="791" t="n"/>
      <c r="P643" s="794" t="inlineStr">
        <is>
          <t>Итого</t>
        </is>
      </c>
      <c r="Q643" s="795" t="n"/>
      <c r="R643" s="795" t="n"/>
      <c r="S643" s="795" t="n"/>
      <c r="T643" s="795" t="n"/>
      <c r="U643" s="795" t="n"/>
      <c r="V643" s="796" t="n"/>
      <c r="W643" s="37" t="inlineStr">
        <is>
          <t>кг</t>
        </is>
      </c>
      <c r="X643" s="1223">
        <f>IFERROR(SUM(X638:X641),"0")</f>
        <v/>
      </c>
      <c r="Y643" s="1223">
        <f>IFERROR(SUM(Y638:Y641),"0")</f>
        <v/>
      </c>
      <c r="Z643" s="37" t="n"/>
      <c r="AA643" s="1224" t="n"/>
      <c r="AB643" s="1224" t="n"/>
      <c r="AC643" s="1224" t="n"/>
    </row>
    <row r="644" ht="16.5" customHeight="1">
      <c r="A644" s="828" t="inlineStr">
        <is>
          <t>Зареченские продукты Светофор</t>
        </is>
      </c>
      <c r="B644" s="790" t="n"/>
      <c r="C644" s="790" t="n"/>
      <c r="D644" s="790" t="n"/>
      <c r="E644" s="790" t="n"/>
      <c r="F644" s="790" t="n"/>
      <c r="G644" s="790" t="n"/>
      <c r="H644" s="790" t="n"/>
      <c r="I644" s="790" t="n"/>
      <c r="J644" s="790" t="n"/>
      <c r="K644" s="790" t="n"/>
      <c r="L644" s="790" t="n"/>
      <c r="M644" s="790" t="n"/>
      <c r="N644" s="790" t="n"/>
      <c r="O644" s="790" t="n"/>
      <c r="P644" s="790" t="n"/>
      <c r="Q644" s="790" t="n"/>
      <c r="R644" s="790" t="n"/>
      <c r="S644" s="790" t="n"/>
      <c r="T644" s="790" t="n"/>
      <c r="U644" s="790" t="n"/>
      <c r="V644" s="790" t="n"/>
      <c r="W644" s="790" t="n"/>
      <c r="X644" s="790" t="n"/>
      <c r="Y644" s="790" t="n"/>
      <c r="Z644" s="790" t="n"/>
      <c r="AA644" s="828" t="n"/>
      <c r="AB644" s="828" t="n"/>
      <c r="AC644" s="828" t="n"/>
    </row>
    <row r="645" ht="14.25" customHeight="1">
      <c r="A645" s="797" t="inlineStr">
        <is>
          <t>Вареные колбасы</t>
        </is>
      </c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0" t="n"/>
      <c r="P645" s="790" t="n"/>
      <c r="Q645" s="790" t="n"/>
      <c r="R645" s="790" t="n"/>
      <c r="S645" s="790" t="n"/>
      <c r="T645" s="790" t="n"/>
      <c r="U645" s="790" t="n"/>
      <c r="V645" s="790" t="n"/>
      <c r="W645" s="790" t="n"/>
      <c r="X645" s="790" t="n"/>
      <c r="Y645" s="790" t="n"/>
      <c r="Z645" s="790" t="n"/>
      <c r="AA645" s="797" t="n"/>
      <c r="AB645" s="797" t="n"/>
      <c r="AC645" s="797" t="n"/>
    </row>
    <row r="646" ht="27" customHeight="1">
      <c r="A646" s="54" t="inlineStr">
        <is>
          <t>SU002963</t>
        </is>
      </c>
      <c r="B646" s="54" t="inlineStr">
        <is>
          <t>P004322</t>
        </is>
      </c>
      <c r="C646" s="31" t="n">
        <v>4301011951</v>
      </c>
      <c r="D646" s="779" t="n">
        <v>4640242180045</v>
      </c>
      <c r="E646" s="780" t="n"/>
      <c r="F646" s="1220" t="n">
        <v>1.5</v>
      </c>
      <c r="G646" s="32" t="n">
        <v>8</v>
      </c>
      <c r="H646" s="1220" t="n">
        <v>12</v>
      </c>
      <c r="I646" s="1220" t="n">
        <v>12.48</v>
      </c>
      <c r="J646" s="32" t="n">
        <v>56</v>
      </c>
      <c r="K646" s="32" t="inlineStr">
        <is>
          <t>8</t>
        </is>
      </c>
      <c r="L646" s="32" t="n"/>
      <c r="M646" s="33" t="inlineStr">
        <is>
          <t>СК1</t>
        </is>
      </c>
      <c r="N646" s="33" t="n"/>
      <c r="O646" s="32" t="n">
        <v>55</v>
      </c>
      <c r="P646" s="1111" t="inlineStr">
        <is>
          <t>Вареные колбасы «Молочная классическая» Весовой п/а ТМ «Зареченские» HR</t>
        </is>
      </c>
      <c r="Q646" s="782" t="n"/>
      <c r="R646" s="782" t="n"/>
      <c r="S646" s="782" t="n"/>
      <c r="T646" s="783" t="n"/>
      <c r="U646" s="34" t="n"/>
      <c r="V646" s="34" t="n"/>
      <c r="W646" s="35" t="inlineStr">
        <is>
          <t>кг</t>
        </is>
      </c>
      <c r="X646" s="1221" t="n">
        <v>0</v>
      </c>
      <c r="Y646" s="1222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7" t="inlineStr">
        <is>
          <t>ЕАЭС N RU Д-RU.РА05.В.10282/23</t>
        </is>
      </c>
      <c r="AG646" s="64" t="n"/>
      <c r="AJ646" s="68" t="n"/>
      <c r="AK646" s="68" t="n">
        <v>0</v>
      </c>
      <c r="BB646" s="758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SU003055</t>
        </is>
      </c>
      <c r="B647" s="54" t="inlineStr">
        <is>
          <t>P004323</t>
        </is>
      </c>
      <c r="C647" s="31" t="n">
        <v>4301011950</v>
      </c>
      <c r="D647" s="779" t="n">
        <v>4640242180601</v>
      </c>
      <c r="E647" s="780" t="n"/>
      <c r="F647" s="1220" t="n">
        <v>1.5</v>
      </c>
      <c r="G647" s="32" t="n">
        <v>8</v>
      </c>
      <c r="H647" s="1220" t="n">
        <v>12</v>
      </c>
      <c r="I647" s="1220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60" t="inlineStr">
        <is>
          <t>Вареные колбасы «Мясная со шпиком»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1" t="n">
        <v>0</v>
      </c>
      <c r="Y647" s="1222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59" t="inlineStr">
        <is>
          <t>ЕАЭС N RU Д-RU.РА06.В.29400/23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>
      <c r="A648" s="789" t="n"/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1" t="n"/>
      <c r="P648" s="794" t="inlineStr">
        <is>
          <t>Итого</t>
        </is>
      </c>
      <c r="Q648" s="795" t="n"/>
      <c r="R648" s="795" t="n"/>
      <c r="S648" s="795" t="n"/>
      <c r="T648" s="795" t="n"/>
      <c r="U648" s="795" t="n"/>
      <c r="V648" s="796" t="n"/>
      <c r="W648" s="37" t="inlineStr">
        <is>
          <t>кор</t>
        </is>
      </c>
      <c r="X648" s="1223">
        <f>IFERROR(X646/H646,"0")+IFERROR(X647/H647,"0")</f>
        <v/>
      </c>
      <c r="Y648" s="1223">
        <f>IFERROR(Y646/H646,"0")+IFERROR(Y647/H647,"0")</f>
        <v/>
      </c>
      <c r="Z648" s="1223">
        <f>IFERROR(IF(Z646="",0,Z646),"0")+IFERROR(IF(Z647="",0,Z647),"0")</f>
        <v/>
      </c>
      <c r="AA648" s="1224" t="n"/>
      <c r="AB648" s="1224" t="n"/>
      <c r="AC648" s="1224" t="n"/>
    </row>
    <row r="649">
      <c r="A649" s="790" t="n"/>
      <c r="B649" s="790" t="n"/>
      <c r="C649" s="790" t="n"/>
      <c r="D649" s="790" t="n"/>
      <c r="E649" s="790" t="n"/>
      <c r="F649" s="790" t="n"/>
      <c r="G649" s="790" t="n"/>
      <c r="H649" s="790" t="n"/>
      <c r="I649" s="790" t="n"/>
      <c r="J649" s="790" t="n"/>
      <c r="K649" s="790" t="n"/>
      <c r="L649" s="790" t="n"/>
      <c r="M649" s="790" t="n"/>
      <c r="N649" s="790" t="n"/>
      <c r="O649" s="791" t="n"/>
      <c r="P649" s="794" t="inlineStr">
        <is>
          <t>Итого</t>
        </is>
      </c>
      <c r="Q649" s="795" t="n"/>
      <c r="R649" s="795" t="n"/>
      <c r="S649" s="795" t="n"/>
      <c r="T649" s="795" t="n"/>
      <c r="U649" s="795" t="n"/>
      <c r="V649" s="796" t="n"/>
      <c r="W649" s="37" t="inlineStr">
        <is>
          <t>кг</t>
        </is>
      </c>
      <c r="X649" s="1223">
        <f>IFERROR(SUM(X646:X647),"0")</f>
        <v/>
      </c>
      <c r="Y649" s="1223">
        <f>IFERROR(SUM(Y646:Y647),"0")</f>
        <v/>
      </c>
      <c r="Z649" s="37" t="n"/>
      <c r="AA649" s="1224" t="n"/>
      <c r="AB649" s="1224" t="n"/>
      <c r="AC649" s="1224" t="n"/>
    </row>
    <row r="650" ht="14.25" customHeight="1">
      <c r="A650" s="797" t="inlineStr">
        <is>
          <t>Ветчины</t>
        </is>
      </c>
      <c r="B650" s="790" t="n"/>
      <c r="C650" s="790" t="n"/>
      <c r="D650" s="790" t="n"/>
      <c r="E650" s="790" t="n"/>
      <c r="F650" s="790" t="n"/>
      <c r="G650" s="790" t="n"/>
      <c r="H650" s="790" t="n"/>
      <c r="I650" s="790" t="n"/>
      <c r="J650" s="790" t="n"/>
      <c r="K650" s="790" t="n"/>
      <c r="L650" s="790" t="n"/>
      <c r="M650" s="790" t="n"/>
      <c r="N650" s="790" t="n"/>
      <c r="O650" s="790" t="n"/>
      <c r="P650" s="790" t="n"/>
      <c r="Q650" s="790" t="n"/>
      <c r="R650" s="790" t="n"/>
      <c r="S650" s="790" t="n"/>
      <c r="T650" s="790" t="n"/>
      <c r="U650" s="790" t="n"/>
      <c r="V650" s="790" t="n"/>
      <c r="W650" s="790" t="n"/>
      <c r="X650" s="790" t="n"/>
      <c r="Y650" s="790" t="n"/>
      <c r="Z650" s="790" t="n"/>
      <c r="AA650" s="797" t="n"/>
      <c r="AB650" s="797" t="n"/>
      <c r="AC650" s="797" t="n"/>
    </row>
    <row r="651" ht="27" customHeight="1">
      <c r="A651" s="54" t="inlineStr">
        <is>
          <t>SU002967</t>
        </is>
      </c>
      <c r="B651" s="54" t="inlineStr">
        <is>
          <t>P004317</t>
        </is>
      </c>
      <c r="C651" s="31" t="n">
        <v>4301020314</v>
      </c>
      <c r="D651" s="779" t="n">
        <v>4640242180090</v>
      </c>
      <c r="E651" s="780" t="n"/>
      <c r="F651" s="1220" t="n">
        <v>1.5</v>
      </c>
      <c r="G651" s="32" t="n">
        <v>8</v>
      </c>
      <c r="H651" s="1220" t="n">
        <v>12</v>
      </c>
      <c r="I651" s="1220" t="n">
        <v>12.48</v>
      </c>
      <c r="J651" s="32" t="n">
        <v>56</v>
      </c>
      <c r="K651" s="32" t="inlineStr">
        <is>
          <t>8</t>
        </is>
      </c>
      <c r="L651" s="32" t="n"/>
      <c r="M651" s="33" t="inlineStr">
        <is>
          <t>СК1</t>
        </is>
      </c>
      <c r="N651" s="33" t="n"/>
      <c r="O651" s="32" t="n">
        <v>50</v>
      </c>
      <c r="P651" s="1101" t="inlineStr">
        <is>
          <t>Ветчины «Рубленая» Весовой п/а ТМ «Зареченские» НТУ HR</t>
        </is>
      </c>
      <c r="Q651" s="782" t="n"/>
      <c r="R651" s="782" t="n"/>
      <c r="S651" s="782" t="n"/>
      <c r="T651" s="783" t="n"/>
      <c r="U651" s="34" t="n"/>
      <c r="V651" s="34" t="n"/>
      <c r="W651" s="35" t="inlineStr">
        <is>
          <t>кг</t>
        </is>
      </c>
      <c r="X651" s="1221" t="n">
        <v>0</v>
      </c>
      <c r="Y651" s="1222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61" t="inlineStr">
        <is>
          <t>ЕАЭС N RU Д-RU.РА05.В.11990/23</t>
        </is>
      </c>
      <c r="AG651" s="64" t="n"/>
      <c r="AJ651" s="68" t="n"/>
      <c r="AK651" s="68" t="n">
        <v>0</v>
      </c>
      <c r="BB651" s="762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>
      <c r="A652" s="789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4" t="inlineStr">
        <is>
          <t>Итого</t>
        </is>
      </c>
      <c r="Q652" s="795" t="n"/>
      <c r="R652" s="795" t="n"/>
      <c r="S652" s="795" t="n"/>
      <c r="T652" s="795" t="n"/>
      <c r="U652" s="795" t="n"/>
      <c r="V652" s="796" t="n"/>
      <c r="W652" s="37" t="inlineStr">
        <is>
          <t>кор</t>
        </is>
      </c>
      <c r="X652" s="1223">
        <f>IFERROR(X651/H651,"0")</f>
        <v/>
      </c>
      <c r="Y652" s="1223">
        <f>IFERROR(Y651/H651,"0")</f>
        <v/>
      </c>
      <c r="Z652" s="1223">
        <f>IFERROR(IF(Z651="",0,Z651),"0")</f>
        <v/>
      </c>
      <c r="AA652" s="1224" t="n"/>
      <c r="AB652" s="1224" t="n"/>
      <c r="AC652" s="1224" t="n"/>
    </row>
    <row r="653">
      <c r="A653" s="790" t="n"/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1" t="n"/>
      <c r="P653" s="794" t="inlineStr">
        <is>
          <t>Итого</t>
        </is>
      </c>
      <c r="Q653" s="795" t="n"/>
      <c r="R653" s="795" t="n"/>
      <c r="S653" s="795" t="n"/>
      <c r="T653" s="795" t="n"/>
      <c r="U653" s="795" t="n"/>
      <c r="V653" s="796" t="n"/>
      <c r="W653" s="37" t="inlineStr">
        <is>
          <t>кг</t>
        </is>
      </c>
      <c r="X653" s="1223">
        <f>IFERROR(SUM(X651:X651),"0")</f>
        <v/>
      </c>
      <c r="Y653" s="1223">
        <f>IFERROR(SUM(Y651:Y651),"0")</f>
        <v/>
      </c>
      <c r="Z653" s="37" t="n"/>
      <c r="AA653" s="1224" t="n"/>
      <c r="AB653" s="1224" t="n"/>
      <c r="AC653" s="1224" t="n"/>
    </row>
    <row r="654" ht="14.25" customHeight="1">
      <c r="A654" s="797" t="inlineStr">
        <is>
          <t>Копченые колбасы</t>
        </is>
      </c>
      <c r="B654" s="790" t="n"/>
      <c r="C654" s="790" t="n"/>
      <c r="D654" s="790" t="n"/>
      <c r="E654" s="790" t="n"/>
      <c r="F654" s="790" t="n"/>
      <c r="G654" s="790" t="n"/>
      <c r="H654" s="790" t="n"/>
      <c r="I654" s="790" t="n"/>
      <c r="J654" s="790" t="n"/>
      <c r="K654" s="790" t="n"/>
      <c r="L654" s="790" t="n"/>
      <c r="M654" s="790" t="n"/>
      <c r="N654" s="790" t="n"/>
      <c r="O654" s="790" t="n"/>
      <c r="P654" s="790" t="n"/>
      <c r="Q654" s="790" t="n"/>
      <c r="R654" s="790" t="n"/>
      <c r="S654" s="790" t="n"/>
      <c r="T654" s="790" t="n"/>
      <c r="U654" s="790" t="n"/>
      <c r="V654" s="790" t="n"/>
      <c r="W654" s="790" t="n"/>
      <c r="X654" s="790" t="n"/>
      <c r="Y654" s="790" t="n"/>
      <c r="Z654" s="790" t="n"/>
      <c r="AA654" s="797" t="n"/>
      <c r="AB654" s="797" t="n"/>
      <c r="AC654" s="797" t="n"/>
    </row>
    <row r="655" ht="27" customHeight="1">
      <c r="A655" s="54" t="inlineStr">
        <is>
          <t>SU002965</t>
        </is>
      </c>
      <c r="B655" s="54" t="inlineStr">
        <is>
          <t>P004318</t>
        </is>
      </c>
      <c r="C655" s="31" t="n">
        <v>4301031321</v>
      </c>
      <c r="D655" s="779" t="n">
        <v>4640242180076</v>
      </c>
      <c r="E655" s="780" t="n"/>
      <c r="F655" s="1220" t="n">
        <v>0.7</v>
      </c>
      <c r="G655" s="32" t="n">
        <v>6</v>
      </c>
      <c r="H655" s="1220" t="n">
        <v>4.2</v>
      </c>
      <c r="I655" s="1220" t="n">
        <v>4.41</v>
      </c>
      <c r="J655" s="32" t="n">
        <v>132</v>
      </c>
      <c r="K655" s="32" t="inlineStr">
        <is>
          <t>12</t>
        </is>
      </c>
      <c r="L655" s="32" t="n"/>
      <c r="M655" s="33" t="inlineStr">
        <is>
          <t>СК2</t>
        </is>
      </c>
      <c r="N655" s="33" t="n"/>
      <c r="O655" s="32" t="n">
        <v>40</v>
      </c>
      <c r="P655" s="1182" t="inlineStr">
        <is>
          <t>В/к колбасы «Сервелат Зернистый» Весовой фиброуз ТМ «Зареченские» HR</t>
        </is>
      </c>
      <c r="Q655" s="782" t="n"/>
      <c r="R655" s="782" t="n"/>
      <c r="S655" s="782" t="n"/>
      <c r="T655" s="783" t="n"/>
      <c r="U655" s="34" t="n"/>
      <c r="V655" s="34" t="n"/>
      <c r="W655" s="35" t="inlineStr">
        <is>
          <t>кг</t>
        </is>
      </c>
      <c r="X655" s="1221" t="n">
        <v>0</v>
      </c>
      <c r="Y655" s="1222">
        <f>IFERROR(IF(X655="",0,CEILING((X655/$H655),1)*$H655),"")</f>
        <v/>
      </c>
      <c r="Z655" s="36">
        <f>IFERROR(IF(Y655=0,"",ROUNDUP(Y655/H655,0)*0.00902),"")</f>
        <v/>
      </c>
      <c r="AA655" s="56" t="n"/>
      <c r="AB655" s="57" t="n"/>
      <c r="AC655" s="763" t="inlineStr">
        <is>
          <t>ЕАЭС N RU Д-RU.РА05.В.12077/23</t>
        </is>
      </c>
      <c r="AG655" s="64" t="n"/>
      <c r="AJ655" s="68" t="n"/>
      <c r="AK655" s="68" t="n">
        <v>0</v>
      </c>
      <c r="BB655" s="764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789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4" t="inlineStr">
        <is>
          <t>Итого</t>
        </is>
      </c>
      <c r="Q656" s="795" t="n"/>
      <c r="R656" s="795" t="n"/>
      <c r="S656" s="795" t="n"/>
      <c r="T656" s="795" t="n"/>
      <c r="U656" s="795" t="n"/>
      <c r="V656" s="796" t="n"/>
      <c r="W656" s="37" t="inlineStr">
        <is>
          <t>кор</t>
        </is>
      </c>
      <c r="X656" s="1223">
        <f>IFERROR(X655/H655,"0")</f>
        <v/>
      </c>
      <c r="Y656" s="1223">
        <f>IFERROR(Y655/H655,"0")</f>
        <v/>
      </c>
      <c r="Z656" s="1223">
        <f>IFERROR(IF(Z655="",0,Z655),"0")</f>
        <v/>
      </c>
      <c r="AA656" s="1224" t="n"/>
      <c r="AB656" s="1224" t="n"/>
      <c r="AC656" s="1224" t="n"/>
    </row>
    <row r="657">
      <c r="A657" s="790" t="n"/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1" t="n"/>
      <c r="P657" s="794" t="inlineStr">
        <is>
          <t>Итого</t>
        </is>
      </c>
      <c r="Q657" s="795" t="n"/>
      <c r="R657" s="795" t="n"/>
      <c r="S657" s="795" t="n"/>
      <c r="T657" s="795" t="n"/>
      <c r="U657" s="795" t="n"/>
      <c r="V657" s="796" t="n"/>
      <c r="W657" s="37" t="inlineStr">
        <is>
          <t>кг</t>
        </is>
      </c>
      <c r="X657" s="1223">
        <f>IFERROR(SUM(X655:X655),"0")</f>
        <v/>
      </c>
      <c r="Y657" s="1223">
        <f>IFERROR(SUM(Y655:Y655),"0")</f>
        <v/>
      </c>
      <c r="Z657" s="37" t="n"/>
      <c r="AA657" s="1224" t="n"/>
      <c r="AB657" s="1224" t="n"/>
      <c r="AC657" s="1224" t="n"/>
    </row>
    <row r="658" ht="14.25" customHeight="1">
      <c r="A658" s="797" t="inlineStr">
        <is>
          <t>Сосиски</t>
        </is>
      </c>
      <c r="B658" s="790" t="n"/>
      <c r="C658" s="790" t="n"/>
      <c r="D658" s="790" t="n"/>
      <c r="E658" s="790" t="n"/>
      <c r="F658" s="790" t="n"/>
      <c r="G658" s="790" t="n"/>
      <c r="H658" s="790" t="n"/>
      <c r="I658" s="790" t="n"/>
      <c r="J658" s="790" t="n"/>
      <c r="K658" s="790" t="n"/>
      <c r="L658" s="790" t="n"/>
      <c r="M658" s="790" t="n"/>
      <c r="N658" s="790" t="n"/>
      <c r="O658" s="790" t="n"/>
      <c r="P658" s="790" t="n"/>
      <c r="Q658" s="790" t="n"/>
      <c r="R658" s="790" t="n"/>
      <c r="S658" s="790" t="n"/>
      <c r="T658" s="790" t="n"/>
      <c r="U658" s="790" t="n"/>
      <c r="V658" s="790" t="n"/>
      <c r="W658" s="790" t="n"/>
      <c r="X658" s="790" t="n"/>
      <c r="Y658" s="790" t="n"/>
      <c r="Z658" s="790" t="n"/>
      <c r="AA658" s="797" t="n"/>
      <c r="AB658" s="797" t="n"/>
      <c r="AC658" s="797" t="n"/>
    </row>
    <row r="659" ht="27" customHeight="1">
      <c r="A659" s="54" t="inlineStr">
        <is>
          <t>SU002968</t>
        </is>
      </c>
      <c r="B659" s="54" t="inlineStr">
        <is>
          <t>P004321</t>
        </is>
      </c>
      <c r="C659" s="31" t="n">
        <v>4301051780</v>
      </c>
      <c r="D659" s="779" t="n">
        <v>4640242180106</v>
      </c>
      <c r="E659" s="780" t="n"/>
      <c r="F659" s="1220" t="n">
        <v>1.3</v>
      </c>
      <c r="G659" s="32" t="n">
        <v>6</v>
      </c>
      <c r="H659" s="1220" t="n">
        <v>7.8</v>
      </c>
      <c r="I659" s="1220" t="n">
        <v>8.279999999999999</v>
      </c>
      <c r="J659" s="32" t="n">
        <v>56</v>
      </c>
      <c r="K659" s="32" t="inlineStr">
        <is>
          <t>8</t>
        </is>
      </c>
      <c r="L659" s="32" t="n"/>
      <c r="M659" s="33" t="inlineStr">
        <is>
          <t>СК2</t>
        </is>
      </c>
      <c r="N659" s="33" t="n"/>
      <c r="O659" s="32" t="n">
        <v>45</v>
      </c>
      <c r="P659" s="981" t="inlineStr">
        <is>
          <t>Сосиски «Молочные классические» Весовой п/а ТМ «Зареченские» HR</t>
        </is>
      </c>
      <c r="Q659" s="782" t="n"/>
      <c r="R659" s="782" t="n"/>
      <c r="S659" s="782" t="n"/>
      <c r="T659" s="783" t="n"/>
      <c r="U659" s="34" t="n"/>
      <c r="V659" s="34" t="n"/>
      <c r="W659" s="35" t="inlineStr">
        <is>
          <t>кг</t>
        </is>
      </c>
      <c r="X659" s="1221" t="n">
        <v>0</v>
      </c>
      <c r="Y659" s="1222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65" t="inlineStr">
        <is>
          <t>ЕАЭС N RU Д-RU.РА05.В.10146/23</t>
        </is>
      </c>
      <c r="AG659" s="64" t="n"/>
      <c r="AJ659" s="68" t="n"/>
      <c r="AK659" s="68" t="n">
        <v>0</v>
      </c>
      <c r="BB659" s="766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789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4" t="inlineStr">
        <is>
          <t>Итого</t>
        </is>
      </c>
      <c r="Q660" s="795" t="n"/>
      <c r="R660" s="795" t="n"/>
      <c r="S660" s="795" t="n"/>
      <c r="T660" s="795" t="n"/>
      <c r="U660" s="795" t="n"/>
      <c r="V660" s="796" t="n"/>
      <c r="W660" s="37" t="inlineStr">
        <is>
          <t>кор</t>
        </is>
      </c>
      <c r="X660" s="1223">
        <f>IFERROR(X659/H659,"0")</f>
        <v/>
      </c>
      <c r="Y660" s="1223">
        <f>IFERROR(Y659/H659,"0")</f>
        <v/>
      </c>
      <c r="Z660" s="1223">
        <f>IFERROR(IF(Z659="",0,Z659),"0")</f>
        <v/>
      </c>
      <c r="AA660" s="1224" t="n"/>
      <c r="AB660" s="1224" t="n"/>
      <c r="AC660" s="1224" t="n"/>
    </row>
    <row r="661">
      <c r="A661" s="790" t="n"/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1" t="n"/>
      <c r="P661" s="794" t="inlineStr">
        <is>
          <t>Итого</t>
        </is>
      </c>
      <c r="Q661" s="795" t="n"/>
      <c r="R661" s="795" t="n"/>
      <c r="S661" s="795" t="n"/>
      <c r="T661" s="795" t="n"/>
      <c r="U661" s="795" t="n"/>
      <c r="V661" s="796" t="n"/>
      <c r="W661" s="37" t="inlineStr">
        <is>
          <t>кг</t>
        </is>
      </c>
      <c r="X661" s="1223">
        <f>IFERROR(SUM(X659:X659),"0")</f>
        <v/>
      </c>
      <c r="Y661" s="1223">
        <f>IFERROR(SUM(Y659:Y659),"0")</f>
        <v/>
      </c>
      <c r="Z661" s="37" t="n"/>
      <c r="AA661" s="1224" t="n"/>
      <c r="AB661" s="1224" t="n"/>
      <c r="AC661" s="1224" t="n"/>
    </row>
    <row r="662" ht="15" customHeight="1">
      <c r="A662" s="1201" t="n"/>
      <c r="B662" s="790" t="n"/>
      <c r="C662" s="790" t="n"/>
      <c r="D662" s="790" t="n"/>
      <c r="E662" s="790" t="n"/>
      <c r="F662" s="790" t="n"/>
      <c r="G662" s="790" t="n"/>
      <c r="H662" s="790" t="n"/>
      <c r="I662" s="790" t="n"/>
      <c r="J662" s="790" t="n"/>
      <c r="K662" s="790" t="n"/>
      <c r="L662" s="790" t="n"/>
      <c r="M662" s="790" t="n"/>
      <c r="N662" s="790" t="n"/>
      <c r="O662" s="976" t="n"/>
      <c r="P662" s="823" t="inlineStr">
        <is>
          <t>ИТОГО НЕТТО</t>
        </is>
      </c>
      <c r="Q662" s="824" t="n"/>
      <c r="R662" s="824" t="n"/>
      <c r="S662" s="824" t="n"/>
      <c r="T662" s="824" t="n"/>
      <c r="U662" s="824" t="n"/>
      <c r="V662" s="825" t="n"/>
      <c r="W662" s="37" t="inlineStr">
        <is>
          <t>кг</t>
        </is>
      </c>
      <c r="X662" s="122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/>
      </c>
      <c r="Y662" s="122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/>
      </c>
      <c r="Z662" s="37" t="n"/>
      <c r="AA662" s="1224" t="n"/>
      <c r="AB662" s="1224" t="n"/>
      <c r="AC662" s="1224" t="n"/>
    </row>
    <row r="663">
      <c r="A663" s="790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976" t="n"/>
      <c r="P663" s="823" t="inlineStr">
        <is>
          <t>ИТОГО БРУТТО</t>
        </is>
      </c>
      <c r="Q663" s="824" t="n"/>
      <c r="R663" s="824" t="n"/>
      <c r="S663" s="824" t="n"/>
      <c r="T663" s="824" t="n"/>
      <c r="U663" s="824" t="n"/>
      <c r="V663" s="825" t="n"/>
      <c r="W663" s="37" t="inlineStr">
        <is>
          <t>кг</t>
        </is>
      </c>
      <c r="X663" s="1223">
        <f>IFERROR(SUM(BM22:BM659),"0")</f>
        <v/>
      </c>
      <c r="Y663" s="1223">
        <f>IFERROR(SUM(BN22:BN659),"0")</f>
        <v/>
      </c>
      <c r="Z663" s="37" t="n"/>
      <c r="AA663" s="1224" t="n"/>
      <c r="AB663" s="1224" t="n"/>
      <c r="AC663" s="1224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976" t="n"/>
      <c r="P664" s="823" t="inlineStr">
        <is>
          <t>Кол-во паллет</t>
        </is>
      </c>
      <c r="Q664" s="824" t="n"/>
      <c r="R664" s="824" t="n"/>
      <c r="S664" s="824" t="n"/>
      <c r="T664" s="824" t="n"/>
      <c r="U664" s="824" t="n"/>
      <c r="V664" s="825" t="n"/>
      <c r="W664" s="37" t="inlineStr">
        <is>
          <t>шт</t>
        </is>
      </c>
      <c r="X664" s="38">
        <f>ROUNDUP(SUM(BO22:BO659),0)</f>
        <v/>
      </c>
      <c r="Y664" s="38">
        <f>ROUNDUP(SUM(BP22:BP659),0)</f>
        <v/>
      </c>
      <c r="Z664" s="37" t="n"/>
      <c r="AA664" s="1224" t="n"/>
      <c r="AB664" s="1224" t="n"/>
      <c r="AC664" s="1224" t="n"/>
    </row>
    <row r="665">
      <c r="A665" s="790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976" t="n"/>
      <c r="P665" s="823" t="inlineStr">
        <is>
          <t>Вес брутто  с паллетами</t>
        </is>
      </c>
      <c r="Q665" s="824" t="n"/>
      <c r="R665" s="824" t="n"/>
      <c r="S665" s="824" t="n"/>
      <c r="T665" s="824" t="n"/>
      <c r="U665" s="824" t="n"/>
      <c r="V665" s="825" t="n"/>
      <c r="W665" s="37" t="inlineStr">
        <is>
          <t>кг</t>
        </is>
      </c>
      <c r="X665" s="1223">
        <f>GrossWeightTotal+PalletQtyTotal*25</f>
        <v/>
      </c>
      <c r="Y665" s="1223">
        <f>GrossWeightTotalR+PalletQtyTotalR*25</f>
        <v/>
      </c>
      <c r="Z665" s="37" t="n"/>
      <c r="AA665" s="1224" t="n"/>
      <c r="AB665" s="1224" t="n"/>
      <c r="AC665" s="1224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976" t="n"/>
      <c r="P666" s="823" t="inlineStr">
        <is>
          <t>Кол-во коробок</t>
        </is>
      </c>
      <c r="Q666" s="824" t="n"/>
      <c r="R666" s="824" t="n"/>
      <c r="S666" s="824" t="n"/>
      <c r="T666" s="824" t="n"/>
      <c r="U666" s="824" t="n"/>
      <c r="V666" s="825" t="n"/>
      <c r="W666" s="37" t="inlineStr">
        <is>
          <t>шт</t>
        </is>
      </c>
      <c r="X666" s="122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/>
      </c>
      <c r="Y666" s="122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/>
      </c>
      <c r="Z666" s="37" t="n"/>
      <c r="AA666" s="1224" t="n"/>
      <c r="AB666" s="1224" t="n"/>
      <c r="AC666" s="1224" t="n"/>
    </row>
    <row r="667" ht="14.25" customHeight="1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976" t="n"/>
      <c r="P667" s="823" t="inlineStr">
        <is>
          <t>Объем заказа</t>
        </is>
      </c>
      <c r="Q667" s="824" t="n"/>
      <c r="R667" s="824" t="n"/>
      <c r="S667" s="824" t="n"/>
      <c r="T667" s="824" t="n"/>
      <c r="U667" s="824" t="n"/>
      <c r="V667" s="825" t="n"/>
      <c r="W667" s="39" t="inlineStr">
        <is>
          <t>м3</t>
        </is>
      </c>
      <c r="X667" s="37" t="n"/>
      <c r="Y667" s="37" t="n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/>
      </c>
      <c r="AA667" s="1224" t="n"/>
      <c r="AB667" s="1224" t="n"/>
      <c r="AC667" s="1224" t="n"/>
    </row>
    <row r="668" ht="13.5" customHeight="1" thickBot="1"/>
    <row r="669" ht="27" customHeight="1" thickBot="1" thickTop="1">
      <c r="A669" s="40" t="inlineStr">
        <is>
          <t>ТОРГОВАЯ МАРКА</t>
        </is>
      </c>
      <c r="B669" s="819" t="inlineStr">
        <is>
          <t>Ядрена копоть</t>
        </is>
      </c>
      <c r="C669" s="819" t="inlineStr">
        <is>
          <t>Вязанка</t>
        </is>
      </c>
      <c r="D669" s="956" t="n"/>
      <c r="E669" s="956" t="n"/>
      <c r="F669" s="956" t="n"/>
      <c r="G669" s="956" t="n"/>
      <c r="H669" s="921" t="n"/>
      <c r="I669" s="819" t="inlineStr">
        <is>
          <t>Стародворье</t>
        </is>
      </c>
      <c r="J669" s="956" t="n"/>
      <c r="K669" s="956" t="n"/>
      <c r="L669" s="956" t="n"/>
      <c r="M669" s="956" t="n"/>
      <c r="N669" s="956" t="n"/>
      <c r="O669" s="956" t="n"/>
      <c r="P669" s="956" t="n"/>
      <c r="Q669" s="956" t="n"/>
      <c r="R669" s="956" t="n"/>
      <c r="S669" s="956" t="n"/>
      <c r="T669" s="956" t="n"/>
      <c r="U669" s="956" t="n"/>
      <c r="V669" s="921" t="n"/>
      <c r="W669" s="819" t="inlineStr">
        <is>
          <t>Особый рецепт</t>
        </is>
      </c>
      <c r="X669" s="921" t="n"/>
      <c r="Y669" s="819" t="inlineStr">
        <is>
          <t>Баварушка</t>
        </is>
      </c>
      <c r="Z669" s="956" t="n"/>
      <c r="AA669" s="956" t="n"/>
      <c r="AB669" s="921" t="n"/>
      <c r="AC669" s="819" t="inlineStr">
        <is>
          <t>Дугушка</t>
        </is>
      </c>
      <c r="AD669" s="819" t="inlineStr">
        <is>
          <t>Зареченские продукты</t>
        </is>
      </c>
      <c r="AE669" s="921" t="n"/>
      <c r="AF669" s="790" t="n"/>
    </row>
    <row r="670" ht="14.25" customHeight="1" thickTop="1">
      <c r="A670" s="1180" t="inlineStr">
        <is>
          <t>СЕРИЯ</t>
        </is>
      </c>
      <c r="B670" s="819" t="inlineStr">
        <is>
          <t>Ядрена копоть</t>
        </is>
      </c>
      <c r="C670" s="819" t="inlineStr">
        <is>
          <t>ГОСТ</t>
        </is>
      </c>
      <c r="D670" s="819" t="inlineStr">
        <is>
          <t>Филейская</t>
        </is>
      </c>
      <c r="E670" s="819" t="inlineStr">
        <is>
          <t>Молокуша</t>
        </is>
      </c>
      <c r="F670" s="819" t="inlineStr">
        <is>
          <t>Сливушка</t>
        </is>
      </c>
      <c r="G670" s="819" t="inlineStr">
        <is>
          <t>Халяль</t>
        </is>
      </c>
      <c r="H670" s="819" t="inlineStr">
        <is>
          <t>Вязанка</t>
        </is>
      </c>
      <c r="I670" s="819" t="inlineStr">
        <is>
          <t>Мясорубская</t>
        </is>
      </c>
      <c r="J670" s="819" t="inlineStr">
        <is>
          <t>Сочинка</t>
        </is>
      </c>
      <c r="K670" s="819" t="inlineStr">
        <is>
          <t>Филедворская</t>
        </is>
      </c>
      <c r="L670" s="819" t="inlineStr">
        <is>
          <t>Стародворская</t>
        </is>
      </c>
      <c r="M670" s="819" t="inlineStr">
        <is>
          <t>Филедворская по-стародворски</t>
        </is>
      </c>
      <c r="N670" s="790" t="n"/>
      <c r="O670" s="819" t="inlineStr">
        <is>
          <t>Филедворская Золоченная в печи</t>
        </is>
      </c>
      <c r="P670" s="819" t="inlineStr">
        <is>
          <t>Стародворская Золоченная в печи</t>
        </is>
      </c>
      <c r="Q670" s="819" t="inlineStr">
        <is>
          <t>Сочинка по-баварски</t>
        </is>
      </c>
      <c r="R670" s="819" t="inlineStr">
        <is>
          <t>Стародворская EDLP/EDPP</t>
        </is>
      </c>
      <c r="S670" s="819" t="inlineStr">
        <is>
          <t>Царедворская EDLP/EDPP</t>
        </is>
      </c>
      <c r="T670" s="819" t="inlineStr">
        <is>
          <t>Филедворская EDLP/EDPP</t>
        </is>
      </c>
      <c r="U670" s="819" t="inlineStr">
        <is>
          <t>Бордо</t>
        </is>
      </c>
      <c r="V670" s="819" t="inlineStr">
        <is>
          <t>Бавария</t>
        </is>
      </c>
      <c r="W670" s="819" t="inlineStr">
        <is>
          <t>Особая</t>
        </is>
      </c>
      <c r="X670" s="819" t="inlineStr">
        <is>
          <t>Особая Без свинины</t>
        </is>
      </c>
      <c r="Y670" s="819" t="inlineStr">
        <is>
          <t>Филейбургская</t>
        </is>
      </c>
      <c r="Z670" s="819" t="inlineStr">
        <is>
          <t>Балыкбургская</t>
        </is>
      </c>
      <c r="AA670" s="819" t="inlineStr">
        <is>
          <t>Краковюрст</t>
        </is>
      </c>
      <c r="AB670" s="819" t="inlineStr">
        <is>
          <t>Бюргерсы</t>
        </is>
      </c>
      <c r="AC670" s="819" t="inlineStr">
        <is>
          <t>Дугушка</t>
        </is>
      </c>
      <c r="AD670" s="819" t="inlineStr">
        <is>
          <t>Зареченские продукты</t>
        </is>
      </c>
      <c r="AE670" s="819" t="inlineStr">
        <is>
          <t>Зареченские продукты Светофор</t>
        </is>
      </c>
      <c r="AF670" s="790" t="n"/>
    </row>
    <row r="671" ht="13.5" customHeight="1" thickBot="1">
      <c r="A671" s="1181" t="n"/>
      <c r="B671" s="820" t="n"/>
      <c r="C671" s="820" t="n"/>
      <c r="D671" s="820" t="n"/>
      <c r="E671" s="820" t="n"/>
      <c r="F671" s="820" t="n"/>
      <c r="G671" s="820" t="n"/>
      <c r="H671" s="820" t="n"/>
      <c r="I671" s="820" t="n"/>
      <c r="J671" s="820" t="n"/>
      <c r="K671" s="820" t="n"/>
      <c r="L671" s="820" t="n"/>
      <c r="M671" s="820" t="n"/>
      <c r="N671" s="790" t="n"/>
      <c r="O671" s="820" t="n"/>
      <c r="P671" s="820" t="n"/>
      <c r="Q671" s="820" t="n"/>
      <c r="R671" s="820" t="n"/>
      <c r="S671" s="820" t="n"/>
      <c r="T671" s="820" t="n"/>
      <c r="U671" s="820" t="n"/>
      <c r="V671" s="820" t="n"/>
      <c r="W671" s="820" t="n"/>
      <c r="X671" s="820" t="n"/>
      <c r="Y671" s="820" t="n"/>
      <c r="Z671" s="820" t="n"/>
      <c r="AA671" s="820" t="n"/>
      <c r="AB671" s="820" t="n"/>
      <c r="AC671" s="820" t="n"/>
      <c r="AD671" s="820" t="n"/>
      <c r="AE671" s="820" t="n"/>
      <c r="AF671" s="790" t="n"/>
    </row>
    <row r="672" ht="18" customHeight="1" thickBot="1" thickTop="1">
      <c r="A672" s="40" t="inlineStr">
        <is>
          <t>ИТОГО, кг</t>
        </is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2" s="46">
        <f>IFERROR(Y48*1,"0")+IFERROR(Y49*1,"0")+IFERROR(Y50*1,"0")+IFERROR(Y51*1,"0")+IFERROR(Y52*1,"0")+IFERROR(Y53*1,"0")+IFERROR(Y57*1,"0")+IFERROR(Y58*1,"0")</f>
        <v/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2" s="46">
        <f>IFERROR(Y107*1,"0")+IFERROR(Y108*1,"0")+IFERROR(Y109*1,"0")+IFERROR(Y113*1,"0")+IFERROR(Y114*1,"0")+IFERROR(Y115*1,"0")+IFERROR(Y116*1,"0")+IFERROR(Y117*1,"0")+IFERROR(Y118*1,"0")</f>
        <v/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2" s="46">
        <f>IFERROR(Y154*1,"0")+IFERROR(Y155*1,"0")+IFERROR(Y159*1,"0")+IFERROR(Y160*1,"0")+IFERROR(Y164*1,"0")+IFERROR(Y165*1,"0")</f>
        <v/>
      </c>
      <c r="H672" s="46">
        <f>IFERROR(Y170*1,"0")+IFERROR(Y174*1,"0")+IFERROR(Y175*1,"0")+IFERROR(Y176*1,"0")+IFERROR(Y177*1,"0")+IFERROR(Y178*1,"0")+IFERROR(Y182*1,"0")+IFERROR(Y183*1,"0")</f>
        <v/>
      </c>
      <c r="I672" s="46">
        <f>IFERROR(Y189*1,"0")+IFERROR(Y193*1,"0")+IFERROR(Y194*1,"0")+IFERROR(Y195*1,"0")+IFERROR(Y196*1,"0")+IFERROR(Y197*1,"0")+IFERROR(Y198*1,"0")+IFERROR(Y199*1,"0")+IFERROR(Y200*1,"0")</f>
        <v/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2" s="46">
        <f>IFERROR(Y250*1,"0")+IFERROR(Y251*1,"0")+IFERROR(Y252*1,"0")+IFERROR(Y253*1,"0")+IFERROR(Y254*1,"0")+IFERROR(Y255*1,"0")+IFERROR(Y256*1,"0")+IFERROR(Y257*1,"0")</f>
        <v/>
      </c>
      <c r="L672" s="46">
        <f>IFERROR(Y262*1,"0")+IFERROR(Y263*1,"0")+IFERROR(Y264*1,"0")+IFERROR(Y265*1,"0")+IFERROR(Y266*1,"0")+IFERROR(Y267*1,"0")+IFERROR(Y268*1,"0")+IFERROR(Y269*1,"0")+IFERROR(Y270*1,"0")+IFERROR(Y274*1,"0")</f>
        <v/>
      </c>
      <c r="M672" s="46">
        <f>IFERROR(Y279*1,"0")+IFERROR(Y280*1,"0")+IFERROR(Y281*1,"0")+IFERROR(Y282*1,"0")+IFERROR(Y283*1,"0")+IFERROR(Y284*1,"0")+IFERROR(Y285*1,"0")+IFERROR(Y286*1,"0")+IFERROR(Y287*1,"0")+IFERROR(Y288*1,"0")</f>
        <v/>
      </c>
      <c r="N672" s="790" t="n"/>
      <c r="O672" s="46">
        <f>IFERROR(Y293*1,"0")</f>
        <v/>
      </c>
      <c r="P672" s="46">
        <f>IFERROR(Y298*1,"0")+IFERROR(Y299*1,"0")+IFERROR(Y300*1,"0")</f>
        <v/>
      </c>
      <c r="Q672" s="46">
        <f>IFERROR(Y305*1,"0")+IFERROR(Y306*1,"0")+IFERROR(Y307*1,"0")+IFERROR(Y308*1,"0")+IFERROR(Y309*1,"0")+IFERROR(Y310*1,"0")</f>
        <v/>
      </c>
      <c r="R672" s="46">
        <f>IFERROR(Y315*1,"0")+IFERROR(Y319*1,"0")+IFERROR(Y323*1,"0")</f>
        <v/>
      </c>
      <c r="S672" s="46">
        <f>IFERROR(Y328*1,"0")+IFERROR(Y332*1,"0")+IFERROR(Y336*1,"0")+IFERROR(Y337*1,"0")</f>
        <v/>
      </c>
      <c r="T672" s="46">
        <f>IFERROR(Y342*1,"0")+IFERROR(Y346*1,"0")+IFERROR(Y347*1,"0")+IFERROR(Y351*1,"0")</f>
        <v/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2" s="46">
        <f>IFERROR(Y405*1,"0")+IFERROR(Y409*1,"0")+IFERROR(Y410*1,"0")+IFERROR(Y411*1,"0")</f>
        <v/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2" s="46">
        <f>IFERROR(Y519*1,"0")+IFERROR(Y523*1,"0")+IFERROR(Y524*1,"0")+IFERROR(Y525*1,"0")+IFERROR(Y526*1,"0")+IFERROR(Y527*1,"0")+IFERROR(Y531*1,"0")+IFERROR(Y535*1,"0")</f>
        <v/>
      </c>
      <c r="AA672" s="46">
        <f>IFERROR(Y540*1,"0")+IFERROR(Y541*1,"0")+IFERROR(Y542*1,"0")+IFERROR(Y543*1,"0")</f>
        <v/>
      </c>
      <c r="AB672" s="46">
        <f>IFERROR(Y548*1,"0")</f>
        <v/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/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/>
      </c>
      <c r="AE672" s="46">
        <f>IFERROR(Y646*1,"0")+IFERROR(Y647*1,"0")+IFERROR(Y651*1,"0")+IFERROR(Y655*1,"0")+IFERROR(Y659*1,"0")</f>
        <v/>
      </c>
      <c r="AF672" s="79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dgfadYcyHnDP+6PNCwRhA==" formatRows="1" sort="0" spinCount="100000" hashValue="V8ZBScR4uI5V9kqumJ5dL5ZGy/+ogH7WGB7tr29+nKvFLVTu7wNEZetbU9/z3s/UdGy8wzuO2YLWYb1QHfXqX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6">
    <mergeCell ref="D535:E535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P30:T30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V10:W10"/>
    <mergeCell ref="D195:E195"/>
    <mergeCell ref="P379:T379"/>
    <mergeCell ref="D610:E6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D651:E651"/>
    <mergeCell ref="D67:E67"/>
    <mergeCell ref="D30:E30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D250:E250"/>
    <mergeCell ref="P268:T268"/>
    <mergeCell ref="P230:T230"/>
    <mergeCell ref="D211:E211"/>
    <mergeCell ref="P59:V59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P305:T305"/>
    <mergeCell ref="P596:V596"/>
    <mergeCell ref="A304:Z304"/>
    <mergeCell ref="D96:E96"/>
    <mergeCell ref="P515:V515"/>
    <mergeCell ref="P344:V34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E670:E671"/>
    <mergeCell ref="P606:T606"/>
    <mergeCell ref="D612:E612"/>
    <mergeCell ref="D398:E39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98:V98"/>
    <mergeCell ref="P501:T501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Y669:AB669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627:T627"/>
    <mergeCell ref="P245:T245"/>
    <mergeCell ref="D633:E633"/>
    <mergeCell ref="P543:T543"/>
    <mergeCell ref="D424:E424"/>
    <mergeCell ref="D286:E286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P602:T602"/>
    <mergeCell ref="D285:E285"/>
    <mergeCell ref="D583:E583"/>
    <mergeCell ref="P540:T540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A186:Z186"/>
    <mergeCell ref="P232:T232"/>
    <mergeCell ref="P159:T159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P247:V247"/>
    <mergeCell ref="D206:E206"/>
    <mergeCell ref="A520:O521"/>
    <mergeCell ref="P632:T632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V6:W9"/>
    <mergeCell ref="P256:T256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A90:Z90"/>
    <mergeCell ref="A41:Z41"/>
    <mergeCell ref="D446:E446"/>
    <mergeCell ref="A277:Z277"/>
    <mergeCell ref="P550:V550"/>
    <mergeCell ref="P44:V44"/>
    <mergeCell ref="P237:V237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A528:O529"/>
    <mergeCell ref="P569:T569"/>
    <mergeCell ref="D441:E441"/>
    <mergeCell ref="A515:O516"/>
    <mergeCell ref="P398:T398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G17:G18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A461:Z461"/>
    <mergeCell ref="D288:E288"/>
    <mergeCell ref="AB670:AB671"/>
    <mergeCell ref="D176:E176"/>
    <mergeCell ref="A507:Z507"/>
    <mergeCell ref="P488:T488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D155:E155"/>
    <mergeCell ref="A599:Z599"/>
    <mergeCell ref="D22:E22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D605:E605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P107:T107"/>
    <mergeCell ref="P129:V129"/>
    <mergeCell ref="P101:T101"/>
    <mergeCell ref="A128:O129"/>
    <mergeCell ref="D215:E215"/>
    <mergeCell ref="P576:T576"/>
    <mergeCell ref="A595:O596"/>
    <mergeCell ref="P641:T641"/>
    <mergeCell ref="D513:E513"/>
    <mergeCell ref="D557:E557"/>
    <mergeCell ref="P465:T465"/>
    <mergeCell ref="A103:O104"/>
    <mergeCell ref="D386:E386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V11:W11"/>
    <mergeCell ref="D392:E392"/>
    <mergeCell ref="D221:E221"/>
    <mergeCell ref="P82:T82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D242:E242"/>
    <mergeCell ref="P199:T199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243:T243"/>
    <mergeCell ref="P436:T436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P447:T447"/>
    <mergeCell ref="Y17:Y18"/>
    <mergeCell ref="U17:V17"/>
    <mergeCell ref="D57:E57"/>
    <mergeCell ref="P410:T410"/>
    <mergeCell ref="P372:V372"/>
    <mergeCell ref="P670:P671"/>
    <mergeCell ref="P385:T385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D17:E18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:X52 X71 X78 X109 X12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115 X142 X309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3KKvx+Qar4tZ0QJxtpYeg==" formatRows="1" sort="0" spinCount="100000" hashValue="Lf5jVYPihE81zMIeeoYs5W2IHY5Z4PBG5EjvcXITLGKUl5NPUuMgzFAMY5XaRvrK1k+k8huGHMF8xM8Y+6XBI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2024-12-20T07:30:19Z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