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30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5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682" fillId="0" borderId="0" pivotButton="0" quotePrefix="0" xfId="0"/>
    <xf numFmtId="0" fontId="684" fillId="0" borderId="0" pivotButton="0" quotePrefix="0" xfId="0"/>
    <xf numFmtId="0" fontId="686" fillId="0" borderId="0" pivotButton="0" quotePrefix="0" xfId="0"/>
    <xf numFmtId="0" fontId="68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69" fillId="0" borderId="21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73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75" fillId="0" borderId="21" applyAlignment="1" pivotButton="0" quotePrefix="0" xfId="0">
      <alignment horizontal="left" vertical="center" wrapText="1"/>
    </xf>
    <xf numFmtId="0" fontId="677" fillId="0" borderId="21" applyAlignment="1" pivotButton="0" quotePrefix="0" xfId="0">
      <alignment horizontal="left" vertical="center" wrapText="1"/>
    </xf>
    <xf numFmtId="0" fontId="679" fillId="0" borderId="21" applyAlignment="1" pivotButton="0" quotePrefix="0" xfId="0">
      <alignment horizontal="left" vertical="center" wrapText="1"/>
    </xf>
    <xf numFmtId="0" fontId="681" fillId="0" borderId="21" applyAlignment="1" pivotButton="0" quotePrefix="0" xfId="0">
      <alignment horizontal="left" vertical="center" wrapText="1"/>
    </xf>
    <xf numFmtId="0" fontId="683" fillId="0" borderId="21" applyAlignment="1" pivotButton="0" quotePrefix="0" xfId="0">
      <alignment horizontal="left" vertical="center" wrapText="1"/>
    </xf>
    <xf numFmtId="0" fontId="685" fillId="0" borderId="21" applyAlignment="1" pivotButton="0" quotePrefix="0" xfId="0">
      <alignment horizontal="left" vertical="center" wrapText="1"/>
    </xf>
    <xf numFmtId="0" fontId="68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677" fillId="0" borderId="16" applyAlignment="1" pivotButton="0" quotePrefix="0" xfId="0">
      <alignment horizontal="left" vertical="center" wrapText="1"/>
    </xf>
    <xf numFmtId="0" fontId="679" fillId="0" borderId="16" applyAlignment="1" pivotButton="0" quotePrefix="0" xfId="0">
      <alignment horizontal="left" vertical="center" wrapText="1"/>
    </xf>
    <xf numFmtId="0" fontId="681" fillId="0" borderId="16" applyAlignment="1" pivotButton="0" quotePrefix="0" xfId="0">
      <alignment horizontal="left" vertical="center" wrapText="1"/>
    </xf>
    <xf numFmtId="0" fontId="683" fillId="0" borderId="16" applyAlignment="1" pivotButton="0" quotePrefix="0" xfId="0">
      <alignment horizontal="left" vertical="center" wrapText="1"/>
    </xf>
    <xf numFmtId="0" fontId="685" fillId="0" borderId="16" applyAlignment="1" pivotButton="0" quotePrefix="0" xfId="0">
      <alignment horizontal="left" vertical="center" wrapText="1"/>
    </xf>
    <xf numFmtId="0" fontId="68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7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78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785" min="17" max="17"/>
    <col width="6.140625" customWidth="1" style="785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785" min="23" max="23"/>
    <col width="11" customWidth="1" style="785" min="24" max="24"/>
    <col width="10" customWidth="1" style="785" min="25" max="25"/>
    <col width="11.5703125" customWidth="1" style="785" min="26" max="26"/>
    <col width="10.42578125" customWidth="1" style="785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785" min="31" max="31"/>
    <col width="9.140625" customWidth="1" style="785" min="32" max="16384"/>
  </cols>
  <sheetData>
    <row r="1" ht="45" customFormat="1" customHeight="1" s="435">
      <c r="A1" s="48" t="n"/>
      <c r="B1" s="48" t="n"/>
      <c r="C1" s="48" t="n"/>
      <c r="D1" s="395" t="inlineStr">
        <is>
          <t xml:space="preserve">  БЛАНК ЗАКАЗА </t>
        </is>
      </c>
      <c r="G1" s="14" t="inlineStr">
        <is>
          <t>КИ</t>
        </is>
      </c>
      <c r="H1" s="395" t="inlineStr">
        <is>
          <t>на отгрузку продукции с ООО Трейд-Сервис с</t>
        </is>
      </c>
      <c r="Q1" s="396" t="inlineStr">
        <is>
          <t>10.06.2024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435">
      <c r="A2" s="34" t="inlineStr">
        <is>
          <t>бланк создан</t>
        </is>
      </c>
      <c r="B2" s="35" t="inlineStr">
        <is>
          <t>07.06.2024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85" t="n"/>
      <c r="Q2" s="785" t="n"/>
      <c r="R2" s="785" t="n"/>
      <c r="S2" s="785" t="n"/>
      <c r="T2" s="785" t="n"/>
      <c r="U2" s="785" t="n"/>
      <c r="V2" s="785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43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785" t="n"/>
      <c r="P3" s="785" t="n"/>
      <c r="Q3" s="785" t="n"/>
      <c r="R3" s="785" t="n"/>
      <c r="S3" s="785" t="n"/>
      <c r="T3" s="785" t="n"/>
      <c r="U3" s="785" t="n"/>
      <c r="V3" s="785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43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435">
      <c r="A5" s="399" t="inlineStr">
        <is>
          <t xml:space="preserve">Ваш контактный телефон и имя: </t>
        </is>
      </c>
      <c r="B5" s="789" t="n"/>
      <c r="C5" s="790" t="n"/>
      <c r="D5" s="400" t="n"/>
      <c r="E5" s="791" t="n"/>
      <c r="F5" s="401" t="inlineStr">
        <is>
          <t>Комментарий к заказу:</t>
        </is>
      </c>
      <c r="G5" s="790" t="n"/>
      <c r="H5" s="400" t="n"/>
      <c r="I5" s="792" t="n"/>
      <c r="J5" s="792" t="n"/>
      <c r="K5" s="792" t="n"/>
      <c r="L5" s="791" t="n"/>
      <c r="M5" s="73" t="n"/>
      <c r="O5" s="29" t="inlineStr">
        <is>
          <t>Дата загрузки</t>
        </is>
      </c>
      <c r="P5" s="793" t="n">
        <v>45455</v>
      </c>
      <c r="Q5" s="794" t="n"/>
      <c r="S5" s="404" t="inlineStr">
        <is>
          <t>Способ доставки (доставка/самовывоз)</t>
        </is>
      </c>
      <c r="T5" s="795" t="n"/>
      <c r="U5" s="796" t="inlineStr">
        <is>
          <t>Самовывоз</t>
        </is>
      </c>
      <c r="V5" s="794" t="n"/>
      <c r="AA5" s="60" t="n"/>
      <c r="AB5" s="60" t="n"/>
      <c r="AC5" s="60" t="n"/>
    </row>
    <row r="6" ht="24" customFormat="1" customHeight="1" s="435">
      <c r="A6" s="399" t="inlineStr">
        <is>
          <t>Адрес доставки:</t>
        </is>
      </c>
      <c r="B6" s="789" t="n"/>
      <c r="C6" s="790" t="n"/>
      <c r="D6" s="407" t="inlineStr">
        <is>
          <t>КСК ТРЕЙД, ООО, Крым Респ, Симферополь г, Генерала Васильева ул, д. 44В, литера Ж, пом 5,</t>
        </is>
      </c>
      <c r="E6" s="797" t="n"/>
      <c r="F6" s="797" t="n"/>
      <c r="G6" s="797" t="n"/>
      <c r="H6" s="797" t="n"/>
      <c r="I6" s="797" t="n"/>
      <c r="J6" s="797" t="n"/>
      <c r="K6" s="797" t="n"/>
      <c r="L6" s="794" t="n"/>
      <c r="M6" s="74" t="n"/>
      <c r="O6" s="29" t="inlineStr">
        <is>
          <t>День недели</t>
        </is>
      </c>
      <c r="P6" s="408">
        <f>IF(P5=0," ",CHOOSE(WEEKDAY(P5,2),"Понедельник","Вторник","Среда","Четверг","Пятница","Суббота","Воскресенье"))</f>
        <v/>
      </c>
      <c r="Q6" s="798" t="n"/>
      <c r="S6" s="410" t="inlineStr">
        <is>
          <t>Наименование клиента</t>
        </is>
      </c>
      <c r="T6" s="795" t="n"/>
      <c r="U6" s="799" t="inlineStr">
        <is>
          <t>ОБЩЕСТВО С ОГРАНИЧЕННОЙ ОТВЕТСТВЕННОСТЬЮ "КСК ТРЕЙД"</t>
        </is>
      </c>
      <c r="V6" s="800" t="n"/>
      <c r="AA6" s="60" t="n"/>
      <c r="AB6" s="60" t="n"/>
      <c r="AC6" s="60" t="n"/>
    </row>
    <row r="7" hidden="1" ht="21.75" customFormat="1" customHeight="1" s="435">
      <c r="A7" s="65" t="n"/>
      <c r="B7" s="65" t="n"/>
      <c r="C7" s="65" t="n"/>
      <c r="D7" s="801">
        <f>IFERROR(VLOOKUP(DeliveryAddress,Table,3,0),1)</f>
        <v/>
      </c>
      <c r="E7" s="802" t="n"/>
      <c r="F7" s="802" t="n"/>
      <c r="G7" s="802" t="n"/>
      <c r="H7" s="802" t="n"/>
      <c r="I7" s="802" t="n"/>
      <c r="J7" s="802" t="n"/>
      <c r="K7" s="802" t="n"/>
      <c r="L7" s="788" t="n"/>
      <c r="M7" s="75" t="n"/>
      <c r="O7" s="29" t="n"/>
      <c r="P7" s="49" t="n"/>
      <c r="Q7" s="49" t="n"/>
      <c r="S7" s="785" t="n"/>
      <c r="T7" s="795" t="n"/>
      <c r="U7" s="803" t="n"/>
      <c r="V7" s="804" t="n"/>
      <c r="AA7" s="60" t="n"/>
      <c r="AB7" s="60" t="n"/>
      <c r="AC7" s="60" t="n"/>
    </row>
    <row r="8" ht="25.5" customFormat="1" customHeight="1" s="435">
      <c r="A8" s="420" t="inlineStr">
        <is>
          <t>Адрес сдачи груза:</t>
        </is>
      </c>
      <c r="B8" s="805" t="n"/>
      <c r="C8" s="806" t="n"/>
      <c r="D8" s="421" t="n"/>
      <c r="E8" s="807" t="n"/>
      <c r="F8" s="807" t="n"/>
      <c r="G8" s="807" t="n"/>
      <c r="H8" s="807" t="n"/>
      <c r="I8" s="807" t="n"/>
      <c r="J8" s="807" t="n"/>
      <c r="K8" s="807" t="n"/>
      <c r="L8" s="808" t="n"/>
      <c r="M8" s="76" t="n"/>
      <c r="O8" s="29" t="inlineStr">
        <is>
          <t>Время загрузки</t>
        </is>
      </c>
      <c r="P8" s="422" t="n">
        <v>0.3333333333333333</v>
      </c>
      <c r="Q8" s="788" t="n"/>
      <c r="S8" s="785" t="n"/>
      <c r="T8" s="795" t="n"/>
      <c r="U8" s="803" t="n"/>
      <c r="V8" s="804" t="n"/>
      <c r="AA8" s="60" t="n"/>
      <c r="AB8" s="60" t="n"/>
      <c r="AC8" s="60" t="n"/>
    </row>
    <row r="9" ht="39.95" customFormat="1" customHeight="1" s="435">
      <c r="A9" s="4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 t="n"/>
      <c r="C9" s="785" t="n"/>
      <c r="D9" s="424" t="inlineStr"/>
      <c r="E9" s="3" t="n"/>
      <c r="F9" s="4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 t="n"/>
      <c r="H9" s="4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426" t="n"/>
      <c r="O9" s="31" t="inlineStr">
        <is>
          <t>Дата доставки</t>
        </is>
      </c>
      <c r="P9" s="809" t="n"/>
      <c r="Q9" s="810" t="n"/>
      <c r="S9" s="785" t="n"/>
      <c r="T9" s="795" t="n"/>
      <c r="U9" s="811" t="n"/>
      <c r="V9" s="81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435">
      <c r="A10" s="4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 t="n"/>
      <c r="C10" s="785" t="n"/>
      <c r="D10" s="424" t="n"/>
      <c r="E10" s="3" t="n"/>
      <c r="F10" s="4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 t="n"/>
      <c r="H10" s="428">
        <f>IFERROR(VLOOKUP($D$10,Proxy,2,FALSE),"")</f>
        <v/>
      </c>
      <c r="I10" s="785" t="n"/>
      <c r="J10" s="785" t="n"/>
      <c r="K10" s="785" t="n"/>
      <c r="L10" s="785" t="n"/>
      <c r="M10" s="428" t="n"/>
      <c r="O10" s="31" t="inlineStr">
        <is>
          <t>Время доставки</t>
        </is>
      </c>
      <c r="P10" s="429" t="n"/>
      <c r="Q10" s="813" t="n"/>
      <c r="T10" s="29" t="inlineStr">
        <is>
          <t>КОД Аксапты Клиента</t>
        </is>
      </c>
      <c r="U10" s="814" t="inlineStr">
        <is>
          <t>590943</t>
        </is>
      </c>
      <c r="V10" s="800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43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432" t="n"/>
      <c r="Q11" s="794" t="n"/>
      <c r="T11" s="29" t="inlineStr">
        <is>
          <t>Тип заказа</t>
        </is>
      </c>
      <c r="U11" s="433" t="inlineStr">
        <is>
          <t>Основной заказ</t>
        </is>
      </c>
      <c r="V11" s="81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435">
      <c r="A12" s="434" t="inlineStr">
        <is>
          <t>Телефоны для заказов: 8(919)002-63-01  E-mail: kolbasa@abiproduct.ru  Телефон сотрудников склада: 8 (910) 775-52-91</t>
        </is>
      </c>
      <c r="B12" s="789" t="n"/>
      <c r="C12" s="789" t="n"/>
      <c r="D12" s="789" t="n"/>
      <c r="E12" s="789" t="n"/>
      <c r="F12" s="789" t="n"/>
      <c r="G12" s="789" t="n"/>
      <c r="H12" s="789" t="n"/>
      <c r="I12" s="789" t="n"/>
      <c r="J12" s="789" t="n"/>
      <c r="K12" s="789" t="n"/>
      <c r="L12" s="790" t="n"/>
      <c r="M12" s="77" t="n"/>
      <c r="O12" s="29" t="inlineStr">
        <is>
          <t>Время доставки 3 машины</t>
        </is>
      </c>
      <c r="P12" s="422" t="n"/>
      <c r="Q12" s="788" t="n"/>
      <c r="R12" s="28" t="n"/>
      <c r="T12" s="29" t="inlineStr"/>
      <c r="U12" s="435" t="n"/>
      <c r="V12" s="785" t="n"/>
      <c r="AA12" s="60" t="n"/>
      <c r="AB12" s="60" t="n"/>
      <c r="AC12" s="60" t="n"/>
    </row>
    <row r="13" ht="23.25" customFormat="1" customHeight="1" s="435">
      <c r="A13" s="434" t="inlineStr">
        <is>
          <t>График приема заказов: Заказы принимаются за ДВА дня до отгрузки Пн-Пт: с 9:00 до 14:00, Суб., Вс. - до 12:00</t>
        </is>
      </c>
      <c r="B13" s="789" t="n"/>
      <c r="C13" s="789" t="n"/>
      <c r="D13" s="789" t="n"/>
      <c r="E13" s="789" t="n"/>
      <c r="F13" s="789" t="n"/>
      <c r="G13" s="789" t="n"/>
      <c r="H13" s="789" t="n"/>
      <c r="I13" s="789" t="n"/>
      <c r="J13" s="789" t="n"/>
      <c r="K13" s="789" t="n"/>
      <c r="L13" s="790" t="n"/>
      <c r="M13" s="77" t="n"/>
      <c r="N13" s="31" t="n"/>
      <c r="O13" s="31" t="inlineStr">
        <is>
          <t>Время доставки 4 машины</t>
        </is>
      </c>
      <c r="P13" s="433" t="n"/>
      <c r="Q13" s="81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435">
      <c r="A14" s="434" t="inlineStr">
        <is>
          <t>Телефон менеджера по логистике: 8 (919) 012-30-55 - по вопросам доставки продукции</t>
        </is>
      </c>
      <c r="B14" s="789" t="n"/>
      <c r="C14" s="789" t="n"/>
      <c r="D14" s="789" t="n"/>
      <c r="E14" s="789" t="n"/>
      <c r="F14" s="789" t="n"/>
      <c r="G14" s="789" t="n"/>
      <c r="H14" s="789" t="n"/>
      <c r="I14" s="789" t="n"/>
      <c r="J14" s="789" t="n"/>
      <c r="K14" s="789" t="n"/>
      <c r="L14" s="790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435">
      <c r="A15" s="436" t="inlineStr">
        <is>
          <t>Телефон по работе с претензиями/жалобами (WhatSapp): 8 (980) 757-69-93       E-mail: Claims@abiproduct.ru</t>
        </is>
      </c>
      <c r="B15" s="789" t="n"/>
      <c r="C15" s="789" t="n"/>
      <c r="D15" s="789" t="n"/>
      <c r="E15" s="789" t="n"/>
      <c r="F15" s="789" t="n"/>
      <c r="G15" s="789" t="n"/>
      <c r="H15" s="789" t="n"/>
      <c r="I15" s="789" t="n"/>
      <c r="J15" s="789" t="n"/>
      <c r="K15" s="789" t="n"/>
      <c r="L15" s="790" t="n"/>
      <c r="M15" s="78" t="n"/>
      <c r="O15" s="438" t="inlineStr">
        <is>
          <t>Кликните на продукт, чтобы просмотреть изображение</t>
        </is>
      </c>
      <c r="W15" s="435" t="n"/>
      <c r="X15" s="435" t="n"/>
      <c r="Y15" s="435" t="n"/>
      <c r="Z15" s="435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15" t="n"/>
      <c r="P16" s="815" t="n"/>
      <c r="Q16" s="815" t="n"/>
      <c r="R16" s="815" t="n"/>
      <c r="S16" s="81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440" t="inlineStr">
        <is>
          <t>Код единицы продаж</t>
        </is>
      </c>
      <c r="B17" s="440" t="inlineStr">
        <is>
          <t>Код продукта</t>
        </is>
      </c>
      <c r="C17" s="441" t="inlineStr">
        <is>
          <t>Номер варианта</t>
        </is>
      </c>
      <c r="D17" s="440" t="inlineStr">
        <is>
          <t xml:space="preserve">Штрих-код </t>
        </is>
      </c>
      <c r="E17" s="816" t="n"/>
      <c r="F17" s="440" t="inlineStr">
        <is>
          <t>Вес нетто штуки, кг</t>
        </is>
      </c>
      <c r="G17" s="440" t="inlineStr">
        <is>
          <t>Кол-во штук в коробе, шт</t>
        </is>
      </c>
      <c r="H17" s="440" t="inlineStr">
        <is>
          <t>Вес нетто короба, кг</t>
        </is>
      </c>
      <c r="I17" s="440" t="inlineStr">
        <is>
          <t>Вес брутто короба, кг</t>
        </is>
      </c>
      <c r="J17" s="440" t="inlineStr">
        <is>
          <t>Кол-во кор. на паллте, шт</t>
        </is>
      </c>
      <c r="K17" s="440" t="inlineStr">
        <is>
          <t>Коробок в слое</t>
        </is>
      </c>
      <c r="L17" s="440" t="inlineStr">
        <is>
          <t>Завод</t>
        </is>
      </c>
      <c r="M17" s="440" t="inlineStr">
        <is>
          <t>Внешний код номенклатуры</t>
        </is>
      </c>
      <c r="N17" s="440" t="inlineStr">
        <is>
          <t>Срок годности, сут.</t>
        </is>
      </c>
      <c r="O17" s="440" t="inlineStr">
        <is>
          <t>Наименование</t>
        </is>
      </c>
      <c r="P17" s="817" t="n"/>
      <c r="Q17" s="817" t="n"/>
      <c r="R17" s="817" t="n"/>
      <c r="S17" s="816" t="n"/>
      <c r="T17" s="439" t="inlineStr">
        <is>
          <t>Доступно к отгрузке</t>
        </is>
      </c>
      <c r="U17" s="790" t="n"/>
      <c r="V17" s="440" t="inlineStr">
        <is>
          <t>Ед. изм.</t>
        </is>
      </c>
      <c r="W17" s="440" t="inlineStr">
        <is>
          <t>Заказ</t>
        </is>
      </c>
      <c r="X17" s="444" t="inlineStr">
        <is>
          <t>Заказ с округлением до короба</t>
        </is>
      </c>
      <c r="Y17" s="440" t="inlineStr">
        <is>
          <t>Объём заказа, м3</t>
        </is>
      </c>
      <c r="Z17" s="446" t="inlineStr">
        <is>
          <t>Примечание по продуктку</t>
        </is>
      </c>
      <c r="AA17" s="446" t="inlineStr">
        <is>
          <t>Признак "НОВИНКА"</t>
        </is>
      </c>
      <c r="AB17" s="446" t="inlineStr">
        <is>
          <t>Для формул</t>
        </is>
      </c>
      <c r="AC17" s="818" t="n"/>
      <c r="AD17" s="819" t="n"/>
      <c r="AE17" s="453" t="n"/>
      <c r="BB17" s="454" t="inlineStr">
        <is>
          <t>Вид продукции</t>
        </is>
      </c>
    </row>
    <row r="18" ht="14.25" customHeight="1">
      <c r="A18" s="820" t="n"/>
      <c r="B18" s="820" t="n"/>
      <c r="C18" s="820" t="n"/>
      <c r="D18" s="821" t="n"/>
      <c r="E18" s="822" t="n"/>
      <c r="F18" s="820" t="n"/>
      <c r="G18" s="820" t="n"/>
      <c r="H18" s="820" t="n"/>
      <c r="I18" s="820" t="n"/>
      <c r="J18" s="820" t="n"/>
      <c r="K18" s="820" t="n"/>
      <c r="L18" s="820" t="n"/>
      <c r="M18" s="820" t="n"/>
      <c r="N18" s="820" t="n"/>
      <c r="O18" s="821" t="n"/>
      <c r="P18" s="823" t="n"/>
      <c r="Q18" s="823" t="n"/>
      <c r="R18" s="823" t="n"/>
      <c r="S18" s="822" t="n"/>
      <c r="T18" s="439" t="inlineStr">
        <is>
          <t>начиная с</t>
        </is>
      </c>
      <c r="U18" s="439" t="inlineStr">
        <is>
          <t>до</t>
        </is>
      </c>
      <c r="V18" s="820" t="n"/>
      <c r="W18" s="820" t="n"/>
      <c r="X18" s="824" t="n"/>
      <c r="Y18" s="820" t="n"/>
      <c r="Z18" s="825" t="n"/>
      <c r="AA18" s="825" t="n"/>
      <c r="AB18" s="826" t="n"/>
      <c r="AC18" s="827" t="n"/>
      <c r="AD18" s="828" t="n"/>
      <c r="AE18" s="829" t="n"/>
      <c r="BB18" s="785" t="n"/>
    </row>
    <row r="19" ht="27.75" customHeight="1">
      <c r="A19" s="455" t="inlineStr">
        <is>
          <t>Ядрена копоть</t>
        </is>
      </c>
      <c r="B19" s="830" t="n"/>
      <c r="C19" s="830" t="n"/>
      <c r="D19" s="830" t="n"/>
      <c r="E19" s="830" t="n"/>
      <c r="F19" s="830" t="n"/>
      <c r="G19" s="830" t="n"/>
      <c r="H19" s="830" t="n"/>
      <c r="I19" s="830" t="n"/>
      <c r="J19" s="830" t="n"/>
      <c r="K19" s="830" t="n"/>
      <c r="L19" s="830" t="n"/>
      <c r="M19" s="830" t="n"/>
      <c r="N19" s="830" t="n"/>
      <c r="O19" s="830" t="n"/>
      <c r="P19" s="830" t="n"/>
      <c r="Q19" s="830" t="n"/>
      <c r="R19" s="830" t="n"/>
      <c r="S19" s="830" t="n"/>
      <c r="T19" s="830" t="n"/>
      <c r="U19" s="830" t="n"/>
      <c r="V19" s="830" t="n"/>
      <c r="W19" s="830" t="n"/>
      <c r="X19" s="830" t="n"/>
      <c r="Y19" s="830" t="n"/>
      <c r="Z19" s="55" t="n"/>
      <c r="AA19" s="55" t="n"/>
    </row>
    <row r="20" ht="16.5" customHeight="1">
      <c r="A20" s="456" t="inlineStr">
        <is>
          <t>Ядрена копоть</t>
        </is>
      </c>
      <c r="B20" s="785" t="n"/>
      <c r="C20" s="785" t="n"/>
      <c r="D20" s="785" t="n"/>
      <c r="E20" s="785" t="n"/>
      <c r="F20" s="785" t="n"/>
      <c r="G20" s="785" t="n"/>
      <c r="H20" s="785" t="n"/>
      <c r="I20" s="785" t="n"/>
      <c r="J20" s="785" t="n"/>
      <c r="K20" s="785" t="n"/>
      <c r="L20" s="785" t="n"/>
      <c r="M20" s="785" t="n"/>
      <c r="N20" s="785" t="n"/>
      <c r="O20" s="785" t="n"/>
      <c r="P20" s="785" t="n"/>
      <c r="Q20" s="785" t="n"/>
      <c r="R20" s="785" t="n"/>
      <c r="S20" s="785" t="n"/>
      <c r="T20" s="785" t="n"/>
      <c r="U20" s="785" t="n"/>
      <c r="V20" s="785" t="n"/>
      <c r="W20" s="785" t="n"/>
      <c r="X20" s="785" t="n"/>
      <c r="Y20" s="785" t="n"/>
      <c r="Z20" s="456" t="n"/>
      <c r="AA20" s="456" t="n"/>
    </row>
    <row r="21" ht="14.25" customHeight="1">
      <c r="A21" s="457" t="inlineStr">
        <is>
          <t>Копченые колбасы</t>
        </is>
      </c>
      <c r="B21" s="785" t="n"/>
      <c r="C21" s="785" t="n"/>
      <c r="D21" s="785" t="n"/>
      <c r="E21" s="785" t="n"/>
      <c r="F21" s="785" t="n"/>
      <c r="G21" s="785" t="n"/>
      <c r="H21" s="785" t="n"/>
      <c r="I21" s="785" t="n"/>
      <c r="J21" s="785" t="n"/>
      <c r="K21" s="785" t="n"/>
      <c r="L21" s="785" t="n"/>
      <c r="M21" s="785" t="n"/>
      <c r="N21" s="785" t="n"/>
      <c r="O21" s="785" t="n"/>
      <c r="P21" s="785" t="n"/>
      <c r="Q21" s="785" t="n"/>
      <c r="R21" s="785" t="n"/>
      <c r="S21" s="785" t="n"/>
      <c r="T21" s="785" t="n"/>
      <c r="U21" s="785" t="n"/>
      <c r="V21" s="785" t="n"/>
      <c r="W21" s="785" t="n"/>
      <c r="X21" s="785" t="n"/>
      <c r="Y21" s="785" t="n"/>
      <c r="Z21" s="457" t="n"/>
      <c r="AA21" s="45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58" t="n">
        <v>4607091389258</v>
      </c>
      <c r="E22" s="798" t="n"/>
      <c r="F22" s="831" t="n">
        <v>0.3</v>
      </c>
      <c r="G22" s="38" t="n">
        <v>6</v>
      </c>
      <c r="H22" s="831" t="n">
        <v>1.8</v>
      </c>
      <c r="I22" s="83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3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33" t="n"/>
      <c r="Q22" s="833" t="n"/>
      <c r="R22" s="833" t="n"/>
      <c r="S22" s="798" t="n"/>
      <c r="T22" s="40" t="inlineStr"/>
      <c r="U22" s="40" t="inlineStr"/>
      <c r="V22" s="41" t="inlineStr">
        <is>
          <t>кг</t>
        </is>
      </c>
      <c r="W22" s="834" t="n">
        <v>0</v>
      </c>
      <c r="X22" s="835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58" t="n">
        <v>4680115885004</v>
      </c>
      <c r="E23" s="798" t="n"/>
      <c r="F23" s="831" t="n">
        <v>0.16</v>
      </c>
      <c r="G23" s="38" t="n">
        <v>10</v>
      </c>
      <c r="H23" s="831" t="n">
        <v>1.6</v>
      </c>
      <c r="I23" s="83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36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33" t="n"/>
      <c r="Q23" s="833" t="n"/>
      <c r="R23" s="833" t="n"/>
      <c r="S23" s="798" t="n"/>
      <c r="T23" s="40" t="inlineStr"/>
      <c r="U23" s="40" t="inlineStr"/>
      <c r="V23" s="41" t="inlineStr">
        <is>
          <t>кг</t>
        </is>
      </c>
      <c r="W23" s="834" t="n">
        <v>0</v>
      </c>
      <c r="X23" s="835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67" t="n"/>
      <c r="B24" s="785" t="n"/>
      <c r="C24" s="785" t="n"/>
      <c r="D24" s="785" t="n"/>
      <c r="E24" s="785" t="n"/>
      <c r="F24" s="785" t="n"/>
      <c r="G24" s="785" t="n"/>
      <c r="H24" s="785" t="n"/>
      <c r="I24" s="785" t="n"/>
      <c r="J24" s="785" t="n"/>
      <c r="K24" s="785" t="n"/>
      <c r="L24" s="785" t="n"/>
      <c r="M24" s="785" t="n"/>
      <c r="N24" s="837" t="n"/>
      <c r="O24" s="838" t="inlineStr">
        <is>
          <t>Итого</t>
        </is>
      </c>
      <c r="P24" s="805" t="n"/>
      <c r="Q24" s="805" t="n"/>
      <c r="R24" s="805" t="n"/>
      <c r="S24" s="805" t="n"/>
      <c r="T24" s="805" t="n"/>
      <c r="U24" s="806" t="n"/>
      <c r="V24" s="43" t="inlineStr">
        <is>
          <t>кор</t>
        </is>
      </c>
      <c r="W24" s="839">
        <f>IFERROR(W22/H22,"0")+IFERROR(W23/H23,"0")</f>
        <v/>
      </c>
      <c r="X24" s="839">
        <f>IFERROR(X22/H22,"0")+IFERROR(X23/H23,"0")</f>
        <v/>
      </c>
      <c r="Y24" s="839">
        <f>IFERROR(IF(Y22="",0,Y22),"0")+IFERROR(IF(Y23="",0,Y23),"0")</f>
        <v/>
      </c>
      <c r="Z24" s="840" t="n"/>
      <c r="AA24" s="840" t="n"/>
    </row>
    <row r="25">
      <c r="A25" s="785" t="n"/>
      <c r="B25" s="785" t="n"/>
      <c r="C25" s="785" t="n"/>
      <c r="D25" s="785" t="n"/>
      <c r="E25" s="785" t="n"/>
      <c r="F25" s="785" t="n"/>
      <c r="G25" s="785" t="n"/>
      <c r="H25" s="785" t="n"/>
      <c r="I25" s="785" t="n"/>
      <c r="J25" s="785" t="n"/>
      <c r="K25" s="785" t="n"/>
      <c r="L25" s="785" t="n"/>
      <c r="M25" s="785" t="n"/>
      <c r="N25" s="837" t="n"/>
      <c r="O25" s="838" t="inlineStr">
        <is>
          <t>Итого</t>
        </is>
      </c>
      <c r="P25" s="805" t="n"/>
      <c r="Q25" s="805" t="n"/>
      <c r="R25" s="805" t="n"/>
      <c r="S25" s="805" t="n"/>
      <c r="T25" s="805" t="n"/>
      <c r="U25" s="806" t="n"/>
      <c r="V25" s="43" t="inlineStr">
        <is>
          <t>кг</t>
        </is>
      </c>
      <c r="W25" s="839">
        <f>IFERROR(SUM(W22:W23),"0")</f>
        <v/>
      </c>
      <c r="X25" s="839">
        <f>IFERROR(SUM(X22:X23),"0")</f>
        <v/>
      </c>
      <c r="Y25" s="43" t="n"/>
      <c r="Z25" s="840" t="n"/>
      <c r="AA25" s="840" t="n"/>
    </row>
    <row r="26" ht="14.25" customHeight="1">
      <c r="A26" s="457" t="inlineStr">
        <is>
          <t>Сосиски</t>
        </is>
      </c>
      <c r="B26" s="785" t="n"/>
      <c r="C26" s="785" t="n"/>
      <c r="D26" s="785" t="n"/>
      <c r="E26" s="785" t="n"/>
      <c r="F26" s="785" t="n"/>
      <c r="G26" s="785" t="n"/>
      <c r="H26" s="785" t="n"/>
      <c r="I26" s="785" t="n"/>
      <c r="J26" s="785" t="n"/>
      <c r="K26" s="785" t="n"/>
      <c r="L26" s="785" t="n"/>
      <c r="M26" s="785" t="n"/>
      <c r="N26" s="785" t="n"/>
      <c r="O26" s="785" t="n"/>
      <c r="P26" s="785" t="n"/>
      <c r="Q26" s="785" t="n"/>
      <c r="R26" s="785" t="n"/>
      <c r="S26" s="785" t="n"/>
      <c r="T26" s="785" t="n"/>
      <c r="U26" s="785" t="n"/>
      <c r="V26" s="785" t="n"/>
      <c r="W26" s="785" t="n"/>
      <c r="X26" s="785" t="n"/>
      <c r="Y26" s="785" t="n"/>
      <c r="Z26" s="457" t="n"/>
      <c r="AA26" s="457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58" t="n">
        <v>4607091383881</v>
      </c>
      <c r="E27" s="798" t="n"/>
      <c r="F27" s="831" t="n">
        <v>0.33</v>
      </c>
      <c r="G27" s="38" t="n">
        <v>6</v>
      </c>
      <c r="H27" s="831" t="n">
        <v>1.98</v>
      </c>
      <c r="I27" s="83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41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33" t="n"/>
      <c r="Q27" s="833" t="n"/>
      <c r="R27" s="833" t="n"/>
      <c r="S27" s="798" t="n"/>
      <c r="T27" s="40" t="inlineStr"/>
      <c r="U27" s="40" t="inlineStr"/>
      <c r="V27" s="41" t="inlineStr">
        <is>
          <t>кг</t>
        </is>
      </c>
      <c r="W27" s="834" t="n">
        <v>0</v>
      </c>
      <c r="X27" s="835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58" t="n">
        <v>4607091388237</v>
      </c>
      <c r="E28" s="798" t="n"/>
      <c r="F28" s="831" t="n">
        <v>0.42</v>
      </c>
      <c r="G28" s="38" t="n">
        <v>6</v>
      </c>
      <c r="H28" s="831" t="n">
        <v>2.52</v>
      </c>
      <c r="I28" s="83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4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33" t="n"/>
      <c r="Q28" s="833" t="n"/>
      <c r="R28" s="833" t="n"/>
      <c r="S28" s="798" t="n"/>
      <c r="T28" s="40" t="inlineStr"/>
      <c r="U28" s="40" t="inlineStr"/>
      <c r="V28" s="41" t="inlineStr">
        <is>
          <t>кг</t>
        </is>
      </c>
      <c r="W28" s="834" t="n">
        <v>0</v>
      </c>
      <c r="X28" s="835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58" t="n">
        <v>4607091383935</v>
      </c>
      <c r="E29" s="798" t="n"/>
      <c r="F29" s="831" t="n">
        <v>0.33</v>
      </c>
      <c r="G29" s="38" t="n">
        <v>6</v>
      </c>
      <c r="H29" s="831" t="n">
        <v>1.98</v>
      </c>
      <c r="I29" s="83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43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833" t="n"/>
      <c r="Q29" s="833" t="n"/>
      <c r="R29" s="833" t="n"/>
      <c r="S29" s="798" t="n"/>
      <c r="T29" s="40" t="inlineStr"/>
      <c r="U29" s="40" t="inlineStr"/>
      <c r="V29" s="41" t="inlineStr">
        <is>
          <t>кг</t>
        </is>
      </c>
      <c r="W29" s="834" t="n">
        <v>0</v>
      </c>
      <c r="X29" s="835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458" t="n">
        <v>4607091383935</v>
      </c>
      <c r="E30" s="798" t="n"/>
      <c r="F30" s="831" t="n">
        <v>0.33</v>
      </c>
      <c r="G30" s="38" t="n">
        <v>6</v>
      </c>
      <c r="H30" s="831" t="n">
        <v>1.98</v>
      </c>
      <c r="I30" s="83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4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833" t="n"/>
      <c r="Q30" s="833" t="n"/>
      <c r="R30" s="833" t="n"/>
      <c r="S30" s="798" t="n"/>
      <c r="T30" s="40" t="inlineStr"/>
      <c r="U30" s="40" t="inlineStr"/>
      <c r="V30" s="41" t="inlineStr">
        <is>
          <t>кг</t>
        </is>
      </c>
      <c r="W30" s="834" t="n">
        <v>0</v>
      </c>
      <c r="X30" s="835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458" t="n">
        <v>4680115881853</v>
      </c>
      <c r="E31" s="798" t="n"/>
      <c r="F31" s="831" t="n">
        <v>0.33</v>
      </c>
      <c r="G31" s="38" t="n">
        <v>6</v>
      </c>
      <c r="H31" s="831" t="n">
        <v>1.98</v>
      </c>
      <c r="I31" s="83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4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33" t="n"/>
      <c r="Q31" s="833" t="n"/>
      <c r="R31" s="833" t="n"/>
      <c r="S31" s="798" t="n"/>
      <c r="T31" s="40" t="inlineStr"/>
      <c r="U31" s="40" t="inlineStr"/>
      <c r="V31" s="41" t="inlineStr">
        <is>
          <t>кг</t>
        </is>
      </c>
      <c r="W31" s="834" t="n">
        <v>0</v>
      </c>
      <c r="X31" s="835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58" t="n">
        <v>4607091383911</v>
      </c>
      <c r="E32" s="798" t="n"/>
      <c r="F32" s="831" t="n">
        <v>0.33</v>
      </c>
      <c r="G32" s="38" t="n">
        <v>6</v>
      </c>
      <c r="H32" s="831" t="n">
        <v>1.98</v>
      </c>
      <c r="I32" s="83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46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33" t="n"/>
      <c r="Q32" s="833" t="n"/>
      <c r="R32" s="833" t="n"/>
      <c r="S32" s="798" t="n"/>
      <c r="T32" s="40" t="inlineStr"/>
      <c r="U32" s="40" t="inlineStr"/>
      <c r="V32" s="41" t="inlineStr">
        <is>
          <t>кг</t>
        </is>
      </c>
      <c r="W32" s="834" t="n">
        <v>0</v>
      </c>
      <c r="X32" s="835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58" t="n">
        <v>4607091388244</v>
      </c>
      <c r="E33" s="798" t="n"/>
      <c r="F33" s="831" t="n">
        <v>0.42</v>
      </c>
      <c r="G33" s="38" t="n">
        <v>6</v>
      </c>
      <c r="H33" s="831" t="n">
        <v>2.52</v>
      </c>
      <c r="I33" s="83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47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33" t="n"/>
      <c r="Q33" s="833" t="n"/>
      <c r="R33" s="833" t="n"/>
      <c r="S33" s="798" t="n"/>
      <c r="T33" s="40" t="inlineStr"/>
      <c r="U33" s="40" t="inlineStr"/>
      <c r="V33" s="41" t="inlineStr">
        <is>
          <t>кг</t>
        </is>
      </c>
      <c r="W33" s="834" t="n">
        <v>0</v>
      </c>
      <c r="X33" s="835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467" t="n"/>
      <c r="B34" s="785" t="n"/>
      <c r="C34" s="785" t="n"/>
      <c r="D34" s="785" t="n"/>
      <c r="E34" s="785" t="n"/>
      <c r="F34" s="785" t="n"/>
      <c r="G34" s="785" t="n"/>
      <c r="H34" s="785" t="n"/>
      <c r="I34" s="785" t="n"/>
      <c r="J34" s="785" t="n"/>
      <c r="K34" s="785" t="n"/>
      <c r="L34" s="785" t="n"/>
      <c r="M34" s="785" t="n"/>
      <c r="N34" s="837" t="n"/>
      <c r="O34" s="838" t="inlineStr">
        <is>
          <t>Итого</t>
        </is>
      </c>
      <c r="P34" s="805" t="n"/>
      <c r="Q34" s="805" t="n"/>
      <c r="R34" s="805" t="n"/>
      <c r="S34" s="805" t="n"/>
      <c r="T34" s="805" t="n"/>
      <c r="U34" s="806" t="n"/>
      <c r="V34" s="43" t="inlineStr">
        <is>
          <t>кор</t>
        </is>
      </c>
      <c r="W34" s="839">
        <f>IFERROR(W27/H27,"0")+IFERROR(W28/H28,"0")+IFERROR(W29/H29,"0")+IFERROR(W30/H30,"0")+IFERROR(W31/H31,"0")+IFERROR(W32/H32,"0")+IFERROR(W33/H33,"0")</f>
        <v/>
      </c>
      <c r="X34" s="839">
        <f>IFERROR(X27/H27,"0")+IFERROR(X28/H28,"0")+IFERROR(X29/H29,"0")+IFERROR(X30/H30,"0")+IFERROR(X31/H31,"0")+IFERROR(X32/H32,"0")+IFERROR(X33/H33,"0")</f>
        <v/>
      </c>
      <c r="Y34" s="839">
        <f>IFERROR(IF(Y27="",0,Y27),"0")+IFERROR(IF(Y28="",0,Y28),"0")+IFERROR(IF(Y29="",0,Y29),"0")+IFERROR(IF(Y30="",0,Y30),"0")+IFERROR(IF(Y31="",0,Y31),"0")+IFERROR(IF(Y32="",0,Y32),"0")+IFERROR(IF(Y33="",0,Y33),"0")</f>
        <v/>
      </c>
      <c r="Z34" s="840" t="n"/>
      <c r="AA34" s="840" t="n"/>
    </row>
    <row r="35">
      <c r="A35" s="785" t="n"/>
      <c r="B35" s="785" t="n"/>
      <c r="C35" s="785" t="n"/>
      <c r="D35" s="785" t="n"/>
      <c r="E35" s="785" t="n"/>
      <c r="F35" s="785" t="n"/>
      <c r="G35" s="785" t="n"/>
      <c r="H35" s="785" t="n"/>
      <c r="I35" s="785" t="n"/>
      <c r="J35" s="785" t="n"/>
      <c r="K35" s="785" t="n"/>
      <c r="L35" s="785" t="n"/>
      <c r="M35" s="785" t="n"/>
      <c r="N35" s="837" t="n"/>
      <c r="O35" s="838" t="inlineStr">
        <is>
          <t>Итого</t>
        </is>
      </c>
      <c r="P35" s="805" t="n"/>
      <c r="Q35" s="805" t="n"/>
      <c r="R35" s="805" t="n"/>
      <c r="S35" s="805" t="n"/>
      <c r="T35" s="805" t="n"/>
      <c r="U35" s="806" t="n"/>
      <c r="V35" s="43" t="inlineStr">
        <is>
          <t>кг</t>
        </is>
      </c>
      <c r="W35" s="839">
        <f>IFERROR(SUM(W27:W33),"0")</f>
        <v/>
      </c>
      <c r="X35" s="839">
        <f>IFERROR(SUM(X27:X33),"0")</f>
        <v/>
      </c>
      <c r="Y35" s="43" t="n"/>
      <c r="Z35" s="840" t="n"/>
      <c r="AA35" s="840" t="n"/>
    </row>
    <row r="36" ht="14.25" customHeight="1">
      <c r="A36" s="457" t="inlineStr">
        <is>
          <t>Сырокопченые колбасы</t>
        </is>
      </c>
      <c r="B36" s="785" t="n"/>
      <c r="C36" s="785" t="n"/>
      <c r="D36" s="785" t="n"/>
      <c r="E36" s="785" t="n"/>
      <c r="F36" s="785" t="n"/>
      <c r="G36" s="785" t="n"/>
      <c r="H36" s="785" t="n"/>
      <c r="I36" s="785" t="n"/>
      <c r="J36" s="785" t="n"/>
      <c r="K36" s="785" t="n"/>
      <c r="L36" s="785" t="n"/>
      <c r="M36" s="785" t="n"/>
      <c r="N36" s="785" t="n"/>
      <c r="O36" s="785" t="n"/>
      <c r="P36" s="785" t="n"/>
      <c r="Q36" s="785" t="n"/>
      <c r="R36" s="785" t="n"/>
      <c r="S36" s="785" t="n"/>
      <c r="T36" s="785" t="n"/>
      <c r="U36" s="785" t="n"/>
      <c r="V36" s="785" t="n"/>
      <c r="W36" s="785" t="n"/>
      <c r="X36" s="785" t="n"/>
      <c r="Y36" s="785" t="n"/>
      <c r="Z36" s="457" t="n"/>
      <c r="AA36" s="457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58" t="n">
        <v>4607091388503</v>
      </c>
      <c r="E37" s="798" t="n"/>
      <c r="F37" s="831" t="n">
        <v>0.05</v>
      </c>
      <c r="G37" s="38" t="n">
        <v>12</v>
      </c>
      <c r="H37" s="831" t="n">
        <v>0.6</v>
      </c>
      <c r="I37" s="83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4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33" t="n"/>
      <c r="Q37" s="833" t="n"/>
      <c r="R37" s="833" t="n"/>
      <c r="S37" s="798" t="n"/>
      <c r="T37" s="40" t="inlineStr"/>
      <c r="U37" s="40" t="inlineStr"/>
      <c r="V37" s="41" t="inlineStr">
        <is>
          <t>кг</t>
        </is>
      </c>
      <c r="W37" s="834" t="n">
        <v>0</v>
      </c>
      <c r="X37" s="835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467" t="n"/>
      <c r="B38" s="785" t="n"/>
      <c r="C38" s="785" t="n"/>
      <c r="D38" s="785" t="n"/>
      <c r="E38" s="785" t="n"/>
      <c r="F38" s="785" t="n"/>
      <c r="G38" s="785" t="n"/>
      <c r="H38" s="785" t="n"/>
      <c r="I38" s="785" t="n"/>
      <c r="J38" s="785" t="n"/>
      <c r="K38" s="785" t="n"/>
      <c r="L38" s="785" t="n"/>
      <c r="M38" s="785" t="n"/>
      <c r="N38" s="837" t="n"/>
      <c r="O38" s="838" t="inlineStr">
        <is>
          <t>Итого</t>
        </is>
      </c>
      <c r="P38" s="805" t="n"/>
      <c r="Q38" s="805" t="n"/>
      <c r="R38" s="805" t="n"/>
      <c r="S38" s="805" t="n"/>
      <c r="T38" s="805" t="n"/>
      <c r="U38" s="806" t="n"/>
      <c r="V38" s="43" t="inlineStr">
        <is>
          <t>кор</t>
        </is>
      </c>
      <c r="W38" s="839">
        <f>IFERROR(W37/H37,"0")</f>
        <v/>
      </c>
      <c r="X38" s="839">
        <f>IFERROR(X37/H37,"0")</f>
        <v/>
      </c>
      <c r="Y38" s="839">
        <f>IFERROR(IF(Y37="",0,Y37),"0")</f>
        <v/>
      </c>
      <c r="Z38" s="840" t="n"/>
      <c r="AA38" s="840" t="n"/>
    </row>
    <row r="39">
      <c r="A39" s="785" t="n"/>
      <c r="B39" s="785" t="n"/>
      <c r="C39" s="785" t="n"/>
      <c r="D39" s="785" t="n"/>
      <c r="E39" s="785" t="n"/>
      <c r="F39" s="785" t="n"/>
      <c r="G39" s="785" t="n"/>
      <c r="H39" s="785" t="n"/>
      <c r="I39" s="785" t="n"/>
      <c r="J39" s="785" t="n"/>
      <c r="K39" s="785" t="n"/>
      <c r="L39" s="785" t="n"/>
      <c r="M39" s="785" t="n"/>
      <c r="N39" s="837" t="n"/>
      <c r="O39" s="838" t="inlineStr">
        <is>
          <t>Итого</t>
        </is>
      </c>
      <c r="P39" s="805" t="n"/>
      <c r="Q39" s="805" t="n"/>
      <c r="R39" s="805" t="n"/>
      <c r="S39" s="805" t="n"/>
      <c r="T39" s="805" t="n"/>
      <c r="U39" s="806" t="n"/>
      <c r="V39" s="43" t="inlineStr">
        <is>
          <t>кг</t>
        </is>
      </c>
      <c r="W39" s="839">
        <f>IFERROR(SUM(W37:W37),"0")</f>
        <v/>
      </c>
      <c r="X39" s="839">
        <f>IFERROR(SUM(X37:X37),"0")</f>
        <v/>
      </c>
      <c r="Y39" s="43" t="n"/>
      <c r="Z39" s="840" t="n"/>
      <c r="AA39" s="840" t="n"/>
    </row>
    <row r="40" ht="14.25" customHeight="1">
      <c r="A40" s="457" t="inlineStr">
        <is>
          <t>Продукты из мяса птицы копчено-вареные</t>
        </is>
      </c>
      <c r="B40" s="785" t="n"/>
      <c r="C40" s="785" t="n"/>
      <c r="D40" s="785" t="n"/>
      <c r="E40" s="785" t="n"/>
      <c r="F40" s="785" t="n"/>
      <c r="G40" s="785" t="n"/>
      <c r="H40" s="785" t="n"/>
      <c r="I40" s="785" t="n"/>
      <c r="J40" s="785" t="n"/>
      <c r="K40" s="785" t="n"/>
      <c r="L40" s="785" t="n"/>
      <c r="M40" s="785" t="n"/>
      <c r="N40" s="785" t="n"/>
      <c r="O40" s="785" t="n"/>
      <c r="P40" s="785" t="n"/>
      <c r="Q40" s="785" t="n"/>
      <c r="R40" s="785" t="n"/>
      <c r="S40" s="785" t="n"/>
      <c r="T40" s="785" t="n"/>
      <c r="U40" s="785" t="n"/>
      <c r="V40" s="785" t="n"/>
      <c r="W40" s="785" t="n"/>
      <c r="X40" s="785" t="n"/>
      <c r="Y40" s="785" t="n"/>
      <c r="Z40" s="457" t="n"/>
      <c r="AA40" s="457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58" t="n">
        <v>4607091388282</v>
      </c>
      <c r="E41" s="798" t="n"/>
      <c r="F41" s="831" t="n">
        <v>0.3</v>
      </c>
      <c r="G41" s="38" t="n">
        <v>6</v>
      </c>
      <c r="H41" s="831" t="n">
        <v>1.8</v>
      </c>
      <c r="I41" s="83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4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33" t="n"/>
      <c r="Q41" s="833" t="n"/>
      <c r="R41" s="833" t="n"/>
      <c r="S41" s="798" t="n"/>
      <c r="T41" s="40" t="inlineStr"/>
      <c r="U41" s="40" t="inlineStr"/>
      <c r="V41" s="41" t="inlineStr">
        <is>
          <t>кг</t>
        </is>
      </c>
      <c r="W41" s="834" t="n">
        <v>0</v>
      </c>
      <c r="X41" s="835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467" t="n"/>
      <c r="B42" s="785" t="n"/>
      <c r="C42" s="785" t="n"/>
      <c r="D42" s="785" t="n"/>
      <c r="E42" s="785" t="n"/>
      <c r="F42" s="785" t="n"/>
      <c r="G42" s="785" t="n"/>
      <c r="H42" s="785" t="n"/>
      <c r="I42" s="785" t="n"/>
      <c r="J42" s="785" t="n"/>
      <c r="K42" s="785" t="n"/>
      <c r="L42" s="785" t="n"/>
      <c r="M42" s="785" t="n"/>
      <c r="N42" s="837" t="n"/>
      <c r="O42" s="838" t="inlineStr">
        <is>
          <t>Итого</t>
        </is>
      </c>
      <c r="P42" s="805" t="n"/>
      <c r="Q42" s="805" t="n"/>
      <c r="R42" s="805" t="n"/>
      <c r="S42" s="805" t="n"/>
      <c r="T42" s="805" t="n"/>
      <c r="U42" s="806" t="n"/>
      <c r="V42" s="43" t="inlineStr">
        <is>
          <t>кор</t>
        </is>
      </c>
      <c r="W42" s="839">
        <f>IFERROR(W41/H41,"0")</f>
        <v/>
      </c>
      <c r="X42" s="839">
        <f>IFERROR(X41/H41,"0")</f>
        <v/>
      </c>
      <c r="Y42" s="839">
        <f>IFERROR(IF(Y41="",0,Y41),"0")</f>
        <v/>
      </c>
      <c r="Z42" s="840" t="n"/>
      <c r="AA42" s="840" t="n"/>
    </row>
    <row r="43">
      <c r="A43" s="785" t="n"/>
      <c r="B43" s="785" t="n"/>
      <c r="C43" s="785" t="n"/>
      <c r="D43" s="785" t="n"/>
      <c r="E43" s="785" t="n"/>
      <c r="F43" s="785" t="n"/>
      <c r="G43" s="785" t="n"/>
      <c r="H43" s="785" t="n"/>
      <c r="I43" s="785" t="n"/>
      <c r="J43" s="785" t="n"/>
      <c r="K43" s="785" t="n"/>
      <c r="L43" s="785" t="n"/>
      <c r="M43" s="785" t="n"/>
      <c r="N43" s="837" t="n"/>
      <c r="O43" s="838" t="inlineStr">
        <is>
          <t>Итого</t>
        </is>
      </c>
      <c r="P43" s="805" t="n"/>
      <c r="Q43" s="805" t="n"/>
      <c r="R43" s="805" t="n"/>
      <c r="S43" s="805" t="n"/>
      <c r="T43" s="805" t="n"/>
      <c r="U43" s="806" t="n"/>
      <c r="V43" s="43" t="inlineStr">
        <is>
          <t>кг</t>
        </is>
      </c>
      <c r="W43" s="839">
        <f>IFERROR(SUM(W41:W41),"0")</f>
        <v/>
      </c>
      <c r="X43" s="839">
        <f>IFERROR(SUM(X41:X41),"0")</f>
        <v/>
      </c>
      <c r="Y43" s="43" t="n"/>
      <c r="Z43" s="840" t="n"/>
      <c r="AA43" s="840" t="n"/>
    </row>
    <row r="44" ht="27.75" customHeight="1">
      <c r="A44" s="455" t="inlineStr">
        <is>
          <t>Вязанка</t>
        </is>
      </c>
      <c r="B44" s="830" t="n"/>
      <c r="C44" s="830" t="n"/>
      <c r="D44" s="830" t="n"/>
      <c r="E44" s="830" t="n"/>
      <c r="F44" s="830" t="n"/>
      <c r="G44" s="830" t="n"/>
      <c r="H44" s="830" t="n"/>
      <c r="I44" s="830" t="n"/>
      <c r="J44" s="830" t="n"/>
      <c r="K44" s="830" t="n"/>
      <c r="L44" s="830" t="n"/>
      <c r="M44" s="830" t="n"/>
      <c r="N44" s="830" t="n"/>
      <c r="O44" s="830" t="n"/>
      <c r="P44" s="830" t="n"/>
      <c r="Q44" s="830" t="n"/>
      <c r="R44" s="830" t="n"/>
      <c r="S44" s="830" t="n"/>
      <c r="T44" s="830" t="n"/>
      <c r="U44" s="830" t="n"/>
      <c r="V44" s="830" t="n"/>
      <c r="W44" s="830" t="n"/>
      <c r="X44" s="830" t="n"/>
      <c r="Y44" s="830" t="n"/>
      <c r="Z44" s="55" t="n"/>
      <c r="AA44" s="55" t="n"/>
    </row>
    <row r="45" ht="16.5" customHeight="1">
      <c r="A45" s="456" t="inlineStr">
        <is>
          <t>Столичная</t>
        </is>
      </c>
      <c r="B45" s="785" t="n"/>
      <c r="C45" s="785" t="n"/>
      <c r="D45" s="785" t="n"/>
      <c r="E45" s="785" t="n"/>
      <c r="F45" s="785" t="n"/>
      <c r="G45" s="785" t="n"/>
      <c r="H45" s="785" t="n"/>
      <c r="I45" s="785" t="n"/>
      <c r="J45" s="785" t="n"/>
      <c r="K45" s="785" t="n"/>
      <c r="L45" s="785" t="n"/>
      <c r="M45" s="785" t="n"/>
      <c r="N45" s="785" t="n"/>
      <c r="O45" s="785" t="n"/>
      <c r="P45" s="785" t="n"/>
      <c r="Q45" s="785" t="n"/>
      <c r="R45" s="785" t="n"/>
      <c r="S45" s="785" t="n"/>
      <c r="T45" s="785" t="n"/>
      <c r="U45" s="785" t="n"/>
      <c r="V45" s="785" t="n"/>
      <c r="W45" s="785" t="n"/>
      <c r="X45" s="785" t="n"/>
      <c r="Y45" s="785" t="n"/>
      <c r="Z45" s="456" t="n"/>
      <c r="AA45" s="456" t="n"/>
    </row>
    <row r="46" ht="14.25" customHeight="1">
      <c r="A46" s="457" t="inlineStr">
        <is>
          <t>Ветчины</t>
        </is>
      </c>
      <c r="B46" s="785" t="n"/>
      <c r="C46" s="785" t="n"/>
      <c r="D46" s="785" t="n"/>
      <c r="E46" s="785" t="n"/>
      <c r="F46" s="785" t="n"/>
      <c r="G46" s="785" t="n"/>
      <c r="H46" s="785" t="n"/>
      <c r="I46" s="785" t="n"/>
      <c r="J46" s="785" t="n"/>
      <c r="K46" s="785" t="n"/>
      <c r="L46" s="785" t="n"/>
      <c r="M46" s="785" t="n"/>
      <c r="N46" s="785" t="n"/>
      <c r="O46" s="785" t="n"/>
      <c r="P46" s="785" t="n"/>
      <c r="Q46" s="785" t="n"/>
      <c r="R46" s="785" t="n"/>
      <c r="S46" s="785" t="n"/>
      <c r="T46" s="785" t="n"/>
      <c r="U46" s="785" t="n"/>
      <c r="V46" s="785" t="n"/>
      <c r="W46" s="785" t="n"/>
      <c r="X46" s="785" t="n"/>
      <c r="Y46" s="785" t="n"/>
      <c r="Z46" s="457" t="n"/>
      <c r="AA46" s="457" t="n"/>
    </row>
    <row r="47" ht="27" customHeight="1">
      <c r="A47" s="64" t="inlineStr">
        <is>
          <t>SU002828</t>
        </is>
      </c>
      <c r="B47" s="64" t="inlineStr">
        <is>
          <t>P003234</t>
        </is>
      </c>
      <c r="C47" s="37" t="n">
        <v>4301020234</v>
      </c>
      <c r="D47" s="458" t="n">
        <v>4680115881440</v>
      </c>
      <c r="E47" s="798" t="n"/>
      <c r="F47" s="831" t="n">
        <v>1.35</v>
      </c>
      <c r="G47" s="38" t="n">
        <v>8</v>
      </c>
      <c r="H47" s="831" t="n">
        <v>10.8</v>
      </c>
      <c r="I47" s="831" t="n">
        <v>11.28</v>
      </c>
      <c r="J47" s="38" t="n">
        <v>56</v>
      </c>
      <c r="K47" s="38" t="inlineStr">
        <is>
          <t>8</t>
        </is>
      </c>
      <c r="L47" s="39" t="inlineStr">
        <is>
          <t>СК1</t>
        </is>
      </c>
      <c r="M47" s="39" t="n"/>
      <c r="N47" s="38" t="n">
        <v>50</v>
      </c>
      <c r="O47" s="850">
        <f>HYPERLINK("https://abi.ru/products/Охлажденные/Вязанка/Столичная/Ветчины/P003234/","Ветчины «Филейская» Весовые Вектор ТМ «Вязанка»")</f>
        <v/>
      </c>
      <c r="P47" s="833" t="n"/>
      <c r="Q47" s="833" t="n"/>
      <c r="R47" s="833" t="n"/>
      <c r="S47" s="798" t="n"/>
      <c r="T47" s="40" t="inlineStr"/>
      <c r="U47" s="40" t="inlineStr"/>
      <c r="V47" s="41" t="inlineStr">
        <is>
          <t>кг</t>
        </is>
      </c>
      <c r="W47" s="834" t="n">
        <v>0</v>
      </c>
      <c r="X47" s="835">
        <f>IFERROR(IF(W47="",0,CEILING((W47/$H47),1)*$H47),"")</f>
        <v/>
      </c>
      <c r="Y47" s="42">
        <f>IFERROR(IF(X47=0,"",ROUNDUP(X47/H47,0)*0.02175),"")</f>
        <v/>
      </c>
      <c r="Z47" s="69" t="inlineStr"/>
      <c r="AA47" s="70" t="inlineStr"/>
      <c r="AE47" s="80" t="n"/>
      <c r="BB47" s="92" t="inlineStr">
        <is>
          <t>КИ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 ht="27" customHeight="1">
      <c r="A48" s="64" t="inlineStr">
        <is>
          <t>SU002814</t>
        </is>
      </c>
      <c r="B48" s="64" t="inlineStr">
        <is>
          <t>P003226</t>
        </is>
      </c>
      <c r="C48" s="37" t="n">
        <v>4301020232</v>
      </c>
      <c r="D48" s="458" t="n">
        <v>4680115881433</v>
      </c>
      <c r="E48" s="798" t="n"/>
      <c r="F48" s="831" t="n">
        <v>0.45</v>
      </c>
      <c r="G48" s="38" t="n">
        <v>6</v>
      </c>
      <c r="H48" s="831" t="n">
        <v>2.7</v>
      </c>
      <c r="I48" s="831" t="n">
        <v>2.9</v>
      </c>
      <c r="J48" s="38" t="n">
        <v>156</v>
      </c>
      <c r="K48" s="38" t="inlineStr">
        <is>
          <t>12</t>
        </is>
      </c>
      <c r="L48" s="39" t="inlineStr">
        <is>
          <t>СК1</t>
        </is>
      </c>
      <c r="M48" s="39" t="n"/>
      <c r="N48" s="38" t="n">
        <v>50</v>
      </c>
      <c r="O48" s="851">
        <f>HYPERLINK("https://abi.ru/products/Охлажденные/Вязанка/Столичная/Ветчины/P003226/","Ветчины «Филейская» Фикс.вес 0,45 Вектор ТМ «Вязанка»")</f>
        <v/>
      </c>
      <c r="P48" s="833" t="n"/>
      <c r="Q48" s="833" t="n"/>
      <c r="R48" s="833" t="n"/>
      <c r="S48" s="798" t="n"/>
      <c r="T48" s="40" t="inlineStr"/>
      <c r="U48" s="40" t="inlineStr"/>
      <c r="V48" s="41" t="inlineStr">
        <is>
          <t>кг</t>
        </is>
      </c>
      <c r="W48" s="834" t="n">
        <v>0</v>
      </c>
      <c r="X48" s="835">
        <f>IFERROR(IF(W48="",0,CEILING((W48/$H48),1)*$H48),"")</f>
        <v/>
      </c>
      <c r="Y48" s="42">
        <f>IFERROR(IF(X48=0,"",ROUNDUP(X48/H48,0)*0.00753),"")</f>
        <v/>
      </c>
      <c r="Z48" s="69" t="inlineStr"/>
      <c r="AA48" s="70" t="inlineStr"/>
      <c r="AE48" s="80" t="n"/>
      <c r="BB48" s="93" t="inlineStr">
        <is>
          <t>КИ</t>
        </is>
      </c>
      <c r="BL48" s="80">
        <f>IFERROR(W48*I48/H48,"0")</f>
        <v/>
      </c>
      <c r="BM48" s="80">
        <f>IFERROR(X48*I48/H48,"0")</f>
        <v/>
      </c>
      <c r="BN48" s="80">
        <f>IFERROR(1/J48*(W48/H48),"0")</f>
        <v/>
      </c>
      <c r="BO48" s="80">
        <f>IFERROR(1/J48*(X48/H48),"0")</f>
        <v/>
      </c>
    </row>
    <row r="49">
      <c r="A49" s="467" t="n"/>
      <c r="B49" s="785" t="n"/>
      <c r="C49" s="785" t="n"/>
      <c r="D49" s="785" t="n"/>
      <c r="E49" s="785" t="n"/>
      <c r="F49" s="785" t="n"/>
      <c r="G49" s="785" t="n"/>
      <c r="H49" s="785" t="n"/>
      <c r="I49" s="785" t="n"/>
      <c r="J49" s="785" t="n"/>
      <c r="K49" s="785" t="n"/>
      <c r="L49" s="785" t="n"/>
      <c r="M49" s="785" t="n"/>
      <c r="N49" s="837" t="n"/>
      <c r="O49" s="838" t="inlineStr">
        <is>
          <t>Итого</t>
        </is>
      </c>
      <c r="P49" s="805" t="n"/>
      <c r="Q49" s="805" t="n"/>
      <c r="R49" s="805" t="n"/>
      <c r="S49" s="805" t="n"/>
      <c r="T49" s="805" t="n"/>
      <c r="U49" s="806" t="n"/>
      <c r="V49" s="43" t="inlineStr">
        <is>
          <t>кор</t>
        </is>
      </c>
      <c r="W49" s="839">
        <f>IFERROR(W47/H47,"0")+IFERROR(W48/H48,"0")</f>
        <v/>
      </c>
      <c r="X49" s="839">
        <f>IFERROR(X47/H47,"0")+IFERROR(X48/H48,"0")</f>
        <v/>
      </c>
      <c r="Y49" s="839">
        <f>IFERROR(IF(Y47="",0,Y47),"0")+IFERROR(IF(Y48="",0,Y48),"0")</f>
        <v/>
      </c>
      <c r="Z49" s="840" t="n"/>
      <c r="AA49" s="840" t="n"/>
    </row>
    <row r="50">
      <c r="A50" s="785" t="n"/>
      <c r="B50" s="785" t="n"/>
      <c r="C50" s="785" t="n"/>
      <c r="D50" s="785" t="n"/>
      <c r="E50" s="785" t="n"/>
      <c r="F50" s="785" t="n"/>
      <c r="G50" s="785" t="n"/>
      <c r="H50" s="785" t="n"/>
      <c r="I50" s="785" t="n"/>
      <c r="J50" s="785" t="n"/>
      <c r="K50" s="785" t="n"/>
      <c r="L50" s="785" t="n"/>
      <c r="M50" s="785" t="n"/>
      <c r="N50" s="837" t="n"/>
      <c r="O50" s="838" t="inlineStr">
        <is>
          <t>Итого</t>
        </is>
      </c>
      <c r="P50" s="805" t="n"/>
      <c r="Q50" s="805" t="n"/>
      <c r="R50" s="805" t="n"/>
      <c r="S50" s="805" t="n"/>
      <c r="T50" s="805" t="n"/>
      <c r="U50" s="806" t="n"/>
      <c r="V50" s="43" t="inlineStr">
        <is>
          <t>кг</t>
        </is>
      </c>
      <c r="W50" s="839">
        <f>IFERROR(SUM(W47:W48),"0")</f>
        <v/>
      </c>
      <c r="X50" s="839">
        <f>IFERROR(SUM(X47:X48),"0")</f>
        <v/>
      </c>
      <c r="Y50" s="43" t="n"/>
      <c r="Z50" s="840" t="n"/>
      <c r="AA50" s="840" t="n"/>
    </row>
    <row r="51" ht="16.5" customHeight="1">
      <c r="A51" s="456" t="inlineStr">
        <is>
          <t>Классическая</t>
        </is>
      </c>
      <c r="B51" s="785" t="n"/>
      <c r="C51" s="785" t="n"/>
      <c r="D51" s="785" t="n"/>
      <c r="E51" s="785" t="n"/>
      <c r="F51" s="785" t="n"/>
      <c r="G51" s="785" t="n"/>
      <c r="H51" s="785" t="n"/>
      <c r="I51" s="785" t="n"/>
      <c r="J51" s="785" t="n"/>
      <c r="K51" s="785" t="n"/>
      <c r="L51" s="785" t="n"/>
      <c r="M51" s="785" t="n"/>
      <c r="N51" s="785" t="n"/>
      <c r="O51" s="785" t="n"/>
      <c r="P51" s="785" t="n"/>
      <c r="Q51" s="785" t="n"/>
      <c r="R51" s="785" t="n"/>
      <c r="S51" s="785" t="n"/>
      <c r="T51" s="785" t="n"/>
      <c r="U51" s="785" t="n"/>
      <c r="V51" s="785" t="n"/>
      <c r="W51" s="785" t="n"/>
      <c r="X51" s="785" t="n"/>
      <c r="Y51" s="785" t="n"/>
      <c r="Z51" s="456" t="n"/>
      <c r="AA51" s="456" t="n"/>
    </row>
    <row r="52" ht="14.25" customHeight="1">
      <c r="A52" s="457" t="inlineStr">
        <is>
          <t>Вареные колбасы</t>
        </is>
      </c>
      <c r="B52" s="785" t="n"/>
      <c r="C52" s="785" t="n"/>
      <c r="D52" s="785" t="n"/>
      <c r="E52" s="785" t="n"/>
      <c r="F52" s="785" t="n"/>
      <c r="G52" s="785" t="n"/>
      <c r="H52" s="785" t="n"/>
      <c r="I52" s="785" t="n"/>
      <c r="J52" s="785" t="n"/>
      <c r="K52" s="785" t="n"/>
      <c r="L52" s="785" t="n"/>
      <c r="M52" s="785" t="n"/>
      <c r="N52" s="785" t="n"/>
      <c r="O52" s="785" t="n"/>
      <c r="P52" s="785" t="n"/>
      <c r="Q52" s="785" t="n"/>
      <c r="R52" s="785" t="n"/>
      <c r="S52" s="785" t="n"/>
      <c r="T52" s="785" t="n"/>
      <c r="U52" s="785" t="n"/>
      <c r="V52" s="785" t="n"/>
      <c r="W52" s="785" t="n"/>
      <c r="X52" s="785" t="n"/>
      <c r="Y52" s="785" t="n"/>
      <c r="Z52" s="457" t="n"/>
      <c r="AA52" s="457" t="n"/>
    </row>
    <row r="53" ht="27" customHeight="1">
      <c r="A53" s="64" t="inlineStr">
        <is>
          <t>SU002829</t>
        </is>
      </c>
      <c r="B53" s="64" t="inlineStr">
        <is>
          <t>P003235</t>
        </is>
      </c>
      <c r="C53" s="37" t="n">
        <v>4301011452</v>
      </c>
      <c r="D53" s="458" t="n">
        <v>4680115881426</v>
      </c>
      <c r="E53" s="798" t="n"/>
      <c r="F53" s="831" t="n">
        <v>1.35</v>
      </c>
      <c r="G53" s="38" t="n">
        <v>8</v>
      </c>
      <c r="H53" s="831" t="n">
        <v>10.8</v>
      </c>
      <c r="I53" s="831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5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3" s="833" t="n"/>
      <c r="Q53" s="833" t="n"/>
      <c r="R53" s="833" t="n"/>
      <c r="S53" s="798" t="n"/>
      <c r="T53" s="40" t="inlineStr"/>
      <c r="U53" s="40" t="inlineStr"/>
      <c r="V53" s="41" t="inlineStr">
        <is>
          <t>кг</t>
        </is>
      </c>
      <c r="W53" s="834" t="n">
        <v>0</v>
      </c>
      <c r="X53" s="835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4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SU002829</t>
        </is>
      </c>
      <c r="B54" s="64" t="inlineStr">
        <is>
          <t>P003298</t>
        </is>
      </c>
      <c r="C54" s="37" t="n">
        <v>4301011481</v>
      </c>
      <c r="D54" s="458" t="n">
        <v>4680115881426</v>
      </c>
      <c r="E54" s="798" t="n"/>
      <c r="F54" s="831" t="n">
        <v>1.35</v>
      </c>
      <c r="G54" s="38" t="n">
        <v>8</v>
      </c>
      <c r="H54" s="831" t="n">
        <v>10.8</v>
      </c>
      <c r="I54" s="831" t="n">
        <v>11.28</v>
      </c>
      <c r="J54" s="38" t="n">
        <v>48</v>
      </c>
      <c r="K54" s="38" t="inlineStr">
        <is>
          <t>8</t>
        </is>
      </c>
      <c r="L54" s="39" t="inlineStr">
        <is>
          <t>ВЗ</t>
        </is>
      </c>
      <c r="M54" s="39" t="n"/>
      <c r="N54" s="38" t="n">
        <v>55</v>
      </c>
      <c r="O54" s="85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4" s="833" t="n"/>
      <c r="Q54" s="833" t="n"/>
      <c r="R54" s="833" t="n"/>
      <c r="S54" s="798" t="n"/>
      <c r="T54" s="40" t="inlineStr"/>
      <c r="U54" s="40" t="inlineStr"/>
      <c r="V54" s="41" t="inlineStr">
        <is>
          <t>кг</t>
        </is>
      </c>
      <c r="W54" s="834" t="n">
        <v>0</v>
      </c>
      <c r="X54" s="835">
        <f>IFERROR(IF(W54="",0,CEILING((W54/$H54),1)*$H54),"")</f>
        <v/>
      </c>
      <c r="Y54" s="42">
        <f>IFERROR(IF(X54=0,"",ROUNDUP(X54/H54,0)*0.02039),"")</f>
        <v/>
      </c>
      <c r="Z54" s="69" t="inlineStr"/>
      <c r="AA54" s="70" t="inlineStr"/>
      <c r="AE54" s="80" t="n"/>
      <c r="BB54" s="95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 ht="27" customHeight="1">
      <c r="A55" s="64" t="inlineStr">
        <is>
          <t>SU002815</t>
        </is>
      </c>
      <c r="B55" s="64" t="inlineStr">
        <is>
          <t>P003227</t>
        </is>
      </c>
      <c r="C55" s="37" t="n">
        <v>4301011437</v>
      </c>
      <c r="D55" s="458" t="n">
        <v>4680115881419</v>
      </c>
      <c r="E55" s="798" t="n"/>
      <c r="F55" s="831" t="n">
        <v>0.45</v>
      </c>
      <c r="G55" s="38" t="n">
        <v>10</v>
      </c>
      <c r="H55" s="831" t="n">
        <v>4.5</v>
      </c>
      <c r="I55" s="831" t="n">
        <v>4.74</v>
      </c>
      <c r="J55" s="38" t="n">
        <v>120</v>
      </c>
      <c r="K55" s="38" t="inlineStr">
        <is>
          <t>12</t>
        </is>
      </c>
      <c r="L55" s="39" t="inlineStr">
        <is>
          <t>СК1</t>
        </is>
      </c>
      <c r="M55" s="39" t="n"/>
      <c r="N55" s="38" t="n">
        <v>50</v>
      </c>
      <c r="O55" s="85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5" s="833" t="n"/>
      <c r="Q55" s="833" t="n"/>
      <c r="R55" s="833" t="n"/>
      <c r="S55" s="798" t="n"/>
      <c r="T55" s="40" t="inlineStr"/>
      <c r="U55" s="40" t="inlineStr"/>
      <c r="V55" s="41" t="inlineStr">
        <is>
          <t>кг</t>
        </is>
      </c>
      <c r="W55" s="834" t="n">
        <v>0</v>
      </c>
      <c r="X55" s="835">
        <f>IFERROR(IF(W55="",0,CEILING((W55/$H55),1)*$H55),"")</f>
        <v/>
      </c>
      <c r="Y55" s="42">
        <f>IFERROR(IF(X55=0,"",ROUNDUP(X55/H55,0)*0.00937),"")</f>
        <v/>
      </c>
      <c r="Z55" s="69" t="inlineStr"/>
      <c r="AA55" s="70" t="inlineStr"/>
      <c r="AE55" s="80" t="n"/>
      <c r="BB55" s="96" t="inlineStr">
        <is>
          <t>КИ</t>
        </is>
      </c>
      <c r="BL55" s="80">
        <f>IFERROR(W55*I55/H55,"0")</f>
        <v/>
      </c>
      <c r="BM55" s="80">
        <f>IFERROR(X55*I55/H55,"0")</f>
        <v/>
      </c>
      <c r="BN55" s="80">
        <f>IFERROR(1/J55*(W55/H55),"0")</f>
        <v/>
      </c>
      <c r="BO55" s="80">
        <f>IFERROR(1/J55*(X55/H55),"0")</f>
        <v/>
      </c>
    </row>
    <row r="56" ht="27" customHeight="1">
      <c r="A56" s="64" t="inlineStr">
        <is>
          <t>SU002831</t>
        </is>
      </c>
      <c r="B56" s="64" t="inlineStr">
        <is>
          <t>P003243</t>
        </is>
      </c>
      <c r="C56" s="37" t="n">
        <v>4301011458</v>
      </c>
      <c r="D56" s="458" t="n">
        <v>4680115881525</v>
      </c>
      <c r="E56" s="798" t="n"/>
      <c r="F56" s="831" t="n">
        <v>0.4</v>
      </c>
      <c r="G56" s="38" t="n">
        <v>10</v>
      </c>
      <c r="H56" s="831" t="n">
        <v>4</v>
      </c>
      <c r="I56" s="831" t="n">
        <v>4.24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9" t="n"/>
      <c r="N56" s="38" t="n">
        <v>50</v>
      </c>
      <c r="O56" s="855" t="inlineStr">
        <is>
          <t>Колбаса вареная Филейская ТМ Вязанка ТС Классическая полиамид ф/в 0,4 кг</t>
        </is>
      </c>
      <c r="P56" s="833" t="n"/>
      <c r="Q56" s="833" t="n"/>
      <c r="R56" s="833" t="n"/>
      <c r="S56" s="798" t="n"/>
      <c r="T56" s="40" t="inlineStr"/>
      <c r="U56" s="40" t="inlineStr"/>
      <c r="V56" s="41" t="inlineStr">
        <is>
          <t>кг</t>
        </is>
      </c>
      <c r="W56" s="834" t="n">
        <v>0</v>
      </c>
      <c r="X56" s="835">
        <f>IFERROR(IF(W56="",0,CEILING((W56/$H56),1)*$H56),"")</f>
        <v/>
      </c>
      <c r="Y56" s="42">
        <f>IFERROR(IF(X56=0,"",ROUNDUP(X56/H56,0)*0.00937),"")</f>
        <v/>
      </c>
      <c r="Z56" s="69" t="inlineStr"/>
      <c r="AA56" s="70" t="inlineStr"/>
      <c r="AE56" s="80" t="n"/>
      <c r="BB56" s="97" t="inlineStr">
        <is>
          <t>КИ</t>
        </is>
      </c>
      <c r="BL56" s="80">
        <f>IFERROR(W56*I56/H56,"0")</f>
        <v/>
      </c>
      <c r="BM56" s="80">
        <f>IFERROR(X56*I56/H56,"0")</f>
        <v/>
      </c>
      <c r="BN56" s="80">
        <f>IFERROR(1/J56*(W56/H56),"0")</f>
        <v/>
      </c>
      <c r="BO56" s="80">
        <f>IFERROR(1/J56*(X56/H56),"0")</f>
        <v/>
      </c>
    </row>
    <row r="57">
      <c r="A57" s="467" t="n"/>
      <c r="B57" s="785" t="n"/>
      <c r="C57" s="785" t="n"/>
      <c r="D57" s="785" t="n"/>
      <c r="E57" s="785" t="n"/>
      <c r="F57" s="785" t="n"/>
      <c r="G57" s="785" t="n"/>
      <c r="H57" s="785" t="n"/>
      <c r="I57" s="785" t="n"/>
      <c r="J57" s="785" t="n"/>
      <c r="K57" s="785" t="n"/>
      <c r="L57" s="785" t="n"/>
      <c r="M57" s="785" t="n"/>
      <c r="N57" s="837" t="n"/>
      <c r="O57" s="838" t="inlineStr">
        <is>
          <t>Итого</t>
        </is>
      </c>
      <c r="P57" s="805" t="n"/>
      <c r="Q57" s="805" t="n"/>
      <c r="R57" s="805" t="n"/>
      <c r="S57" s="805" t="n"/>
      <c r="T57" s="805" t="n"/>
      <c r="U57" s="806" t="n"/>
      <c r="V57" s="43" t="inlineStr">
        <is>
          <t>кор</t>
        </is>
      </c>
      <c r="W57" s="839">
        <f>IFERROR(W53/H53,"0")+IFERROR(W54/H54,"0")+IFERROR(W55/H55,"0")+IFERROR(W56/H56,"0")</f>
        <v/>
      </c>
      <c r="X57" s="839">
        <f>IFERROR(X53/H53,"0")+IFERROR(X54/H54,"0")+IFERROR(X55/H55,"0")+IFERROR(X56/H56,"0")</f>
        <v/>
      </c>
      <c r="Y57" s="839">
        <f>IFERROR(IF(Y53="",0,Y53),"0")+IFERROR(IF(Y54="",0,Y54),"0")+IFERROR(IF(Y55="",0,Y55),"0")+IFERROR(IF(Y56="",0,Y56),"0")</f>
        <v/>
      </c>
      <c r="Z57" s="840" t="n"/>
      <c r="AA57" s="840" t="n"/>
    </row>
    <row r="58">
      <c r="A58" s="785" t="n"/>
      <c r="B58" s="785" t="n"/>
      <c r="C58" s="785" t="n"/>
      <c r="D58" s="785" t="n"/>
      <c r="E58" s="785" t="n"/>
      <c r="F58" s="785" t="n"/>
      <c r="G58" s="785" t="n"/>
      <c r="H58" s="785" t="n"/>
      <c r="I58" s="785" t="n"/>
      <c r="J58" s="785" t="n"/>
      <c r="K58" s="785" t="n"/>
      <c r="L58" s="785" t="n"/>
      <c r="M58" s="785" t="n"/>
      <c r="N58" s="837" t="n"/>
      <c r="O58" s="838" t="inlineStr">
        <is>
          <t>Итого</t>
        </is>
      </c>
      <c r="P58" s="805" t="n"/>
      <c r="Q58" s="805" t="n"/>
      <c r="R58" s="805" t="n"/>
      <c r="S58" s="805" t="n"/>
      <c r="T58" s="805" t="n"/>
      <c r="U58" s="806" t="n"/>
      <c r="V58" s="43" t="inlineStr">
        <is>
          <t>кг</t>
        </is>
      </c>
      <c r="W58" s="839">
        <f>IFERROR(SUM(W53:W56),"0")</f>
        <v/>
      </c>
      <c r="X58" s="839">
        <f>IFERROR(SUM(X53:X56),"0")</f>
        <v/>
      </c>
      <c r="Y58" s="43" t="n"/>
      <c r="Z58" s="840" t="n"/>
      <c r="AA58" s="840" t="n"/>
    </row>
    <row r="59" ht="16.5" customHeight="1">
      <c r="A59" s="456" t="inlineStr">
        <is>
          <t>Вязанка</t>
        </is>
      </c>
      <c r="B59" s="785" t="n"/>
      <c r="C59" s="785" t="n"/>
      <c r="D59" s="785" t="n"/>
      <c r="E59" s="785" t="n"/>
      <c r="F59" s="785" t="n"/>
      <c r="G59" s="785" t="n"/>
      <c r="H59" s="785" t="n"/>
      <c r="I59" s="785" t="n"/>
      <c r="J59" s="785" t="n"/>
      <c r="K59" s="785" t="n"/>
      <c r="L59" s="785" t="n"/>
      <c r="M59" s="785" t="n"/>
      <c r="N59" s="785" t="n"/>
      <c r="O59" s="785" t="n"/>
      <c r="P59" s="785" t="n"/>
      <c r="Q59" s="785" t="n"/>
      <c r="R59" s="785" t="n"/>
      <c r="S59" s="785" t="n"/>
      <c r="T59" s="785" t="n"/>
      <c r="U59" s="785" t="n"/>
      <c r="V59" s="785" t="n"/>
      <c r="W59" s="785" t="n"/>
      <c r="X59" s="785" t="n"/>
      <c r="Y59" s="785" t="n"/>
      <c r="Z59" s="456" t="n"/>
      <c r="AA59" s="456" t="n"/>
    </row>
    <row r="60" ht="14.25" customHeight="1">
      <c r="A60" s="457" t="inlineStr">
        <is>
          <t>Вареные колбасы</t>
        </is>
      </c>
      <c r="B60" s="785" t="n"/>
      <c r="C60" s="785" t="n"/>
      <c r="D60" s="785" t="n"/>
      <c r="E60" s="785" t="n"/>
      <c r="F60" s="785" t="n"/>
      <c r="G60" s="785" t="n"/>
      <c r="H60" s="785" t="n"/>
      <c r="I60" s="785" t="n"/>
      <c r="J60" s="785" t="n"/>
      <c r="K60" s="785" t="n"/>
      <c r="L60" s="785" t="n"/>
      <c r="M60" s="785" t="n"/>
      <c r="N60" s="785" t="n"/>
      <c r="O60" s="785" t="n"/>
      <c r="P60" s="785" t="n"/>
      <c r="Q60" s="785" t="n"/>
      <c r="R60" s="785" t="n"/>
      <c r="S60" s="785" t="n"/>
      <c r="T60" s="785" t="n"/>
      <c r="U60" s="785" t="n"/>
      <c r="V60" s="785" t="n"/>
      <c r="W60" s="785" t="n"/>
      <c r="X60" s="785" t="n"/>
      <c r="Y60" s="785" t="n"/>
      <c r="Z60" s="457" t="n"/>
      <c r="AA60" s="457" t="n"/>
    </row>
    <row r="61" ht="27" customHeight="1">
      <c r="A61" s="64" t="inlineStr">
        <is>
          <t>SU000124</t>
        </is>
      </c>
      <c r="B61" s="64" t="inlineStr">
        <is>
          <t>P003690</t>
        </is>
      </c>
      <c r="C61" s="37" t="n">
        <v>4301011623</v>
      </c>
      <c r="D61" s="458" t="n">
        <v>4607091382945</v>
      </c>
      <c r="E61" s="798" t="n"/>
      <c r="F61" s="831" t="n">
        <v>1.4</v>
      </c>
      <c r="G61" s="38" t="n">
        <v>8</v>
      </c>
      <c r="H61" s="831" t="n">
        <v>11.2</v>
      </c>
      <c r="I61" s="831" t="n">
        <v>11.68</v>
      </c>
      <c r="J61" s="38" t="n">
        <v>56</v>
      </c>
      <c r="K61" s="38" t="inlineStr">
        <is>
          <t>8</t>
        </is>
      </c>
      <c r="L61" s="39" t="inlineStr">
        <is>
          <t>СК1</t>
        </is>
      </c>
      <c r="M61" s="39" t="n"/>
      <c r="N61" s="38" t="n">
        <v>50</v>
      </c>
      <c r="O61" s="85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1" s="833" t="n"/>
      <c r="Q61" s="833" t="n"/>
      <c r="R61" s="833" t="n"/>
      <c r="S61" s="798" t="n"/>
      <c r="T61" s="40" t="inlineStr"/>
      <c r="U61" s="40" t="inlineStr"/>
      <c r="V61" s="41" t="inlineStr">
        <is>
          <t>кг</t>
        </is>
      </c>
      <c r="W61" s="834" t="n">
        <v>0</v>
      </c>
      <c r="X61" s="835">
        <f>IFERROR(IF(W61="",0,CEILING((W61/$H61),1)*$H61),"")</f>
        <v/>
      </c>
      <c r="Y61" s="42">
        <f>IFERROR(IF(X61=0,"",ROUNDUP(X61/H61,0)*0.02175),"")</f>
        <v/>
      </c>
      <c r="Z61" s="69" t="inlineStr"/>
      <c r="AA61" s="70" t="inlineStr"/>
      <c r="AE61" s="80" t="n"/>
      <c r="BB61" s="98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SU000722</t>
        </is>
      </c>
      <c r="B62" s="64" t="inlineStr">
        <is>
          <t>P003011</t>
        </is>
      </c>
      <c r="C62" s="37" t="n">
        <v>4301011380</v>
      </c>
      <c r="D62" s="458" t="n">
        <v>4607091385670</v>
      </c>
      <c r="E62" s="798" t="n"/>
      <c r="F62" s="831" t="n">
        <v>1.35</v>
      </c>
      <c r="G62" s="38" t="n">
        <v>8</v>
      </c>
      <c r="H62" s="831" t="n">
        <v>10.8</v>
      </c>
      <c r="I62" s="831" t="n">
        <v>11.28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9" t="n"/>
      <c r="N62" s="38" t="n">
        <v>50</v>
      </c>
      <c r="O62" s="85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2" s="833" t="n"/>
      <c r="Q62" s="833" t="n"/>
      <c r="R62" s="833" t="n"/>
      <c r="S62" s="798" t="n"/>
      <c r="T62" s="40" t="inlineStr"/>
      <c r="U62" s="40" t="inlineStr"/>
      <c r="V62" s="41" t="inlineStr">
        <is>
          <t>кг</t>
        </is>
      </c>
      <c r="W62" s="834" t="n">
        <v>0</v>
      </c>
      <c r="X62" s="835">
        <f>IFERROR(IF(W62="",0,CEILING((W62/$H62),1)*$H62),"")</f>
        <v/>
      </c>
      <c r="Y62" s="42">
        <f>IFERROR(IF(X62=0,"",ROUNDUP(X62/H62,0)*0.02175),"")</f>
        <v/>
      </c>
      <c r="Z62" s="69" t="inlineStr"/>
      <c r="AA62" s="70" t="inlineStr"/>
      <c r="AE62" s="80" t="n"/>
      <c r="BB62" s="99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458" t="n">
        <v>4607091385670</v>
      </c>
      <c r="E63" s="798" t="n"/>
      <c r="F63" s="831" t="n">
        <v>1.4</v>
      </c>
      <c r="G63" s="38" t="n">
        <v>8</v>
      </c>
      <c r="H63" s="831" t="n">
        <v>11.2</v>
      </c>
      <c r="I63" s="83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9" t="n"/>
      <c r="N63" s="38" t="n">
        <v>50</v>
      </c>
      <c r="O63" s="85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3" s="833" t="n"/>
      <c r="Q63" s="833" t="n"/>
      <c r="R63" s="833" t="n"/>
      <c r="S63" s="798" t="n"/>
      <c r="T63" s="40" t="inlineStr"/>
      <c r="U63" s="40" t="inlineStr"/>
      <c r="V63" s="41" t="inlineStr">
        <is>
          <t>кг</t>
        </is>
      </c>
      <c r="W63" s="834" t="n">
        <v>0</v>
      </c>
      <c r="X63" s="835">
        <f>IFERROR(IF(W63="",0,CEILING((W63/$H63),1)*$H63),"")</f>
        <v/>
      </c>
      <c r="Y63" s="42">
        <f>IFERROR(IF(X63=0,"",ROUNDUP(X63/H63,0)*0.02175),"")</f>
        <v/>
      </c>
      <c r="Z63" s="69" t="inlineStr"/>
      <c r="AA63" s="70" t="inlineStr"/>
      <c r="AE63" s="80" t="n"/>
      <c r="BB63" s="100" t="inlineStr">
        <is>
          <t>КИ</t>
        </is>
      </c>
      <c r="BL63" s="80">
        <f>IFERROR(W63*I63/H63,"0")</f>
        <v/>
      </c>
      <c r="BM63" s="80">
        <f>IFERROR(X63*I63/H63,"0")</f>
        <v/>
      </c>
      <c r="BN63" s="80">
        <f>IFERROR(1/J63*(W63/H63),"0")</f>
        <v/>
      </c>
      <c r="BO63" s="80">
        <f>IFERROR(1/J63*(X63/H63),"0")</f>
        <v/>
      </c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458" t="n">
        <v>4680115883956</v>
      </c>
      <c r="E64" s="798" t="n"/>
      <c r="F64" s="831" t="n">
        <v>1.4</v>
      </c>
      <c r="G64" s="38" t="n">
        <v>8</v>
      </c>
      <c r="H64" s="831" t="n">
        <v>11.2</v>
      </c>
      <c r="I64" s="831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9" t="n"/>
      <c r="N64" s="38" t="n">
        <v>50</v>
      </c>
      <c r="O64" s="859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4" s="833" t="n"/>
      <c r="Q64" s="833" t="n"/>
      <c r="R64" s="833" t="n"/>
      <c r="S64" s="798" t="n"/>
      <c r="T64" s="40" t="inlineStr"/>
      <c r="U64" s="40" t="inlineStr"/>
      <c r="V64" s="41" t="inlineStr">
        <is>
          <t>кг</t>
        </is>
      </c>
      <c r="W64" s="834" t="n">
        <v>0</v>
      </c>
      <c r="X64" s="835">
        <f>IFERROR(IF(W64="",0,CEILING((W64/$H64),1)*$H64),"")</f>
        <v/>
      </c>
      <c r="Y64" s="42">
        <f>IFERROR(IF(X64=0,"",ROUNDUP(X64/H64,0)*0.02175),"")</f>
        <v/>
      </c>
      <c r="Z64" s="69" t="inlineStr"/>
      <c r="AA64" s="70" t="inlineStr"/>
      <c r="AE64" s="80" t="n"/>
      <c r="BB64" s="101" t="inlineStr">
        <is>
          <t>КИ</t>
        </is>
      </c>
      <c r="BL64" s="80">
        <f>IFERROR(W64*I64/H64,"0")</f>
        <v/>
      </c>
      <c r="BM64" s="80">
        <f>IFERROR(X64*I64/H64,"0")</f>
        <v/>
      </c>
      <c r="BN64" s="80">
        <f>IFERROR(1/J64*(W64/H64),"0")</f>
        <v/>
      </c>
      <c r="BO64" s="80">
        <f>IFERROR(1/J64*(X64/H64),"0")</f>
        <v/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458" t="n">
        <v>4680115881327</v>
      </c>
      <c r="E65" s="798" t="n"/>
      <c r="F65" s="831" t="n">
        <v>1.35</v>
      </c>
      <c r="G65" s="38" t="n">
        <v>8</v>
      </c>
      <c r="H65" s="831" t="n">
        <v>10.8</v>
      </c>
      <c r="I65" s="83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9" t="n"/>
      <c r="N65" s="38" t="n">
        <v>50</v>
      </c>
      <c r="O65" s="860">
        <f>HYPERLINK("https://abi.ru/products/Охлажденные/Вязанка/Вязанка/Вареные колбасы/P003239/","Вареные колбасы Молокуша Вязанка Вес п/а Вязанка")</f>
        <v/>
      </c>
      <c r="P65" s="833" t="n"/>
      <c r="Q65" s="833" t="n"/>
      <c r="R65" s="833" t="n"/>
      <c r="S65" s="798" t="n"/>
      <c r="T65" s="40" t="inlineStr"/>
      <c r="U65" s="40" t="inlineStr"/>
      <c r="V65" s="41" t="inlineStr">
        <is>
          <t>кг</t>
        </is>
      </c>
      <c r="W65" s="834" t="n">
        <v>0</v>
      </c>
      <c r="X65" s="835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102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458" t="n">
        <v>4680115882133</v>
      </c>
      <c r="E66" s="798" t="n"/>
      <c r="F66" s="831" t="n">
        <v>1.4</v>
      </c>
      <c r="G66" s="38" t="n">
        <v>8</v>
      </c>
      <c r="H66" s="831" t="n">
        <v>11.2</v>
      </c>
      <c r="I66" s="83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61">
        <f>HYPERLINK("https://abi.ru/products/Охлажденные/Вязанка/Вязанка/Вареные колбасы/P003902/","Вареные колбасы «Сливушка» Вес П/а ТМ «Вязанка»")</f>
        <v/>
      </c>
      <c r="P66" s="833" t="n"/>
      <c r="Q66" s="833" t="n"/>
      <c r="R66" s="833" t="n"/>
      <c r="S66" s="798" t="n"/>
      <c r="T66" s="40" t="inlineStr"/>
      <c r="U66" s="40" t="inlineStr"/>
      <c r="V66" s="41" t="inlineStr">
        <is>
          <t>кг</t>
        </is>
      </c>
      <c r="W66" s="834" t="n">
        <v>0</v>
      </c>
      <c r="X66" s="835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3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458" t="n">
        <v>4680115882133</v>
      </c>
      <c r="E67" s="798" t="n"/>
      <c r="F67" s="831" t="n">
        <v>1.35</v>
      </c>
      <c r="G67" s="38" t="n">
        <v>8</v>
      </c>
      <c r="H67" s="831" t="n">
        <v>10.8</v>
      </c>
      <c r="I67" s="831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62">
        <f>HYPERLINK("https://abi.ru/products/Охлажденные/Вязанка/Вязанка/Вареные колбасы/P003357/","Вареные колбасы «Сливушка» Вес П/а ТМ «Вязанка»")</f>
        <v/>
      </c>
      <c r="P67" s="833" t="n"/>
      <c r="Q67" s="833" t="n"/>
      <c r="R67" s="833" t="n"/>
      <c r="S67" s="798" t="n"/>
      <c r="T67" s="40" t="inlineStr"/>
      <c r="U67" s="40" t="inlineStr"/>
      <c r="V67" s="41" t="inlineStr">
        <is>
          <t>кг</t>
        </is>
      </c>
      <c r="W67" s="834" t="n">
        <v>0</v>
      </c>
      <c r="X67" s="835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4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458" t="n">
        <v>4607091382952</v>
      </c>
      <c r="E68" s="798" t="n"/>
      <c r="F68" s="831" t="n">
        <v>0.5</v>
      </c>
      <c r="G68" s="38" t="n">
        <v>6</v>
      </c>
      <c r="H68" s="831" t="n">
        <v>3</v>
      </c>
      <c r="I68" s="831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9" t="n"/>
      <c r="N68" s="38" t="n">
        <v>50</v>
      </c>
      <c r="O68" s="8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68" s="833" t="n"/>
      <c r="Q68" s="833" t="n"/>
      <c r="R68" s="833" t="n"/>
      <c r="S68" s="798" t="n"/>
      <c r="T68" s="40" t="inlineStr"/>
      <c r="U68" s="40" t="inlineStr"/>
      <c r="V68" s="41" t="inlineStr">
        <is>
          <t>кг</t>
        </is>
      </c>
      <c r="W68" s="834" t="n">
        <v>0</v>
      </c>
      <c r="X68" s="835">
        <f>IFERROR(IF(W68="",0,CEILING((W68/$H68),1)*$H68),"")</f>
        <v/>
      </c>
      <c r="Y68" s="42">
        <f>IFERROR(IF(X68=0,"",ROUNDUP(X68/H68,0)*0.00753),"")</f>
        <v/>
      </c>
      <c r="Z68" s="69" t="inlineStr"/>
      <c r="AA68" s="70" t="inlineStr"/>
      <c r="AE68" s="80" t="n"/>
      <c r="BB68" s="105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458" t="n">
        <v>4607091385687</v>
      </c>
      <c r="E69" s="798" t="n"/>
      <c r="F69" s="831" t="n">
        <v>0.4</v>
      </c>
      <c r="G69" s="38" t="n">
        <v>10</v>
      </c>
      <c r="H69" s="831" t="n">
        <v>4</v>
      </c>
      <c r="I69" s="83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9" t="n"/>
      <c r="N69" s="38" t="n">
        <v>50</v>
      </c>
      <c r="O69" s="8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69" s="833" t="n"/>
      <c r="Q69" s="833" t="n"/>
      <c r="R69" s="833" t="n"/>
      <c r="S69" s="798" t="n"/>
      <c r="T69" s="40" t="inlineStr"/>
      <c r="U69" s="40" t="inlineStr"/>
      <c r="V69" s="41" t="inlineStr">
        <is>
          <t>кг</t>
        </is>
      </c>
      <c r="W69" s="834" t="n">
        <v>0</v>
      </c>
      <c r="X69" s="835">
        <f>IFERROR(IF(W69="",0,CEILING((W69/$H69),1)*$H69),"")</f>
        <v/>
      </c>
      <c r="Y69" s="42">
        <f>IFERROR(IF(X69=0,"",ROUNDUP(X69/H69,0)*0.00937),"")</f>
        <v/>
      </c>
      <c r="Z69" s="69" t="inlineStr"/>
      <c r="AA69" s="70" t="inlineStr"/>
      <c r="AE69" s="80" t="n"/>
      <c r="BB69" s="106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458" t="n">
        <v>4680115882539</v>
      </c>
      <c r="E70" s="798" t="n"/>
      <c r="F70" s="831" t="n">
        <v>0.37</v>
      </c>
      <c r="G70" s="38" t="n">
        <v>10</v>
      </c>
      <c r="H70" s="831" t="n">
        <v>3.7</v>
      </c>
      <c r="I70" s="831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9" t="n"/>
      <c r="N70" s="38" t="n">
        <v>50</v>
      </c>
      <c r="O70" s="86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0" s="833" t="n"/>
      <c r="Q70" s="833" t="n"/>
      <c r="R70" s="833" t="n"/>
      <c r="S70" s="798" t="n"/>
      <c r="T70" s="40" t="inlineStr"/>
      <c r="U70" s="40" t="inlineStr"/>
      <c r="V70" s="41" t="inlineStr">
        <is>
          <t>кг</t>
        </is>
      </c>
      <c r="W70" s="834" t="n">
        <v>0</v>
      </c>
      <c r="X70" s="835">
        <f>IFERROR(IF(W70="",0,CEILING((W70/$H70),1)*$H70),"")</f>
        <v/>
      </c>
      <c r="Y70" s="42">
        <f>IFERROR(IF(X70=0,"",ROUNDUP(X70/H70,0)*0.00937),"")</f>
        <v/>
      </c>
      <c r="Z70" s="69" t="inlineStr"/>
      <c r="AA70" s="70" t="inlineStr"/>
      <c r="AE70" s="80" t="n"/>
      <c r="BB70" s="107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SU002312</t>
        </is>
      </c>
      <c r="B71" s="64" t="inlineStr">
        <is>
          <t>P003913</t>
        </is>
      </c>
      <c r="C71" s="37" t="n">
        <v>4301011705</v>
      </c>
      <c r="D71" s="458" t="n">
        <v>4607091384604</v>
      </c>
      <c r="E71" s="798" t="n"/>
      <c r="F71" s="831" t="n">
        <v>0.4</v>
      </c>
      <c r="G71" s="38" t="n">
        <v>10</v>
      </c>
      <c r="H71" s="831" t="n">
        <v>4</v>
      </c>
      <c r="I71" s="831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9" t="n"/>
      <c r="N71" s="38" t="n">
        <v>50</v>
      </c>
      <c r="O71" s="86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1" s="833" t="n"/>
      <c r="Q71" s="833" t="n"/>
      <c r="R71" s="833" t="n"/>
      <c r="S71" s="798" t="n"/>
      <c r="T71" s="40" t="inlineStr"/>
      <c r="U71" s="40" t="inlineStr"/>
      <c r="V71" s="41" t="inlineStr">
        <is>
          <t>кг</t>
        </is>
      </c>
      <c r="W71" s="834" t="n">
        <v>0</v>
      </c>
      <c r="X71" s="835">
        <f>IFERROR(IF(W71="",0,CEILING((W71/$H71),1)*$H71),"")</f>
        <v/>
      </c>
      <c r="Y71" s="42">
        <f>IFERROR(IF(X71=0,"",ROUNDUP(X71/H71,0)*0.00937),"")</f>
        <v/>
      </c>
      <c r="Z71" s="69" t="inlineStr"/>
      <c r="AA71" s="70" t="inlineStr"/>
      <c r="AE71" s="80" t="n"/>
      <c r="BB71" s="108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458" t="n">
        <v>4680115880283</v>
      </c>
      <c r="E72" s="798" t="n"/>
      <c r="F72" s="831" t="n">
        <v>0.6</v>
      </c>
      <c r="G72" s="38" t="n">
        <v>8</v>
      </c>
      <c r="H72" s="831" t="n">
        <v>4.8</v>
      </c>
      <c r="I72" s="831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45</v>
      </c>
      <c r="O72" s="86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2" s="833" t="n"/>
      <c r="Q72" s="833" t="n"/>
      <c r="R72" s="833" t="n"/>
      <c r="S72" s="798" t="n"/>
      <c r="T72" s="40" t="inlineStr"/>
      <c r="U72" s="40" t="inlineStr"/>
      <c r="V72" s="41" t="inlineStr">
        <is>
          <t>кг</t>
        </is>
      </c>
      <c r="W72" s="834" t="n">
        <v>0</v>
      </c>
      <c r="X72" s="835">
        <f>IFERROR(IF(W72="",0,CEILING((W72/$H72),1)*$H72),"")</f>
        <v/>
      </c>
      <c r="Y72" s="42">
        <f>IFERROR(IF(X72=0,"",ROUNDUP(X72/H72,0)*0.00937),"")</f>
        <v/>
      </c>
      <c r="Z72" s="69" t="inlineStr"/>
      <c r="AA72" s="70" t="inlineStr"/>
      <c r="AE72" s="80" t="n"/>
      <c r="BB72" s="109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458" t="n">
        <v>4680115883949</v>
      </c>
      <c r="E73" s="798" t="n"/>
      <c r="F73" s="831" t="n">
        <v>0.37</v>
      </c>
      <c r="G73" s="38" t="n">
        <v>10</v>
      </c>
      <c r="H73" s="831" t="n">
        <v>3.7</v>
      </c>
      <c r="I73" s="831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9" t="n"/>
      <c r="N73" s="38" t="n">
        <v>50</v>
      </c>
      <c r="O73" s="868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3" s="833" t="n"/>
      <c r="Q73" s="833" t="n"/>
      <c r="R73" s="833" t="n"/>
      <c r="S73" s="798" t="n"/>
      <c r="T73" s="40" t="inlineStr"/>
      <c r="U73" s="40" t="inlineStr"/>
      <c r="V73" s="41" t="inlineStr">
        <is>
          <t>кг</t>
        </is>
      </c>
      <c r="W73" s="834" t="n">
        <v>0</v>
      </c>
      <c r="X73" s="835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10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458" t="n">
        <v>4680115881518</v>
      </c>
      <c r="E74" s="798" t="n"/>
      <c r="F74" s="831" t="n">
        <v>0.4</v>
      </c>
      <c r="G74" s="38" t="n">
        <v>10</v>
      </c>
      <c r="H74" s="831" t="n">
        <v>4</v>
      </c>
      <c r="I74" s="831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6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4" s="833" t="n"/>
      <c r="Q74" s="833" t="n"/>
      <c r="R74" s="833" t="n"/>
      <c r="S74" s="798" t="n"/>
      <c r="T74" s="40" t="inlineStr"/>
      <c r="U74" s="40" t="inlineStr"/>
      <c r="V74" s="41" t="inlineStr">
        <is>
          <t>кг</t>
        </is>
      </c>
      <c r="W74" s="834" t="n">
        <v>0</v>
      </c>
      <c r="X74" s="835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11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458" t="n">
        <v>4680115881303</v>
      </c>
      <c r="E75" s="798" t="n"/>
      <c r="F75" s="831" t="n">
        <v>0.45</v>
      </c>
      <c r="G75" s="38" t="n">
        <v>10</v>
      </c>
      <c r="H75" s="831" t="n">
        <v>4.5</v>
      </c>
      <c r="I75" s="831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9" t="n"/>
      <c r="N75" s="38" t="n">
        <v>50</v>
      </c>
      <c r="O75" s="87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5" s="833" t="n"/>
      <c r="Q75" s="833" t="n"/>
      <c r="R75" s="833" t="n"/>
      <c r="S75" s="798" t="n"/>
      <c r="T75" s="40" t="inlineStr"/>
      <c r="U75" s="40" t="inlineStr"/>
      <c r="V75" s="41" t="inlineStr">
        <is>
          <t>кг</t>
        </is>
      </c>
      <c r="W75" s="834" t="n">
        <v>0</v>
      </c>
      <c r="X75" s="835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12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458" t="n">
        <v>4680115882577</v>
      </c>
      <c r="E76" s="798" t="n"/>
      <c r="F76" s="831" t="n">
        <v>0.4</v>
      </c>
      <c r="G76" s="38" t="n">
        <v>8</v>
      </c>
      <c r="H76" s="831" t="n">
        <v>3.2</v>
      </c>
      <c r="I76" s="831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9" t="n"/>
      <c r="N76" s="38" t="n">
        <v>90</v>
      </c>
      <c r="O76" s="871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76" s="833" t="n"/>
      <c r="Q76" s="833" t="n"/>
      <c r="R76" s="833" t="n"/>
      <c r="S76" s="798" t="n"/>
      <c r="T76" s="40" t="inlineStr"/>
      <c r="U76" s="40" t="inlineStr"/>
      <c r="V76" s="41" t="inlineStr">
        <is>
          <t>кг</t>
        </is>
      </c>
      <c r="W76" s="834" t="n">
        <v>0</v>
      </c>
      <c r="X76" s="835">
        <f>IFERROR(IF(W76="",0,CEILING((W76/$H76),1)*$H76),"")</f>
        <v/>
      </c>
      <c r="Y76" s="42">
        <f>IFERROR(IF(X76=0,"",ROUNDUP(X76/H76,0)*0.00753),"")</f>
        <v/>
      </c>
      <c r="Z76" s="69" t="inlineStr"/>
      <c r="AA76" s="70" t="inlineStr"/>
      <c r="AE76" s="80" t="n"/>
      <c r="BB76" s="113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458" t="n">
        <v>4680115882577</v>
      </c>
      <c r="E77" s="798" t="n"/>
      <c r="F77" s="831" t="n">
        <v>0.4</v>
      </c>
      <c r="G77" s="38" t="n">
        <v>8</v>
      </c>
      <c r="H77" s="831" t="n">
        <v>3.2</v>
      </c>
      <c r="I77" s="83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9" t="n"/>
      <c r="N77" s="38" t="n">
        <v>90</v>
      </c>
      <c r="O77" s="872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77" s="833" t="n"/>
      <c r="Q77" s="833" t="n"/>
      <c r="R77" s="833" t="n"/>
      <c r="S77" s="798" t="n"/>
      <c r="T77" s="40" t="inlineStr"/>
      <c r="U77" s="40" t="inlineStr"/>
      <c r="V77" s="41" t="inlineStr">
        <is>
          <t>кг</t>
        </is>
      </c>
      <c r="W77" s="834" t="n">
        <v>0</v>
      </c>
      <c r="X77" s="835">
        <f>IFERROR(IF(W77="",0,CEILING((W77/$H77),1)*$H77),"")</f>
        <v/>
      </c>
      <c r="Y77" s="42">
        <f>IFERROR(IF(X77=0,"",ROUNDUP(X77/H77,0)*0.00753),"")</f>
        <v/>
      </c>
      <c r="Z77" s="69" t="inlineStr"/>
      <c r="AA77" s="70" t="inlineStr"/>
      <c r="AE77" s="80" t="n"/>
      <c r="BB77" s="114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458" t="n">
        <v>4680115882720</v>
      </c>
      <c r="E78" s="798" t="n"/>
      <c r="F78" s="831" t="n">
        <v>0.45</v>
      </c>
      <c r="G78" s="38" t="n">
        <v>10</v>
      </c>
      <c r="H78" s="831" t="n">
        <v>4.5</v>
      </c>
      <c r="I78" s="831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90</v>
      </c>
      <c r="O78" s="873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78" s="833" t="n"/>
      <c r="Q78" s="833" t="n"/>
      <c r="R78" s="833" t="n"/>
      <c r="S78" s="798" t="n"/>
      <c r="T78" s="40" t="inlineStr"/>
      <c r="U78" s="40" t="inlineStr"/>
      <c r="V78" s="41" t="inlineStr">
        <is>
          <t>кг</t>
        </is>
      </c>
      <c r="W78" s="834" t="n">
        <v>0</v>
      </c>
      <c r="X78" s="835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5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458" t="n">
        <v>4680115880269</v>
      </c>
      <c r="E79" s="798" t="n"/>
      <c r="F79" s="831" t="n">
        <v>0.375</v>
      </c>
      <c r="G79" s="38" t="n">
        <v>10</v>
      </c>
      <c r="H79" s="831" t="n">
        <v>3.75</v>
      </c>
      <c r="I79" s="831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9" t="n"/>
      <c r="N79" s="38" t="n">
        <v>50</v>
      </c>
      <c r="O79" s="87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79" s="833" t="n"/>
      <c r="Q79" s="833" t="n"/>
      <c r="R79" s="833" t="n"/>
      <c r="S79" s="798" t="n"/>
      <c r="T79" s="40" t="inlineStr"/>
      <c r="U79" s="40" t="inlineStr"/>
      <c r="V79" s="41" t="inlineStr">
        <is>
          <t>кг</t>
        </is>
      </c>
      <c r="W79" s="834" t="n">
        <v>0</v>
      </c>
      <c r="X79" s="835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6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458" t="n">
        <v>4680115880429</v>
      </c>
      <c r="E80" s="798" t="n"/>
      <c r="F80" s="831" t="n">
        <v>0.45</v>
      </c>
      <c r="G80" s="38" t="n">
        <v>10</v>
      </c>
      <c r="H80" s="831" t="n">
        <v>4.5</v>
      </c>
      <c r="I80" s="831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7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0" s="833" t="n"/>
      <c r="Q80" s="833" t="n"/>
      <c r="R80" s="833" t="n"/>
      <c r="S80" s="798" t="n"/>
      <c r="T80" s="40" t="inlineStr"/>
      <c r="U80" s="40" t="inlineStr"/>
      <c r="V80" s="41" t="inlineStr">
        <is>
          <t>кг</t>
        </is>
      </c>
      <c r="W80" s="834" t="n">
        <v>0</v>
      </c>
      <c r="X80" s="835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7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458" t="n">
        <v>4680115881457</v>
      </c>
      <c r="E81" s="798" t="n"/>
      <c r="F81" s="831" t="n">
        <v>0.75</v>
      </c>
      <c r="G81" s="38" t="n">
        <v>6</v>
      </c>
      <c r="H81" s="831" t="n">
        <v>4.5</v>
      </c>
      <c r="I81" s="831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9" t="n"/>
      <c r="N81" s="38" t="n">
        <v>50</v>
      </c>
      <c r="O81" s="87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1" s="833" t="n"/>
      <c r="Q81" s="833" t="n"/>
      <c r="R81" s="833" t="n"/>
      <c r="S81" s="798" t="n"/>
      <c r="T81" s="40" t="inlineStr"/>
      <c r="U81" s="40" t="inlineStr"/>
      <c r="V81" s="41" t="inlineStr">
        <is>
          <t>кг</t>
        </is>
      </c>
      <c r="W81" s="834" t="n">
        <v>0</v>
      </c>
      <c r="X81" s="835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8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>
      <c r="A82" s="467" t="n"/>
      <c r="B82" s="785" t="n"/>
      <c r="C82" s="785" t="n"/>
      <c r="D82" s="785" t="n"/>
      <c r="E82" s="785" t="n"/>
      <c r="F82" s="785" t="n"/>
      <c r="G82" s="785" t="n"/>
      <c r="H82" s="785" t="n"/>
      <c r="I82" s="785" t="n"/>
      <c r="J82" s="785" t="n"/>
      <c r="K82" s="785" t="n"/>
      <c r="L82" s="785" t="n"/>
      <c r="M82" s="785" t="n"/>
      <c r="N82" s="837" t="n"/>
      <c r="O82" s="838" t="inlineStr">
        <is>
          <t>Итого</t>
        </is>
      </c>
      <c r="P82" s="805" t="n"/>
      <c r="Q82" s="805" t="n"/>
      <c r="R82" s="805" t="n"/>
      <c r="S82" s="805" t="n"/>
      <c r="T82" s="805" t="n"/>
      <c r="U82" s="806" t="n"/>
      <c r="V82" s="43" t="inlineStr">
        <is>
          <t>кор</t>
        </is>
      </c>
      <c r="W82" s="83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83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/>
      </c>
      <c r="Y82" s="83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/>
      </c>
      <c r="Z82" s="840" t="n"/>
      <c r="AA82" s="840" t="n"/>
    </row>
    <row r="83">
      <c r="A83" s="785" t="n"/>
      <c r="B83" s="785" t="n"/>
      <c r="C83" s="785" t="n"/>
      <c r="D83" s="785" t="n"/>
      <c r="E83" s="785" t="n"/>
      <c r="F83" s="785" t="n"/>
      <c r="G83" s="785" t="n"/>
      <c r="H83" s="785" t="n"/>
      <c r="I83" s="785" t="n"/>
      <c r="J83" s="785" t="n"/>
      <c r="K83" s="785" t="n"/>
      <c r="L83" s="785" t="n"/>
      <c r="M83" s="785" t="n"/>
      <c r="N83" s="837" t="n"/>
      <c r="O83" s="838" t="inlineStr">
        <is>
          <t>Итого</t>
        </is>
      </c>
      <c r="P83" s="805" t="n"/>
      <c r="Q83" s="805" t="n"/>
      <c r="R83" s="805" t="n"/>
      <c r="S83" s="805" t="n"/>
      <c r="T83" s="805" t="n"/>
      <c r="U83" s="806" t="n"/>
      <c r="V83" s="43" t="inlineStr">
        <is>
          <t>кг</t>
        </is>
      </c>
      <c r="W83" s="839">
        <f>IFERROR(SUM(W61:W81),"0")</f>
        <v/>
      </c>
      <c r="X83" s="839">
        <f>IFERROR(SUM(X61:X81),"0")</f>
        <v/>
      </c>
      <c r="Y83" s="43" t="n"/>
      <c r="Z83" s="840" t="n"/>
      <c r="AA83" s="840" t="n"/>
    </row>
    <row r="84" ht="14.25" customHeight="1">
      <c r="A84" s="457" t="inlineStr">
        <is>
          <t>Ветчины</t>
        </is>
      </c>
      <c r="B84" s="785" t="n"/>
      <c r="C84" s="785" t="n"/>
      <c r="D84" s="785" t="n"/>
      <c r="E84" s="785" t="n"/>
      <c r="F84" s="785" t="n"/>
      <c r="G84" s="785" t="n"/>
      <c r="H84" s="785" t="n"/>
      <c r="I84" s="785" t="n"/>
      <c r="J84" s="785" t="n"/>
      <c r="K84" s="785" t="n"/>
      <c r="L84" s="785" t="n"/>
      <c r="M84" s="785" t="n"/>
      <c r="N84" s="785" t="n"/>
      <c r="O84" s="785" t="n"/>
      <c r="P84" s="785" t="n"/>
      <c r="Q84" s="785" t="n"/>
      <c r="R84" s="785" t="n"/>
      <c r="S84" s="785" t="n"/>
      <c r="T84" s="785" t="n"/>
      <c r="U84" s="785" t="n"/>
      <c r="V84" s="785" t="n"/>
      <c r="W84" s="785" t="n"/>
      <c r="X84" s="785" t="n"/>
      <c r="Y84" s="785" t="n"/>
      <c r="Z84" s="457" t="n"/>
      <c r="AA84" s="457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458" t="n">
        <v>4680115881488</v>
      </c>
      <c r="E85" s="798" t="n"/>
      <c r="F85" s="831" t="n">
        <v>1.35</v>
      </c>
      <c r="G85" s="38" t="n">
        <v>8</v>
      </c>
      <c r="H85" s="831" t="n">
        <v>10.8</v>
      </c>
      <c r="I85" s="831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9" t="n"/>
      <c r="N85" s="38" t="n">
        <v>50</v>
      </c>
      <c r="O85" s="877">
        <f>HYPERLINK("https://abi.ru/products/Охлажденные/Вязанка/Вязанка/Ветчины/P003236/","Ветчины Сливушка с индейкой Вязанка вес П/а Вязанка")</f>
        <v/>
      </c>
      <c r="P85" s="833" t="n"/>
      <c r="Q85" s="833" t="n"/>
      <c r="R85" s="833" t="n"/>
      <c r="S85" s="798" t="n"/>
      <c r="T85" s="40" t="inlineStr"/>
      <c r="U85" s="40" t="inlineStr"/>
      <c r="V85" s="41" t="inlineStr">
        <is>
          <t>кг</t>
        </is>
      </c>
      <c r="W85" s="834" t="n">
        <v>0</v>
      </c>
      <c r="X85" s="835">
        <f>IFERROR(IF(W85="",0,CEILING((W85/$H85),1)*$H85),"")</f>
        <v/>
      </c>
      <c r="Y85" s="42">
        <f>IFERROR(IF(X85=0,"",ROUNDUP(X85/H85,0)*0.02175),"")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458" t="n">
        <v>4680115882751</v>
      </c>
      <c r="E86" s="798" t="n"/>
      <c r="F86" s="831" t="n">
        <v>0.45</v>
      </c>
      <c r="G86" s="38" t="n">
        <v>10</v>
      </c>
      <c r="H86" s="831" t="n">
        <v>4.5</v>
      </c>
      <c r="I86" s="83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9" t="n"/>
      <c r="N86" s="38" t="n">
        <v>90</v>
      </c>
      <c r="O86" s="878">
        <f>HYPERLINK("https://abi.ru/products/Охлажденные/Вязанка/Вязанка/Ветчины/P003188/","Ветчины «Филейская #Живой_пар» ф/в 0,45 п/а ТМ «Вязанка»")</f>
        <v/>
      </c>
      <c r="P86" s="833" t="n"/>
      <c r="Q86" s="833" t="n"/>
      <c r="R86" s="833" t="n"/>
      <c r="S86" s="798" t="n"/>
      <c r="T86" s="40" t="inlineStr"/>
      <c r="U86" s="40" t="inlineStr"/>
      <c r="V86" s="41" t="inlineStr">
        <is>
          <t>кг</t>
        </is>
      </c>
      <c r="W86" s="834" t="n">
        <v>0</v>
      </c>
      <c r="X86" s="835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458" t="n">
        <v>4680115882775</v>
      </c>
      <c r="E87" s="798" t="n"/>
      <c r="F87" s="831" t="n">
        <v>0.3</v>
      </c>
      <c r="G87" s="38" t="n">
        <v>8</v>
      </c>
      <c r="H87" s="831" t="n">
        <v>2.4</v>
      </c>
      <c r="I87" s="83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9" t="n"/>
      <c r="N87" s="38" t="n">
        <v>50</v>
      </c>
      <c r="O87" s="879">
        <f>HYPERLINK("https://abi.ru/products/Охлажденные/Вязанка/Вязанка/Ветчины/P003575/","Ветчины «Сливушка с индейкой» Фикс.вес 0,3 П/а ТМ «Вязанка»")</f>
        <v/>
      </c>
      <c r="P87" s="833" t="n"/>
      <c r="Q87" s="833" t="n"/>
      <c r="R87" s="833" t="n"/>
      <c r="S87" s="798" t="n"/>
      <c r="T87" s="40" t="inlineStr"/>
      <c r="U87" s="40" t="inlineStr"/>
      <c r="V87" s="41" t="inlineStr">
        <is>
          <t>кг</t>
        </is>
      </c>
      <c r="W87" s="834" t="n">
        <v>0</v>
      </c>
      <c r="X87" s="835">
        <f>IFERROR(IF(W87="",0,CEILING((W87/$H87),1)*$H87),"")</f>
        <v/>
      </c>
      <c r="Y87" s="42">
        <f>IFERROR(IF(X87=0,"",ROUNDUP(X87/H87,0)*0.00502),"")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458" t="n">
        <v>4680115880658</v>
      </c>
      <c r="E88" s="798" t="n"/>
      <c r="F88" s="831" t="n">
        <v>0.4</v>
      </c>
      <c r="G88" s="38" t="n">
        <v>6</v>
      </c>
      <c r="H88" s="831" t="n">
        <v>2.4</v>
      </c>
      <c r="I88" s="83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9" t="n"/>
      <c r="N88" s="38" t="n">
        <v>50</v>
      </c>
      <c r="O88" s="8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P88" s="833" t="n"/>
      <c r="Q88" s="833" t="n"/>
      <c r="R88" s="833" t="n"/>
      <c r="S88" s="798" t="n"/>
      <c r="T88" s="40" t="inlineStr"/>
      <c r="U88" s="40" t="inlineStr"/>
      <c r="V88" s="41" t="inlineStr">
        <is>
          <t>кг</t>
        </is>
      </c>
      <c r="W88" s="834" t="n">
        <v>0</v>
      </c>
      <c r="X88" s="835">
        <f>IFERROR(IF(W88="",0,CEILING((W88/$H88),1)*$H88),"")</f>
        <v/>
      </c>
      <c r="Y88" s="42">
        <f>IFERROR(IF(X88=0,"",ROUNDUP(X88/H88,0)*0.00753),"")</f>
        <v/>
      </c>
      <c r="Z88" s="69" t="inlineStr"/>
      <c r="AA88" s="70" t="inlineStr"/>
      <c r="AE88" s="80" t="n"/>
      <c r="BB88" s="122" t="inlineStr">
        <is>
          <t>КИ</t>
        </is>
      </c>
      <c r="BL88" s="80">
        <f>IFERROR(W88*I88/H88,"0")</f>
        <v/>
      </c>
      <c r="BM88" s="80">
        <f>IFERROR(X88*I88/H88,"0")</f>
        <v/>
      </c>
      <c r="BN88" s="80">
        <f>IFERROR(1/J88*(W88/H88),"0")</f>
        <v/>
      </c>
      <c r="BO88" s="80">
        <f>IFERROR(1/J88*(X88/H88),"0")</f>
        <v/>
      </c>
    </row>
    <row r="89">
      <c r="A89" s="467" t="n"/>
      <c r="B89" s="785" t="n"/>
      <c r="C89" s="785" t="n"/>
      <c r="D89" s="785" t="n"/>
      <c r="E89" s="785" t="n"/>
      <c r="F89" s="785" t="n"/>
      <c r="G89" s="785" t="n"/>
      <c r="H89" s="785" t="n"/>
      <c r="I89" s="785" t="n"/>
      <c r="J89" s="785" t="n"/>
      <c r="K89" s="785" t="n"/>
      <c r="L89" s="785" t="n"/>
      <c r="M89" s="785" t="n"/>
      <c r="N89" s="837" t="n"/>
      <c r="O89" s="838" t="inlineStr">
        <is>
          <t>Итого</t>
        </is>
      </c>
      <c r="P89" s="805" t="n"/>
      <c r="Q89" s="805" t="n"/>
      <c r="R89" s="805" t="n"/>
      <c r="S89" s="805" t="n"/>
      <c r="T89" s="805" t="n"/>
      <c r="U89" s="806" t="n"/>
      <c r="V89" s="43" t="inlineStr">
        <is>
          <t>кор</t>
        </is>
      </c>
      <c r="W89" s="839">
        <f>IFERROR(W85/H85,"0")+IFERROR(W86/H86,"0")+IFERROR(W87/H87,"0")+IFERROR(W88/H88,"0")</f>
        <v/>
      </c>
      <c r="X89" s="839">
        <f>IFERROR(X85/H85,"0")+IFERROR(X86/H86,"0")+IFERROR(X87/H87,"0")+IFERROR(X88/H88,"0")</f>
        <v/>
      </c>
      <c r="Y89" s="839">
        <f>IFERROR(IF(Y85="",0,Y85),"0")+IFERROR(IF(Y86="",0,Y86),"0")+IFERROR(IF(Y87="",0,Y87),"0")+IFERROR(IF(Y88="",0,Y88),"0")</f>
        <v/>
      </c>
      <c r="Z89" s="840" t="n"/>
      <c r="AA89" s="840" t="n"/>
    </row>
    <row r="90">
      <c r="A90" s="785" t="n"/>
      <c r="B90" s="785" t="n"/>
      <c r="C90" s="785" t="n"/>
      <c r="D90" s="785" t="n"/>
      <c r="E90" s="785" t="n"/>
      <c r="F90" s="785" t="n"/>
      <c r="G90" s="785" t="n"/>
      <c r="H90" s="785" t="n"/>
      <c r="I90" s="785" t="n"/>
      <c r="J90" s="785" t="n"/>
      <c r="K90" s="785" t="n"/>
      <c r="L90" s="785" t="n"/>
      <c r="M90" s="785" t="n"/>
      <c r="N90" s="837" t="n"/>
      <c r="O90" s="838" t="inlineStr">
        <is>
          <t>Итого</t>
        </is>
      </c>
      <c r="P90" s="805" t="n"/>
      <c r="Q90" s="805" t="n"/>
      <c r="R90" s="805" t="n"/>
      <c r="S90" s="805" t="n"/>
      <c r="T90" s="805" t="n"/>
      <c r="U90" s="806" t="n"/>
      <c r="V90" s="43" t="inlineStr">
        <is>
          <t>кг</t>
        </is>
      </c>
      <c r="W90" s="839">
        <f>IFERROR(SUM(W85:W88),"0")</f>
        <v/>
      </c>
      <c r="X90" s="839">
        <f>IFERROR(SUM(X85:X88),"0")</f>
        <v/>
      </c>
      <c r="Y90" s="43" t="n"/>
      <c r="Z90" s="840" t="n"/>
      <c r="AA90" s="840" t="n"/>
    </row>
    <row r="91" ht="14.25" customHeight="1">
      <c r="A91" s="457" t="inlineStr">
        <is>
          <t>Копченые колбасы</t>
        </is>
      </c>
      <c r="B91" s="785" t="n"/>
      <c r="C91" s="785" t="n"/>
      <c r="D91" s="785" t="n"/>
      <c r="E91" s="785" t="n"/>
      <c r="F91" s="785" t="n"/>
      <c r="G91" s="785" t="n"/>
      <c r="H91" s="785" t="n"/>
      <c r="I91" s="785" t="n"/>
      <c r="J91" s="785" t="n"/>
      <c r="K91" s="785" t="n"/>
      <c r="L91" s="785" t="n"/>
      <c r="M91" s="785" t="n"/>
      <c r="N91" s="785" t="n"/>
      <c r="O91" s="785" t="n"/>
      <c r="P91" s="785" t="n"/>
      <c r="Q91" s="785" t="n"/>
      <c r="R91" s="785" t="n"/>
      <c r="S91" s="785" t="n"/>
      <c r="T91" s="785" t="n"/>
      <c r="U91" s="785" t="n"/>
      <c r="V91" s="785" t="n"/>
      <c r="W91" s="785" t="n"/>
      <c r="X91" s="785" t="n"/>
      <c r="Y91" s="785" t="n"/>
      <c r="Z91" s="457" t="n"/>
      <c r="AA91" s="45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458" t="n">
        <v>4607091387667</v>
      </c>
      <c r="E92" s="798" t="n"/>
      <c r="F92" s="831" t="n">
        <v>0.9</v>
      </c>
      <c r="G92" s="38" t="n">
        <v>10</v>
      </c>
      <c r="H92" s="831" t="n">
        <v>9</v>
      </c>
      <c r="I92" s="831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9" t="n"/>
      <c r="N92" s="38" t="n">
        <v>40</v>
      </c>
      <c r="O92" s="8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2" s="833" t="n"/>
      <c r="Q92" s="833" t="n"/>
      <c r="R92" s="833" t="n"/>
      <c r="S92" s="798" t="n"/>
      <c r="T92" s="40" t="inlineStr"/>
      <c r="U92" s="40" t="inlineStr"/>
      <c r="V92" s="41" t="inlineStr">
        <is>
          <t>кг</t>
        </is>
      </c>
      <c r="W92" s="834" t="n">
        <v>0</v>
      </c>
      <c r="X92" s="835">
        <f>IFERROR(IF(W92="",0,CEILING((W92/$H92),1)*$H92),"")</f>
        <v/>
      </c>
      <c r="Y92" s="42">
        <f>IFERROR(IF(X92=0,"",ROUNDUP(X92/H92,0)*0.02175),"")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458" t="n">
        <v>4607091387636</v>
      </c>
      <c r="E93" s="798" t="n"/>
      <c r="F93" s="831" t="n">
        <v>0.7</v>
      </c>
      <c r="G93" s="38" t="n">
        <v>6</v>
      </c>
      <c r="H93" s="831" t="n">
        <v>4.2</v>
      </c>
      <c r="I93" s="831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9" t="n"/>
      <c r="N93" s="38" t="n">
        <v>40</v>
      </c>
      <c r="O93" s="8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3" s="833" t="n"/>
      <c r="Q93" s="833" t="n"/>
      <c r="R93" s="833" t="n"/>
      <c r="S93" s="798" t="n"/>
      <c r="T93" s="40" t="inlineStr"/>
      <c r="U93" s="40" t="inlineStr"/>
      <c r="V93" s="41" t="inlineStr">
        <is>
          <t>кг</t>
        </is>
      </c>
      <c r="W93" s="834" t="n">
        <v>0</v>
      </c>
      <c r="X93" s="835">
        <f>IFERROR(IF(W93="",0,CEILING((W93/$H93),1)*$H93),"")</f>
        <v/>
      </c>
      <c r="Y93" s="42">
        <f>IFERROR(IF(X93=0,"",ROUNDUP(X93/H93,0)*0.00937),"")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458" t="n">
        <v>4607091382426</v>
      </c>
      <c r="E94" s="798" t="n"/>
      <c r="F94" s="831" t="n">
        <v>0.9</v>
      </c>
      <c r="G94" s="38" t="n">
        <v>10</v>
      </c>
      <c r="H94" s="831" t="n">
        <v>9</v>
      </c>
      <c r="I94" s="83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9" t="n"/>
      <c r="N94" s="38" t="n">
        <v>40</v>
      </c>
      <c r="O94" s="8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4" s="833" t="n"/>
      <c r="Q94" s="833" t="n"/>
      <c r="R94" s="833" t="n"/>
      <c r="S94" s="798" t="n"/>
      <c r="T94" s="40" t="inlineStr"/>
      <c r="U94" s="40" t="inlineStr"/>
      <c r="V94" s="41" t="inlineStr">
        <is>
          <t>кг</t>
        </is>
      </c>
      <c r="W94" s="834" t="n">
        <v>0</v>
      </c>
      <c r="X94" s="835">
        <f>IFERROR(IF(W94="",0,CEILING((W94/$H94),1)*$H94),"")</f>
        <v/>
      </c>
      <c r="Y94" s="42">
        <f>IFERROR(IF(X94=0,"",ROUNDUP(X94/H94,0)*0.02175),"")</f>
        <v/>
      </c>
      <c r="Z94" s="69" t="inlineStr"/>
      <c r="AA94" s="70" t="inlineStr"/>
      <c r="AE94" s="80" t="n"/>
      <c r="BB94" s="125" t="inlineStr">
        <is>
          <t>КИ</t>
        </is>
      </c>
      <c r="BL94" s="80">
        <f>IFERROR(W94*I94/H94,"0")</f>
        <v/>
      </c>
      <c r="BM94" s="80">
        <f>IFERROR(X94*I94/H94,"0")</f>
        <v/>
      </c>
      <c r="BN94" s="80">
        <f>IFERROR(1/J94*(W94/H94),"0")</f>
        <v/>
      </c>
      <c r="BO94" s="80">
        <f>IFERROR(1/J94*(X94/H94),"0")</f>
        <v/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458" t="n">
        <v>4607091386547</v>
      </c>
      <c r="E95" s="798" t="n"/>
      <c r="F95" s="831" t="n">
        <v>0.35</v>
      </c>
      <c r="G95" s="38" t="n">
        <v>8</v>
      </c>
      <c r="H95" s="831" t="n">
        <v>2.8</v>
      </c>
      <c r="I95" s="83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9" t="n"/>
      <c r="N95" s="38" t="n">
        <v>40</v>
      </c>
      <c r="O95" s="8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5" s="833" t="n"/>
      <c r="Q95" s="833" t="n"/>
      <c r="R95" s="833" t="n"/>
      <c r="S95" s="798" t="n"/>
      <c r="T95" s="40" t="inlineStr"/>
      <c r="U95" s="40" t="inlineStr"/>
      <c r="V95" s="41" t="inlineStr">
        <is>
          <t>кг</t>
        </is>
      </c>
      <c r="W95" s="834" t="n">
        <v>0</v>
      </c>
      <c r="X95" s="835">
        <f>IFERROR(IF(W95="",0,CEILING((W95/$H95),1)*$H95),"")</f>
        <v/>
      </c>
      <c r="Y95" s="42">
        <f>IFERROR(IF(X95=0,"",ROUNDUP(X95/H95,0)*0.00502),"")</f>
        <v/>
      </c>
      <c r="Z95" s="69" t="inlineStr"/>
      <c r="AA95" s="70" t="inlineStr"/>
      <c r="AE95" s="80" t="n"/>
      <c r="BB95" s="126" t="inlineStr">
        <is>
          <t>КИ</t>
        </is>
      </c>
      <c r="BL95" s="80">
        <f>IFERROR(W95*I95/H95,"0")</f>
        <v/>
      </c>
      <c r="BM95" s="80">
        <f>IFERROR(X95*I95/H95,"0")</f>
        <v/>
      </c>
      <c r="BN95" s="80">
        <f>IFERROR(1/J95*(W95/H95),"0")</f>
        <v/>
      </c>
      <c r="BO95" s="80">
        <f>IFERROR(1/J95*(X95/H95),"0")</f>
        <v/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458" t="n">
        <v>4607091382464</v>
      </c>
      <c r="E96" s="798" t="n"/>
      <c r="F96" s="831" t="n">
        <v>0.35</v>
      </c>
      <c r="G96" s="38" t="n">
        <v>8</v>
      </c>
      <c r="H96" s="831" t="n">
        <v>2.8</v>
      </c>
      <c r="I96" s="831" t="n">
        <v>2.964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9" t="n"/>
      <c r="N96" s="38" t="n">
        <v>40</v>
      </c>
      <c r="O96" s="8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96" s="833" t="n"/>
      <c r="Q96" s="833" t="n"/>
      <c r="R96" s="833" t="n"/>
      <c r="S96" s="798" t="n"/>
      <c r="T96" s="40" t="inlineStr"/>
      <c r="U96" s="40" t="inlineStr"/>
      <c r="V96" s="41" t="inlineStr">
        <is>
          <t>кг</t>
        </is>
      </c>
      <c r="W96" s="834" t="n">
        <v>0</v>
      </c>
      <c r="X96" s="835">
        <f>IFERROR(IF(W96="",0,CEILING((W96/$H96),1)*$H96),"")</f>
        <v/>
      </c>
      <c r="Y96" s="42">
        <f>IFERROR(IF(X96=0,"",ROUNDUP(X96/H96,0)*0.00502),"")</f>
        <v/>
      </c>
      <c r="Z96" s="69" t="inlineStr"/>
      <c r="AA96" s="70" t="inlineStr"/>
      <c r="AE96" s="80" t="n"/>
      <c r="BB96" s="127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SU002985</t>
        </is>
      </c>
      <c r="B97" s="64" t="inlineStr">
        <is>
          <t>P003442</t>
        </is>
      </c>
      <c r="C97" s="37" t="n">
        <v>4301031235</v>
      </c>
      <c r="D97" s="458" t="n">
        <v>4680115883444</v>
      </c>
      <c r="E97" s="798" t="n"/>
      <c r="F97" s="831" t="n">
        <v>0.35</v>
      </c>
      <c r="G97" s="38" t="n">
        <v>8</v>
      </c>
      <c r="H97" s="831" t="n">
        <v>2.8</v>
      </c>
      <c r="I97" s="831" t="n">
        <v>3.088</v>
      </c>
      <c r="J97" s="38" t="n">
        <v>156</v>
      </c>
      <c r="K97" s="38" t="inlineStr">
        <is>
          <t>12</t>
        </is>
      </c>
      <c r="L97" s="39" t="inlineStr">
        <is>
          <t>АК</t>
        </is>
      </c>
      <c r="M97" s="39" t="n"/>
      <c r="N97" s="38" t="n">
        <v>90</v>
      </c>
      <c r="O97" s="886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97" s="833" t="n"/>
      <c r="Q97" s="833" t="n"/>
      <c r="R97" s="833" t="n"/>
      <c r="S97" s="798" t="n"/>
      <c r="T97" s="40" t="inlineStr"/>
      <c r="U97" s="40" t="inlineStr"/>
      <c r="V97" s="41" t="inlineStr">
        <is>
          <t>кг</t>
        </is>
      </c>
      <c r="W97" s="834" t="n">
        <v>0</v>
      </c>
      <c r="X97" s="835">
        <f>IFERROR(IF(W97="",0,CEILING((W97/$H97),1)*$H97),"")</f>
        <v/>
      </c>
      <c r="Y97" s="42">
        <f>IFERROR(IF(X97=0,"",ROUNDUP(X97/H97,0)*0.00753),"")</f>
        <v/>
      </c>
      <c r="Z97" s="69" t="inlineStr"/>
      <c r="AA97" s="70" t="inlineStr"/>
      <c r="AE97" s="80" t="n"/>
      <c r="BB97" s="128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SU002985</t>
        </is>
      </c>
      <c r="B98" s="64" t="inlineStr">
        <is>
          <t>P003439</t>
        </is>
      </c>
      <c r="C98" s="37" t="n">
        <v>4301031234</v>
      </c>
      <c r="D98" s="458" t="n">
        <v>4680115883444</v>
      </c>
      <c r="E98" s="798" t="n"/>
      <c r="F98" s="831" t="n">
        <v>0.35</v>
      </c>
      <c r="G98" s="38" t="n">
        <v>8</v>
      </c>
      <c r="H98" s="831" t="n">
        <v>2.8</v>
      </c>
      <c r="I98" s="831" t="n">
        <v>3.088</v>
      </c>
      <c r="J98" s="38" t="n">
        <v>156</v>
      </c>
      <c r="K98" s="38" t="inlineStr">
        <is>
          <t>12</t>
        </is>
      </c>
      <c r="L98" s="39" t="inlineStr">
        <is>
          <t>АК</t>
        </is>
      </c>
      <c r="M98" s="39" t="n"/>
      <c r="N98" s="38" t="n">
        <v>90</v>
      </c>
      <c r="O98" s="887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98" s="833" t="n"/>
      <c r="Q98" s="833" t="n"/>
      <c r="R98" s="833" t="n"/>
      <c r="S98" s="798" t="n"/>
      <c r="T98" s="40" t="inlineStr"/>
      <c r="U98" s="40" t="inlineStr"/>
      <c r="V98" s="41" t="inlineStr">
        <is>
          <t>кг</t>
        </is>
      </c>
      <c r="W98" s="834" t="n">
        <v>0</v>
      </c>
      <c r="X98" s="835">
        <f>IFERROR(IF(W98="",0,CEILING((W98/$H98),1)*$H98),"")</f>
        <v/>
      </c>
      <c r="Y98" s="42">
        <f>IFERROR(IF(X98=0,"",ROUNDUP(X98/H98,0)*0.00753),"")</f>
        <v/>
      </c>
      <c r="Z98" s="69" t="inlineStr"/>
      <c r="AA98" s="70" t="inlineStr"/>
      <c r="AE98" s="80" t="n"/>
      <c r="BB98" s="129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>
      <c r="A99" s="467" t="n"/>
      <c r="B99" s="785" t="n"/>
      <c r="C99" s="785" t="n"/>
      <c r="D99" s="785" t="n"/>
      <c r="E99" s="785" t="n"/>
      <c r="F99" s="785" t="n"/>
      <c r="G99" s="785" t="n"/>
      <c r="H99" s="785" t="n"/>
      <c r="I99" s="785" t="n"/>
      <c r="J99" s="785" t="n"/>
      <c r="K99" s="785" t="n"/>
      <c r="L99" s="785" t="n"/>
      <c r="M99" s="785" t="n"/>
      <c r="N99" s="837" t="n"/>
      <c r="O99" s="838" t="inlineStr">
        <is>
          <t>Итого</t>
        </is>
      </c>
      <c r="P99" s="805" t="n"/>
      <c r="Q99" s="805" t="n"/>
      <c r="R99" s="805" t="n"/>
      <c r="S99" s="805" t="n"/>
      <c r="T99" s="805" t="n"/>
      <c r="U99" s="806" t="n"/>
      <c r="V99" s="43" t="inlineStr">
        <is>
          <t>кор</t>
        </is>
      </c>
      <c r="W99" s="839">
        <f>IFERROR(W92/H92,"0")+IFERROR(W93/H93,"0")+IFERROR(W94/H94,"0")+IFERROR(W95/H95,"0")+IFERROR(W96/H96,"0")+IFERROR(W97/H97,"0")+IFERROR(W98/H98,"0")</f>
        <v/>
      </c>
      <c r="X99" s="839">
        <f>IFERROR(X92/H92,"0")+IFERROR(X93/H93,"0")+IFERROR(X94/H94,"0")+IFERROR(X95/H95,"0")+IFERROR(X96/H96,"0")+IFERROR(X97/H97,"0")+IFERROR(X98/H98,"0")</f>
        <v/>
      </c>
      <c r="Y99" s="839">
        <f>IFERROR(IF(Y92="",0,Y92),"0")+IFERROR(IF(Y93="",0,Y93),"0")+IFERROR(IF(Y94="",0,Y94),"0")+IFERROR(IF(Y95="",0,Y95),"0")+IFERROR(IF(Y96="",0,Y96),"0")+IFERROR(IF(Y97="",0,Y97),"0")+IFERROR(IF(Y98="",0,Y98),"0")</f>
        <v/>
      </c>
      <c r="Z99" s="840" t="n"/>
      <c r="AA99" s="840" t="n"/>
    </row>
    <row r="100">
      <c r="A100" s="785" t="n"/>
      <c r="B100" s="785" t="n"/>
      <c r="C100" s="785" t="n"/>
      <c r="D100" s="785" t="n"/>
      <c r="E100" s="785" t="n"/>
      <c r="F100" s="785" t="n"/>
      <c r="G100" s="785" t="n"/>
      <c r="H100" s="785" t="n"/>
      <c r="I100" s="785" t="n"/>
      <c r="J100" s="785" t="n"/>
      <c r="K100" s="785" t="n"/>
      <c r="L100" s="785" t="n"/>
      <c r="M100" s="785" t="n"/>
      <c r="N100" s="837" t="n"/>
      <c r="O100" s="838" t="inlineStr">
        <is>
          <t>Итого</t>
        </is>
      </c>
      <c r="P100" s="805" t="n"/>
      <c r="Q100" s="805" t="n"/>
      <c r="R100" s="805" t="n"/>
      <c r="S100" s="805" t="n"/>
      <c r="T100" s="805" t="n"/>
      <c r="U100" s="806" t="n"/>
      <c r="V100" s="43" t="inlineStr">
        <is>
          <t>кг</t>
        </is>
      </c>
      <c r="W100" s="839">
        <f>IFERROR(SUM(W92:W98),"0")</f>
        <v/>
      </c>
      <c r="X100" s="839">
        <f>IFERROR(SUM(X92:X98),"0")</f>
        <v/>
      </c>
      <c r="Y100" s="43" t="n"/>
      <c r="Z100" s="840" t="n"/>
      <c r="AA100" s="840" t="n"/>
    </row>
    <row r="101" ht="14.25" customHeight="1">
      <c r="A101" s="457" t="inlineStr">
        <is>
          <t>Сосиски</t>
        </is>
      </c>
      <c r="B101" s="785" t="n"/>
      <c r="C101" s="785" t="n"/>
      <c r="D101" s="785" t="n"/>
      <c r="E101" s="785" t="n"/>
      <c r="F101" s="785" t="n"/>
      <c r="G101" s="785" t="n"/>
      <c r="H101" s="785" t="n"/>
      <c r="I101" s="785" t="n"/>
      <c r="J101" s="785" t="n"/>
      <c r="K101" s="785" t="n"/>
      <c r="L101" s="785" t="n"/>
      <c r="M101" s="785" t="n"/>
      <c r="N101" s="785" t="n"/>
      <c r="O101" s="785" t="n"/>
      <c r="P101" s="785" t="n"/>
      <c r="Q101" s="785" t="n"/>
      <c r="R101" s="785" t="n"/>
      <c r="S101" s="785" t="n"/>
      <c r="T101" s="785" t="n"/>
      <c r="U101" s="785" t="n"/>
      <c r="V101" s="785" t="n"/>
      <c r="W101" s="785" t="n"/>
      <c r="X101" s="785" t="n"/>
      <c r="Y101" s="785" t="n"/>
      <c r="Z101" s="457" t="n"/>
      <c r="AA101" s="457" t="n"/>
    </row>
    <row r="102" ht="16.5" customHeight="1">
      <c r="A102" s="64" t="inlineStr">
        <is>
          <t>SU003502</t>
        </is>
      </c>
      <c r="B102" s="64" t="inlineStr">
        <is>
          <t>P004412</t>
        </is>
      </c>
      <c r="C102" s="37" t="n">
        <v>4301051787</v>
      </c>
      <c r="D102" s="458" t="n">
        <v>4680115885233</v>
      </c>
      <c r="E102" s="798" t="n"/>
      <c r="F102" s="831" t="n">
        <v>0.2</v>
      </c>
      <c r="G102" s="38" t="n">
        <v>6</v>
      </c>
      <c r="H102" s="831" t="n">
        <v>1.2</v>
      </c>
      <c r="I102" s="831" t="n">
        <v>1.3</v>
      </c>
      <c r="J102" s="38" t="n">
        <v>234</v>
      </c>
      <c r="K102" s="38" t="inlineStr">
        <is>
          <t>18</t>
        </is>
      </c>
      <c r="L102" s="39" t="inlineStr">
        <is>
          <t>СК4</t>
        </is>
      </c>
      <c r="M102" s="39" t="n"/>
      <c r="N102" s="38" t="n">
        <v>30</v>
      </c>
      <c r="O102" s="888" t="inlineStr">
        <is>
          <t>Сосиски «Молочные ГОСТ» ф/в 0,2 ц/о ТМ «Вязанка»</t>
        </is>
      </c>
      <c r="P102" s="833" t="n"/>
      <c r="Q102" s="833" t="n"/>
      <c r="R102" s="833" t="n"/>
      <c r="S102" s="798" t="n"/>
      <c r="T102" s="40" t="inlineStr"/>
      <c r="U102" s="40" t="inlineStr"/>
      <c r="V102" s="41" t="inlineStr">
        <is>
          <t>кг</t>
        </is>
      </c>
      <c r="W102" s="834" t="n">
        <v>0</v>
      </c>
      <c r="X102" s="835">
        <f>IFERROR(IF(W102="",0,CEILING((W102/$H102),1)*$H102),"")</f>
        <v/>
      </c>
      <c r="Y102" s="42">
        <f>IFERROR(IF(X102=0,"",ROUNDUP(X102/H102,0)*0.00502),"")</f>
        <v/>
      </c>
      <c r="Z102" s="69" t="inlineStr"/>
      <c r="AA102" s="70" t="inlineStr">
        <is>
          <t>Новинка</t>
        </is>
      </c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458" t="n">
        <v>4607091386967</v>
      </c>
      <c r="E103" s="798" t="n"/>
      <c r="F103" s="831" t="n">
        <v>1.4</v>
      </c>
      <c r="G103" s="38" t="n">
        <v>6</v>
      </c>
      <c r="H103" s="831" t="n">
        <v>8.4</v>
      </c>
      <c r="I103" s="83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9" t="n"/>
      <c r="N103" s="38" t="n">
        <v>45</v>
      </c>
      <c r="O103" s="88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3" s="833" t="n"/>
      <c r="Q103" s="833" t="n"/>
      <c r="R103" s="833" t="n"/>
      <c r="S103" s="798" t="n"/>
      <c r="T103" s="40" t="inlineStr"/>
      <c r="U103" s="40" t="inlineStr"/>
      <c r="V103" s="41" t="inlineStr">
        <is>
          <t>кг</t>
        </is>
      </c>
      <c r="W103" s="834" t="n">
        <v>0</v>
      </c>
      <c r="X103" s="835">
        <f>IFERROR(IF(W103="",0,CEILING((W103/$H103),1)*$H103),"")</f>
        <v/>
      </c>
      <c r="Y103" s="42">
        <f>IFERROR(IF(X103=0,"",ROUNDUP(X103/H103,0)*0.02175),"")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458" t="n">
        <v>4607091386967</v>
      </c>
      <c r="E104" s="798" t="n"/>
      <c r="F104" s="831" t="n">
        <v>1.35</v>
      </c>
      <c r="G104" s="38" t="n">
        <v>6</v>
      </c>
      <c r="H104" s="831" t="n">
        <v>8.1</v>
      </c>
      <c r="I104" s="831" t="n">
        <v>8.664</v>
      </c>
      <c r="J104" s="38" t="n">
        <v>56</v>
      </c>
      <c r="K104" s="38" t="inlineStr">
        <is>
          <t>8</t>
        </is>
      </c>
      <c r="L104" s="39" t="inlineStr">
        <is>
          <t>СК3</t>
        </is>
      </c>
      <c r="M104" s="39" t="n"/>
      <c r="N104" s="38" t="n">
        <v>45</v>
      </c>
      <c r="O104" s="89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4" s="833" t="n"/>
      <c r="Q104" s="833" t="n"/>
      <c r="R104" s="833" t="n"/>
      <c r="S104" s="798" t="n"/>
      <c r="T104" s="40" t="inlineStr"/>
      <c r="U104" s="40" t="inlineStr"/>
      <c r="V104" s="41" t="inlineStr">
        <is>
          <t>кг</t>
        </is>
      </c>
      <c r="W104" s="834" t="n">
        <v>0</v>
      </c>
      <c r="X104" s="835">
        <f>IFERROR(IF(W104="",0,CEILING((W104/$H104),1)*$H104),"")</f>
        <v/>
      </c>
      <c r="Y104" s="42">
        <f>IFERROR(IF(X104=0,"",ROUNDUP(X104/H104,0)*0.02175),"")</f>
        <v/>
      </c>
      <c r="Z104" s="69" t="inlineStr"/>
      <c r="AA104" s="70" t="inlineStr"/>
      <c r="AE104" s="80" t="n"/>
      <c r="BB104" s="132" t="inlineStr">
        <is>
          <t>КИ</t>
        </is>
      </c>
      <c r="BL104" s="80">
        <f>IFERROR(W104*I104/H104,"0")</f>
        <v/>
      </c>
      <c r="BM104" s="80">
        <f>IFERROR(X104*I104/H104,"0")</f>
        <v/>
      </c>
      <c r="BN104" s="80">
        <f>IFERROR(1/J104*(W104/H104),"0")</f>
        <v/>
      </c>
      <c r="BO104" s="80">
        <f>IFERROR(1/J104*(X104/H104),"0")</f>
        <v/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458" t="n">
        <v>4607091385304</v>
      </c>
      <c r="E105" s="798" t="n"/>
      <c r="F105" s="831" t="n">
        <v>1.4</v>
      </c>
      <c r="G105" s="38" t="n">
        <v>6</v>
      </c>
      <c r="H105" s="831" t="n">
        <v>8.4</v>
      </c>
      <c r="I105" s="831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9" t="n"/>
      <c r="N105" s="38" t="n">
        <v>40</v>
      </c>
      <c r="O105" s="891">
        <f>HYPERLINK("https://abi.ru/products/Охлажденные/Вязанка/Вязанка/Сосиски/P003904/","Сосиски «Рубленые» Весовые п/а мгс УВВ ТМ «Вязанка»")</f>
        <v/>
      </c>
      <c r="P105" s="833" t="n"/>
      <c r="Q105" s="833" t="n"/>
      <c r="R105" s="833" t="n"/>
      <c r="S105" s="798" t="n"/>
      <c r="T105" s="40" t="inlineStr"/>
      <c r="U105" s="40" t="inlineStr"/>
      <c r="V105" s="41" t="inlineStr">
        <is>
          <t>кг</t>
        </is>
      </c>
      <c r="W105" s="834" t="n">
        <v>0</v>
      </c>
      <c r="X105" s="835">
        <f>IFERROR(IF(W105="",0,CEILING((W105/$H105),1)*$H105),"")</f>
        <v/>
      </c>
      <c r="Y105" s="42">
        <f>IFERROR(IF(X105=0,"",ROUNDUP(X105/H105,0)*0.02175),"")</f>
        <v/>
      </c>
      <c r="Z105" s="69" t="inlineStr"/>
      <c r="AA105" s="70" t="inlineStr"/>
      <c r="AE105" s="80" t="n"/>
      <c r="BB105" s="133" t="inlineStr">
        <is>
          <t>КИ</t>
        </is>
      </c>
      <c r="BL105" s="80">
        <f>IFERROR(W105*I105/H105,"0")</f>
        <v/>
      </c>
      <c r="BM105" s="80">
        <f>IFERROR(X105*I105/H105,"0")</f>
        <v/>
      </c>
      <c r="BN105" s="80">
        <f>IFERROR(1/J105*(W105/H105),"0")</f>
        <v/>
      </c>
      <c r="BO105" s="80">
        <f>IFERROR(1/J105*(X105/H105),"0")</f>
        <v/>
      </c>
    </row>
    <row r="106" ht="16.5" customHeight="1">
      <c r="A106" s="64" t="inlineStr">
        <is>
          <t>SU001527</t>
        </is>
      </c>
      <c r="B106" s="64" t="inlineStr">
        <is>
          <t>P003992</t>
        </is>
      </c>
      <c r="C106" s="37" t="n">
        <v>4301051648</v>
      </c>
      <c r="D106" s="458" t="n">
        <v>4607091386264</v>
      </c>
      <c r="E106" s="798" t="n"/>
      <c r="F106" s="831" t="n">
        <v>0.5</v>
      </c>
      <c r="G106" s="38" t="n">
        <v>6</v>
      </c>
      <c r="H106" s="831" t="n">
        <v>3</v>
      </c>
      <c r="I106" s="831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31</v>
      </c>
      <c r="O106" s="892">
        <f>HYPERLINK("https://abi.ru/products/Охлажденные/Вязанка/Вязанка/Сосиски/P003992/","Сосиски «Венские» Фикс.вес 0,5 п/а мгс ТМ «Вязанка»")</f>
        <v/>
      </c>
      <c r="P106" s="833" t="n"/>
      <c r="Q106" s="833" t="n"/>
      <c r="R106" s="833" t="n"/>
      <c r="S106" s="798" t="n"/>
      <c r="T106" s="40" t="inlineStr"/>
      <c r="U106" s="40" t="inlineStr"/>
      <c r="V106" s="41" t="inlineStr">
        <is>
          <t>кг</t>
        </is>
      </c>
      <c r="W106" s="834" t="n">
        <v>0</v>
      </c>
      <c r="X106" s="835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/>
      <c r="AE106" s="80" t="n"/>
      <c r="BB106" s="134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16.5" customHeight="1">
      <c r="A107" s="64" t="inlineStr">
        <is>
          <t>SU002984</t>
        </is>
      </c>
      <c r="B107" s="64" t="inlineStr">
        <is>
          <t>P003440</t>
        </is>
      </c>
      <c r="C107" s="37" t="n">
        <v>4301051477</v>
      </c>
      <c r="D107" s="458" t="n">
        <v>4680115882584</v>
      </c>
      <c r="E107" s="798" t="n"/>
      <c r="F107" s="831" t="n">
        <v>0.33</v>
      </c>
      <c r="G107" s="38" t="n">
        <v>8</v>
      </c>
      <c r="H107" s="831" t="n">
        <v>2.64</v>
      </c>
      <c r="I107" s="831" t="n">
        <v>2.928</v>
      </c>
      <c r="J107" s="38" t="n">
        <v>156</v>
      </c>
      <c r="K107" s="38" t="inlineStr">
        <is>
          <t>12</t>
        </is>
      </c>
      <c r="L107" s="39" t="inlineStr">
        <is>
          <t>АК</t>
        </is>
      </c>
      <c r="M107" s="39" t="n"/>
      <c r="N107" s="38" t="n">
        <v>60</v>
      </c>
      <c r="O107" s="893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07" s="833" t="n"/>
      <c r="Q107" s="833" t="n"/>
      <c r="R107" s="833" t="n"/>
      <c r="S107" s="798" t="n"/>
      <c r="T107" s="40" t="inlineStr"/>
      <c r="U107" s="40" t="inlineStr"/>
      <c r="V107" s="41" t="inlineStr">
        <is>
          <t>кг</t>
        </is>
      </c>
      <c r="W107" s="834" t="n">
        <v>0</v>
      </c>
      <c r="X107" s="835">
        <f>IFERROR(IF(W107="",0,CEILING((W107/$H107),1)*$H107),"")</f>
        <v/>
      </c>
      <c r="Y107" s="42">
        <f>IFERROR(IF(X107=0,"",ROUNDUP(X107/H107,0)*0.00753),"")</f>
        <v/>
      </c>
      <c r="Z107" s="69" t="inlineStr"/>
      <c r="AA107" s="70" t="inlineStr"/>
      <c r="AE107" s="80" t="n"/>
      <c r="BB107" s="135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16.5" customHeight="1">
      <c r="A108" s="64" t="inlineStr">
        <is>
          <t>SU002984</t>
        </is>
      </c>
      <c r="B108" s="64" t="inlineStr">
        <is>
          <t>P003438</t>
        </is>
      </c>
      <c r="C108" s="37" t="n">
        <v>4301051476</v>
      </c>
      <c r="D108" s="458" t="n">
        <v>4680115882584</v>
      </c>
      <c r="E108" s="798" t="n"/>
      <c r="F108" s="831" t="n">
        <v>0.33</v>
      </c>
      <c r="G108" s="38" t="n">
        <v>8</v>
      </c>
      <c r="H108" s="831" t="n">
        <v>2.64</v>
      </c>
      <c r="I108" s="831" t="n">
        <v>2.928</v>
      </c>
      <c r="J108" s="38" t="n">
        <v>156</v>
      </c>
      <c r="K108" s="38" t="inlineStr">
        <is>
          <t>12</t>
        </is>
      </c>
      <c r="L108" s="39" t="inlineStr">
        <is>
          <t>АК</t>
        </is>
      </c>
      <c r="M108" s="39" t="n"/>
      <c r="N108" s="38" t="n">
        <v>60</v>
      </c>
      <c r="O108" s="894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08" s="833" t="n"/>
      <c r="Q108" s="833" t="n"/>
      <c r="R108" s="833" t="n"/>
      <c r="S108" s="798" t="n"/>
      <c r="T108" s="40" t="inlineStr"/>
      <c r="U108" s="40" t="inlineStr"/>
      <c r="V108" s="41" t="inlineStr">
        <is>
          <t>кг</t>
        </is>
      </c>
      <c r="W108" s="834" t="n">
        <v>0</v>
      </c>
      <c r="X108" s="835">
        <f>IFERROR(IF(W108="",0,CEILING((W108/$H108),1)*$H108),"")</f>
        <v/>
      </c>
      <c r="Y108" s="42">
        <f>IFERROR(IF(X108=0,"",ROUNDUP(X108/H108,0)*0.00753),"")</f>
        <v/>
      </c>
      <c r="Z108" s="69" t="inlineStr"/>
      <c r="AA108" s="70" t="inlineStr"/>
      <c r="AE108" s="80" t="n"/>
      <c r="BB108" s="136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458" t="n">
        <v>4607091385731</v>
      </c>
      <c r="E109" s="798" t="n"/>
      <c r="F109" s="831" t="n">
        <v>0.45</v>
      </c>
      <c r="G109" s="38" t="n">
        <v>6</v>
      </c>
      <c r="H109" s="831" t="n">
        <v>2.7</v>
      </c>
      <c r="I109" s="831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9" t="n"/>
      <c r="N109" s="38" t="n">
        <v>45</v>
      </c>
      <c r="O109" s="895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09" s="833" t="n"/>
      <c r="Q109" s="833" t="n"/>
      <c r="R109" s="833" t="n"/>
      <c r="S109" s="798" t="n"/>
      <c r="T109" s="40" t="inlineStr"/>
      <c r="U109" s="40" t="inlineStr"/>
      <c r="V109" s="41" t="inlineStr">
        <is>
          <t>кг</t>
        </is>
      </c>
      <c r="W109" s="834" t="n">
        <v>0</v>
      </c>
      <c r="X109" s="835">
        <f>IFERROR(IF(W109="",0,CEILING((W109/$H109),1)*$H109),"")</f>
        <v/>
      </c>
      <c r="Y109" s="42">
        <f>IFERROR(IF(X109=0,"",ROUNDUP(X109/H109,0)*0.00753),"")</f>
        <v/>
      </c>
      <c r="Z109" s="69" t="inlineStr"/>
      <c r="AA109" s="70" t="inlineStr"/>
      <c r="AE109" s="80" t="n"/>
      <c r="BB109" s="137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458" t="n">
        <v>4680115880214</v>
      </c>
      <c r="E110" s="798" t="n"/>
      <c r="F110" s="831" t="n">
        <v>0.45</v>
      </c>
      <c r="G110" s="38" t="n">
        <v>6</v>
      </c>
      <c r="H110" s="831" t="n">
        <v>2.7</v>
      </c>
      <c r="I110" s="831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9" t="n"/>
      <c r="N110" s="38" t="n">
        <v>45</v>
      </c>
      <c r="O110" s="896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0" s="833" t="n"/>
      <c r="Q110" s="833" t="n"/>
      <c r="R110" s="833" t="n"/>
      <c r="S110" s="798" t="n"/>
      <c r="T110" s="40" t="inlineStr"/>
      <c r="U110" s="40" t="inlineStr"/>
      <c r="V110" s="41" t="inlineStr">
        <is>
          <t>кг</t>
        </is>
      </c>
      <c r="W110" s="834" t="n">
        <v>0</v>
      </c>
      <c r="X110" s="835">
        <f>IFERROR(IF(W110="",0,CEILING((W110/$H110),1)*$H110),"")</f>
        <v/>
      </c>
      <c r="Y110" s="42">
        <f>IFERROR(IF(X110=0,"",ROUNDUP(X110/H110,0)*0.00937),"")</f>
        <v/>
      </c>
      <c r="Z110" s="69" t="inlineStr"/>
      <c r="AA110" s="70" t="inlineStr"/>
      <c r="AE110" s="80" t="n"/>
      <c r="BB110" s="138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458" t="n">
        <v>4680115880894</v>
      </c>
      <c r="E111" s="798" t="n"/>
      <c r="F111" s="831" t="n">
        <v>0.33</v>
      </c>
      <c r="G111" s="38" t="n">
        <v>6</v>
      </c>
      <c r="H111" s="831" t="n">
        <v>1.98</v>
      </c>
      <c r="I111" s="831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97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1" s="833" t="n"/>
      <c r="Q111" s="833" t="n"/>
      <c r="R111" s="833" t="n"/>
      <c r="S111" s="798" t="n"/>
      <c r="T111" s="40" t="inlineStr"/>
      <c r="U111" s="40" t="inlineStr"/>
      <c r="V111" s="41" t="inlineStr">
        <is>
          <t>кг</t>
        </is>
      </c>
      <c r="W111" s="834" t="n">
        <v>0</v>
      </c>
      <c r="X111" s="835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9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SU003313</t>
        </is>
      </c>
      <c r="B112" s="64" t="inlineStr">
        <is>
          <t>P004017</t>
        </is>
      </c>
      <c r="C112" s="37" t="n">
        <v>4301051693</v>
      </c>
      <c r="D112" s="458" t="n">
        <v>4680115884915</v>
      </c>
      <c r="E112" s="798" t="n"/>
      <c r="F112" s="831" t="n">
        <v>0.3</v>
      </c>
      <c r="G112" s="38" t="n">
        <v>6</v>
      </c>
      <c r="H112" s="831" t="n">
        <v>1.8</v>
      </c>
      <c r="I112" s="831" t="n">
        <v>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9" t="n"/>
      <c r="N112" s="38" t="n">
        <v>30</v>
      </c>
      <c r="O112" s="898">
        <f>HYPERLINK("https://abi.ru/products/Охлажденные/Вязанка/Вязанка/Сосиски/P004017/","Сосиски «Молочные ГОСТ» ф/в 0,3 ц/о ТМ «Вязанка»")</f>
        <v/>
      </c>
      <c r="P112" s="833" t="n"/>
      <c r="Q112" s="833" t="n"/>
      <c r="R112" s="833" t="n"/>
      <c r="S112" s="798" t="n"/>
      <c r="T112" s="40" t="inlineStr"/>
      <c r="U112" s="40" t="inlineStr"/>
      <c r="V112" s="41" t="inlineStr">
        <is>
          <t>кг</t>
        </is>
      </c>
      <c r="W112" s="834" t="n">
        <v>0</v>
      </c>
      <c r="X112" s="835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40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458" t="n">
        <v>4607091385427</v>
      </c>
      <c r="E113" s="798" t="n"/>
      <c r="F113" s="831" t="n">
        <v>0.5</v>
      </c>
      <c r="G113" s="38" t="n">
        <v>6</v>
      </c>
      <c r="H113" s="831" t="n">
        <v>3</v>
      </c>
      <c r="I113" s="83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9" t="n"/>
      <c r="N113" s="38" t="n">
        <v>40</v>
      </c>
      <c r="O113" s="899">
        <f>HYPERLINK("https://abi.ru/products/Охлажденные/Вязанка/Вязанка/Сосиски/P003030/","Сосиски Рубленые Вязанка Фикс.вес 0,5 п/а мгс Вязанка")</f>
        <v/>
      </c>
      <c r="P113" s="833" t="n"/>
      <c r="Q113" s="833" t="n"/>
      <c r="R113" s="833" t="n"/>
      <c r="S113" s="798" t="n"/>
      <c r="T113" s="40" t="inlineStr"/>
      <c r="U113" s="40" t="inlineStr"/>
      <c r="V113" s="41" t="inlineStr">
        <is>
          <t>кг</t>
        </is>
      </c>
      <c r="W113" s="834" t="n">
        <v>0</v>
      </c>
      <c r="X113" s="835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41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458" t="n">
        <v>4680115882645</v>
      </c>
      <c r="E114" s="798" t="n"/>
      <c r="F114" s="831" t="n">
        <v>0.3</v>
      </c>
      <c r="G114" s="38" t="n">
        <v>6</v>
      </c>
      <c r="H114" s="831" t="n">
        <v>1.8</v>
      </c>
      <c r="I114" s="83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40</v>
      </c>
      <c r="O114" s="900">
        <f>HYPERLINK("https://abi.ru/products/Охлажденные/Вязанка/Вязанка/Сосиски/P003464/","Сосиски «Сливушки с сыром» ф/в 0,3 п/а ТМ «Вязанка»")</f>
        <v/>
      </c>
      <c r="P114" s="833" t="n"/>
      <c r="Q114" s="833" t="n"/>
      <c r="R114" s="833" t="n"/>
      <c r="S114" s="798" t="n"/>
      <c r="T114" s="40" t="inlineStr"/>
      <c r="U114" s="40" t="inlineStr"/>
      <c r="V114" s="41" t="inlineStr">
        <is>
          <t>кг</t>
        </is>
      </c>
      <c r="W114" s="834" t="n">
        <v>0</v>
      </c>
      <c r="X114" s="835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42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16.5" customHeight="1">
      <c r="A115" s="64" t="inlineStr">
        <is>
          <t>SU002825</t>
        </is>
      </c>
      <c r="B115" s="64" t="inlineStr">
        <is>
          <t>P003232</t>
        </is>
      </c>
      <c r="C115" s="37" t="n">
        <v>4301051395</v>
      </c>
      <c r="D115" s="458" t="n">
        <v>4680115884311</v>
      </c>
      <c r="E115" s="798" t="n"/>
      <c r="F115" s="831" t="n">
        <v>0.3</v>
      </c>
      <c r="G115" s="38" t="n">
        <v>6</v>
      </c>
      <c r="H115" s="831" t="n">
        <v>1.8</v>
      </c>
      <c r="I115" s="831" t="n">
        <v>2.066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30</v>
      </c>
      <c r="O115" s="901">
        <f>HYPERLINK("https://abi.ru/products/Охлажденные/Вязанка/Вязанка/Сосиски/P003232/","Сосиски «Филейские» Фикс.вес 0,3 ц/о мгс ТМ «Вязанка»")</f>
        <v/>
      </c>
      <c r="P115" s="833" t="n"/>
      <c r="Q115" s="833" t="n"/>
      <c r="R115" s="833" t="n"/>
      <c r="S115" s="798" t="n"/>
      <c r="T115" s="40" t="inlineStr"/>
      <c r="U115" s="40" t="inlineStr"/>
      <c r="V115" s="41" t="inlineStr">
        <is>
          <t>кг</t>
        </is>
      </c>
      <c r="W115" s="834" t="n">
        <v>0</v>
      </c>
      <c r="X115" s="835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3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SU003288</t>
        </is>
      </c>
      <c r="B116" s="64" t="inlineStr">
        <is>
          <t>P003983</t>
        </is>
      </c>
      <c r="C116" s="37" t="n">
        <v>4301051641</v>
      </c>
      <c r="D116" s="458" t="n">
        <v>4680115884403</v>
      </c>
      <c r="E116" s="798" t="n"/>
      <c r="F116" s="831" t="n">
        <v>0.3</v>
      </c>
      <c r="G116" s="38" t="n">
        <v>6</v>
      </c>
      <c r="H116" s="831" t="n">
        <v>1.8</v>
      </c>
      <c r="I116" s="831" t="n">
        <v>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30</v>
      </c>
      <c r="O116" s="902">
        <f>HYPERLINK("https://abi.ru/products/Охлажденные/Вязанка/Вязанка/Сосиски/P003983/","Сосиски «Филейские рубленые» ф/в 0,3 ц/о ТМ «Вязанка»")</f>
        <v/>
      </c>
      <c r="P116" s="833" t="n"/>
      <c r="Q116" s="833" t="n"/>
      <c r="R116" s="833" t="n"/>
      <c r="S116" s="798" t="n"/>
      <c r="T116" s="40" t="inlineStr"/>
      <c r="U116" s="40" t="inlineStr"/>
      <c r="V116" s="41" t="inlineStr">
        <is>
          <t>кг</t>
        </is>
      </c>
      <c r="W116" s="834" t="n">
        <v>0</v>
      </c>
      <c r="X116" s="835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4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>
      <c r="A117" s="467" t="n"/>
      <c r="B117" s="785" t="n"/>
      <c r="C117" s="785" t="n"/>
      <c r="D117" s="785" t="n"/>
      <c r="E117" s="785" t="n"/>
      <c r="F117" s="785" t="n"/>
      <c r="G117" s="785" t="n"/>
      <c r="H117" s="785" t="n"/>
      <c r="I117" s="785" t="n"/>
      <c r="J117" s="785" t="n"/>
      <c r="K117" s="785" t="n"/>
      <c r="L117" s="785" t="n"/>
      <c r="M117" s="785" t="n"/>
      <c r="N117" s="837" t="n"/>
      <c r="O117" s="838" t="inlineStr">
        <is>
          <t>Итого</t>
        </is>
      </c>
      <c r="P117" s="805" t="n"/>
      <c r="Q117" s="805" t="n"/>
      <c r="R117" s="805" t="n"/>
      <c r="S117" s="805" t="n"/>
      <c r="T117" s="805" t="n"/>
      <c r="U117" s="806" t="n"/>
      <c r="V117" s="43" t="inlineStr">
        <is>
          <t>кор</t>
        </is>
      </c>
      <c r="W117" s="839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839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/>
      </c>
      <c r="Y117" s="839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/>
      </c>
      <c r="Z117" s="840" t="n"/>
      <c r="AA117" s="840" t="n"/>
    </row>
    <row r="118">
      <c r="A118" s="785" t="n"/>
      <c r="B118" s="785" t="n"/>
      <c r="C118" s="785" t="n"/>
      <c r="D118" s="785" t="n"/>
      <c r="E118" s="785" t="n"/>
      <c r="F118" s="785" t="n"/>
      <c r="G118" s="785" t="n"/>
      <c r="H118" s="785" t="n"/>
      <c r="I118" s="785" t="n"/>
      <c r="J118" s="785" t="n"/>
      <c r="K118" s="785" t="n"/>
      <c r="L118" s="785" t="n"/>
      <c r="M118" s="785" t="n"/>
      <c r="N118" s="837" t="n"/>
      <c r="O118" s="838" t="inlineStr">
        <is>
          <t>Итого</t>
        </is>
      </c>
      <c r="P118" s="805" t="n"/>
      <c r="Q118" s="805" t="n"/>
      <c r="R118" s="805" t="n"/>
      <c r="S118" s="805" t="n"/>
      <c r="T118" s="805" t="n"/>
      <c r="U118" s="806" t="n"/>
      <c r="V118" s="43" t="inlineStr">
        <is>
          <t>кг</t>
        </is>
      </c>
      <c r="W118" s="839">
        <f>IFERROR(SUM(W102:W116),"0")</f>
        <v/>
      </c>
      <c r="X118" s="839">
        <f>IFERROR(SUM(X102:X116),"0")</f>
        <v/>
      </c>
      <c r="Y118" s="43" t="n"/>
      <c r="Z118" s="840" t="n"/>
      <c r="AA118" s="840" t="n"/>
    </row>
    <row r="119" ht="14.25" customHeight="1">
      <c r="A119" s="457" t="inlineStr">
        <is>
          <t>Сардельки</t>
        </is>
      </c>
      <c r="B119" s="785" t="n"/>
      <c r="C119" s="785" t="n"/>
      <c r="D119" s="785" t="n"/>
      <c r="E119" s="785" t="n"/>
      <c r="F119" s="785" t="n"/>
      <c r="G119" s="785" t="n"/>
      <c r="H119" s="785" t="n"/>
      <c r="I119" s="785" t="n"/>
      <c r="J119" s="785" t="n"/>
      <c r="K119" s="785" t="n"/>
      <c r="L119" s="785" t="n"/>
      <c r="M119" s="785" t="n"/>
      <c r="N119" s="785" t="n"/>
      <c r="O119" s="785" t="n"/>
      <c r="P119" s="785" t="n"/>
      <c r="Q119" s="785" t="n"/>
      <c r="R119" s="785" t="n"/>
      <c r="S119" s="785" t="n"/>
      <c r="T119" s="785" t="n"/>
      <c r="U119" s="785" t="n"/>
      <c r="V119" s="785" t="n"/>
      <c r="W119" s="785" t="n"/>
      <c r="X119" s="785" t="n"/>
      <c r="Y119" s="785" t="n"/>
      <c r="Z119" s="457" t="n"/>
      <c r="AA119" s="457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458" t="n">
        <v>4607091383065</v>
      </c>
      <c r="E120" s="798" t="n"/>
      <c r="F120" s="831" t="n">
        <v>0.83</v>
      </c>
      <c r="G120" s="38" t="n">
        <v>4</v>
      </c>
      <c r="H120" s="831" t="n">
        <v>3.32</v>
      </c>
      <c r="I120" s="831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9" t="n"/>
      <c r="N120" s="38" t="n">
        <v>30</v>
      </c>
      <c r="O120" s="9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0" s="833" t="n"/>
      <c r="Q120" s="833" t="n"/>
      <c r="R120" s="833" t="n"/>
      <c r="S120" s="798" t="n"/>
      <c r="T120" s="40" t="inlineStr"/>
      <c r="U120" s="40" t="inlineStr"/>
      <c r="V120" s="41" t="inlineStr">
        <is>
          <t>кг</t>
        </is>
      </c>
      <c r="W120" s="834" t="n">
        <v>0</v>
      </c>
      <c r="X120" s="835">
        <f>IFERROR(IF(W120="",0,CEILING((W120/$H120),1)*$H120),"")</f>
        <v/>
      </c>
      <c r="Y120" s="42">
        <f>IFERROR(IF(X120=0,"",ROUNDUP(X120/H120,0)*0.00937),"")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58" t="n">
        <v>4680115881532</v>
      </c>
      <c r="E121" s="798" t="n"/>
      <c r="F121" s="831" t="n">
        <v>1.4</v>
      </c>
      <c r="G121" s="38" t="n">
        <v>6</v>
      </c>
      <c r="H121" s="831" t="n">
        <v>8.4</v>
      </c>
      <c r="I121" s="831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9" t="n"/>
      <c r="N121" s="38" t="n">
        <v>30</v>
      </c>
      <c r="O121" s="904">
        <f>HYPERLINK("https://abi.ru/products/Охлажденные/Вязанка/Вязанка/Сардельки/P003906/","Сардельки «Филейские» Весовые н/о мгс ТМ «Вязанка»")</f>
        <v/>
      </c>
      <c r="P121" s="833" t="n"/>
      <c r="Q121" s="833" t="n"/>
      <c r="R121" s="833" t="n"/>
      <c r="S121" s="798" t="n"/>
      <c r="T121" s="40" t="inlineStr"/>
      <c r="U121" s="40" t="inlineStr"/>
      <c r="V121" s="41" t="inlineStr">
        <is>
          <t>кг</t>
        </is>
      </c>
      <c r="W121" s="834" t="n">
        <v>0</v>
      </c>
      <c r="X121" s="835">
        <f>IFERROR(IF(W121="",0,CEILING((W121/$H121),1)*$H121),"")</f>
        <v/>
      </c>
      <c r="Y121" s="42">
        <f>IFERROR(IF(X121=0,"",ROUNDUP(X121/H121,0)*0.02175),"")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458" t="n">
        <v>4680115881532</v>
      </c>
      <c r="E122" s="798" t="n"/>
      <c r="F122" s="831" t="n">
        <v>1.3</v>
      </c>
      <c r="G122" s="38" t="n">
        <v>6</v>
      </c>
      <c r="H122" s="831" t="n">
        <v>7.8</v>
      </c>
      <c r="I122" s="831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9" t="n"/>
      <c r="N122" s="38" t="n">
        <v>30</v>
      </c>
      <c r="O122" s="905">
        <f>HYPERLINK("https://abi.ru/products/Охлажденные/Вязанка/Вязанка/Сардельки/P003883/","Сардельки «Филейские» Весовые н/о мгс ТМ «Вязанка»")</f>
        <v/>
      </c>
      <c r="P122" s="833" t="n"/>
      <c r="Q122" s="833" t="n"/>
      <c r="R122" s="833" t="n"/>
      <c r="S122" s="798" t="n"/>
      <c r="T122" s="40" t="inlineStr"/>
      <c r="U122" s="40" t="inlineStr"/>
      <c r="V122" s="41" t="inlineStr">
        <is>
          <t>кг</t>
        </is>
      </c>
      <c r="W122" s="834" t="n">
        <v>0</v>
      </c>
      <c r="X122" s="835">
        <f>IFERROR(IF(W122="",0,CEILING((W122/$H122),1)*$H122),"")</f>
        <v/>
      </c>
      <c r="Y122" s="42">
        <f>IFERROR(IF(X122=0,"",ROUNDUP(X122/H122,0)*0.02175),"")</f>
        <v/>
      </c>
      <c r="Z122" s="69" t="inlineStr"/>
      <c r="AA122" s="70" t="inlineStr"/>
      <c r="AE122" s="80" t="n"/>
      <c r="BB122" s="147" t="inlineStr">
        <is>
          <t>КИ</t>
        </is>
      </c>
      <c r="BL122" s="80">
        <f>IFERROR(W122*I122/H122,"0")</f>
        <v/>
      </c>
      <c r="BM122" s="80">
        <f>IFERROR(X122*I122/H122,"0")</f>
        <v/>
      </c>
      <c r="BN122" s="80">
        <f>IFERROR(1/J122*(W122/H122),"0")</f>
        <v/>
      </c>
      <c r="BO122" s="80">
        <f>IFERROR(1/J122*(X122/H122),"0")</f>
        <v/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58" t="n">
        <v>4680115881532</v>
      </c>
      <c r="E123" s="798" t="n"/>
      <c r="F123" s="831" t="n">
        <v>1.35</v>
      </c>
      <c r="G123" s="38" t="n">
        <v>6</v>
      </c>
      <c r="H123" s="831" t="n">
        <v>8.1</v>
      </c>
      <c r="I123" s="831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9" t="n"/>
      <c r="N123" s="38" t="n">
        <v>30</v>
      </c>
      <c r="O123" s="906">
        <f>HYPERLINK("https://abi.ru/products/Охлажденные/Вязанка/Вязанка/Сардельки/P003237/","Сардельки «Филейские» Весовые NDX мгс ТМ «Вязанка»")</f>
        <v/>
      </c>
      <c r="P123" s="833" t="n"/>
      <c r="Q123" s="833" t="n"/>
      <c r="R123" s="833" t="n"/>
      <c r="S123" s="798" t="n"/>
      <c r="T123" s="40" t="inlineStr"/>
      <c r="U123" s="40" t="inlineStr"/>
      <c r="V123" s="41" t="inlineStr">
        <is>
          <t>кг</t>
        </is>
      </c>
      <c r="W123" s="834" t="n">
        <v>0</v>
      </c>
      <c r="X123" s="835">
        <f>IFERROR(IF(W123="",0,CEILING((W123/$H123),1)*$H123),"")</f>
        <v/>
      </c>
      <c r="Y123" s="42">
        <f>IFERROR(IF(X123=0,"",ROUNDUP(X123/H123,0)*0.02175),"")</f>
        <v/>
      </c>
      <c r="Z123" s="69" t="inlineStr"/>
      <c r="AA123" s="70" t="inlineStr"/>
      <c r="AE123" s="80" t="n"/>
      <c r="BB123" s="148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458" t="n">
        <v>4680115882652</v>
      </c>
      <c r="E124" s="798" t="n"/>
      <c r="F124" s="831" t="n">
        <v>0.33</v>
      </c>
      <c r="G124" s="38" t="n">
        <v>6</v>
      </c>
      <c r="H124" s="831" t="n">
        <v>1.98</v>
      </c>
      <c r="I124" s="831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9" t="n"/>
      <c r="N124" s="38" t="n">
        <v>40</v>
      </c>
      <c r="O124" s="90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4" s="833" t="n"/>
      <c r="Q124" s="833" t="n"/>
      <c r="R124" s="833" t="n"/>
      <c r="S124" s="798" t="n"/>
      <c r="T124" s="40" t="inlineStr"/>
      <c r="U124" s="40" t="inlineStr"/>
      <c r="V124" s="41" t="inlineStr">
        <is>
          <t>кг</t>
        </is>
      </c>
      <c r="W124" s="834" t="n">
        <v>0</v>
      </c>
      <c r="X124" s="835">
        <f>IFERROR(IF(W124="",0,CEILING((W124/$H124),1)*$H124),"")</f>
        <v/>
      </c>
      <c r="Y124" s="42">
        <f>IFERROR(IF(X124=0,"",ROUNDUP(X124/H124,0)*0.00753),"")</f>
        <v/>
      </c>
      <c r="Z124" s="69" t="inlineStr"/>
      <c r="AA124" s="70" t="inlineStr"/>
      <c r="AE124" s="80" t="n"/>
      <c r="BB124" s="149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458" t="n">
        <v>4680115880238</v>
      </c>
      <c r="E125" s="798" t="n"/>
      <c r="F125" s="831" t="n">
        <v>0.33</v>
      </c>
      <c r="G125" s="38" t="n">
        <v>6</v>
      </c>
      <c r="H125" s="831" t="n">
        <v>1.98</v>
      </c>
      <c r="I125" s="831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9" t="n"/>
      <c r="N125" s="38" t="n">
        <v>40</v>
      </c>
      <c r="O125" s="908">
        <f>HYPERLINK("https://abi.ru/products/Охлажденные/Вязанка/Вязанка/Сардельки/P002644/","Сардельки Сливушки фикс.вес 0,33 п/а мгс ТМ Вязанка")</f>
        <v/>
      </c>
      <c r="P125" s="833" t="n"/>
      <c r="Q125" s="833" t="n"/>
      <c r="R125" s="833" t="n"/>
      <c r="S125" s="798" t="n"/>
      <c r="T125" s="40" t="inlineStr"/>
      <c r="U125" s="40" t="inlineStr"/>
      <c r="V125" s="41" t="inlineStr">
        <is>
          <t>кг</t>
        </is>
      </c>
      <c r="W125" s="834" t="n">
        <v>0</v>
      </c>
      <c r="X125" s="835">
        <f>IFERROR(IF(W125="",0,CEILING((W125/$H125),1)*$H125),"")</f>
        <v/>
      </c>
      <c r="Y125" s="42">
        <f>IFERROR(IF(X125=0,"",ROUNDUP(X125/H125,0)*0.00753),"")</f>
        <v/>
      </c>
      <c r="Z125" s="69" t="inlineStr"/>
      <c r="AA125" s="70" t="inlineStr"/>
      <c r="AE125" s="80" t="n"/>
      <c r="BB125" s="150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458" t="n">
        <v>4680115881464</v>
      </c>
      <c r="E126" s="798" t="n"/>
      <c r="F126" s="831" t="n">
        <v>0.4</v>
      </c>
      <c r="G126" s="38" t="n">
        <v>6</v>
      </c>
      <c r="H126" s="831" t="n">
        <v>2.4</v>
      </c>
      <c r="I126" s="831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9" t="n"/>
      <c r="N126" s="38" t="n">
        <v>30</v>
      </c>
      <c r="O126" s="909">
        <f>HYPERLINK("https://abi.ru/products/Охлажденные/Вязанка/Вязанка/Сардельки/P003238/","Сардельки «Филейские» Фикс.вес 0,4 NDX мгс ТМ «Вязанка»")</f>
        <v/>
      </c>
      <c r="P126" s="833" t="n"/>
      <c r="Q126" s="833" t="n"/>
      <c r="R126" s="833" t="n"/>
      <c r="S126" s="798" t="n"/>
      <c r="T126" s="40" t="inlineStr"/>
      <c r="U126" s="40" t="inlineStr"/>
      <c r="V126" s="41" t="inlineStr">
        <is>
          <t>кг</t>
        </is>
      </c>
      <c r="W126" s="834" t="n">
        <v>0</v>
      </c>
      <c r="X126" s="835">
        <f>IFERROR(IF(W126="",0,CEILING((W126/$H126),1)*$H126),"")</f>
        <v/>
      </c>
      <c r="Y126" s="42">
        <f>IFERROR(IF(X126=0,"",ROUNDUP(X126/H126,0)*0.00753),"")</f>
        <v/>
      </c>
      <c r="Z126" s="69" t="inlineStr"/>
      <c r="AA126" s="70" t="inlineStr"/>
      <c r="AE126" s="80" t="n"/>
      <c r="BB126" s="151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>
      <c r="A127" s="467" t="n"/>
      <c r="B127" s="785" t="n"/>
      <c r="C127" s="785" t="n"/>
      <c r="D127" s="785" t="n"/>
      <c r="E127" s="785" t="n"/>
      <c r="F127" s="785" t="n"/>
      <c r="G127" s="785" t="n"/>
      <c r="H127" s="785" t="n"/>
      <c r="I127" s="785" t="n"/>
      <c r="J127" s="785" t="n"/>
      <c r="K127" s="785" t="n"/>
      <c r="L127" s="785" t="n"/>
      <c r="M127" s="785" t="n"/>
      <c r="N127" s="837" t="n"/>
      <c r="O127" s="838" t="inlineStr">
        <is>
          <t>Итого</t>
        </is>
      </c>
      <c r="P127" s="805" t="n"/>
      <c r="Q127" s="805" t="n"/>
      <c r="R127" s="805" t="n"/>
      <c r="S127" s="805" t="n"/>
      <c r="T127" s="805" t="n"/>
      <c r="U127" s="806" t="n"/>
      <c r="V127" s="43" t="inlineStr">
        <is>
          <t>кор</t>
        </is>
      </c>
      <c r="W127" s="839">
        <f>IFERROR(W120/H120,"0")+IFERROR(W121/H121,"0")+IFERROR(W122/H122,"0")+IFERROR(W123/H123,"0")+IFERROR(W124/H124,"0")+IFERROR(W125/H125,"0")+IFERROR(W126/H126,"0")</f>
        <v/>
      </c>
      <c r="X127" s="839">
        <f>IFERROR(X120/H120,"0")+IFERROR(X121/H121,"0")+IFERROR(X122/H122,"0")+IFERROR(X123/H123,"0")+IFERROR(X124/H124,"0")+IFERROR(X125/H125,"0")+IFERROR(X126/H126,"0")</f>
        <v/>
      </c>
      <c r="Y127" s="839">
        <f>IFERROR(IF(Y120="",0,Y120),"0")+IFERROR(IF(Y121="",0,Y121),"0")+IFERROR(IF(Y122="",0,Y122),"0")+IFERROR(IF(Y123="",0,Y123),"0")+IFERROR(IF(Y124="",0,Y124),"0")+IFERROR(IF(Y125="",0,Y125),"0")+IFERROR(IF(Y126="",0,Y126),"0")</f>
        <v/>
      </c>
      <c r="Z127" s="840" t="n"/>
      <c r="AA127" s="840" t="n"/>
    </row>
    <row r="128">
      <c r="A128" s="785" t="n"/>
      <c r="B128" s="785" t="n"/>
      <c r="C128" s="785" t="n"/>
      <c r="D128" s="785" t="n"/>
      <c r="E128" s="785" t="n"/>
      <c r="F128" s="785" t="n"/>
      <c r="G128" s="785" t="n"/>
      <c r="H128" s="785" t="n"/>
      <c r="I128" s="785" t="n"/>
      <c r="J128" s="785" t="n"/>
      <c r="K128" s="785" t="n"/>
      <c r="L128" s="785" t="n"/>
      <c r="M128" s="785" t="n"/>
      <c r="N128" s="837" t="n"/>
      <c r="O128" s="838" t="inlineStr">
        <is>
          <t>Итого</t>
        </is>
      </c>
      <c r="P128" s="805" t="n"/>
      <c r="Q128" s="805" t="n"/>
      <c r="R128" s="805" t="n"/>
      <c r="S128" s="805" t="n"/>
      <c r="T128" s="805" t="n"/>
      <c r="U128" s="806" t="n"/>
      <c r="V128" s="43" t="inlineStr">
        <is>
          <t>кг</t>
        </is>
      </c>
      <c r="W128" s="839">
        <f>IFERROR(SUM(W120:W126),"0")</f>
        <v/>
      </c>
      <c r="X128" s="839">
        <f>IFERROR(SUM(X120:X126),"0")</f>
        <v/>
      </c>
      <c r="Y128" s="43" t="n"/>
      <c r="Z128" s="840" t="n"/>
      <c r="AA128" s="840" t="n"/>
    </row>
    <row r="129" ht="16.5" customHeight="1">
      <c r="A129" s="456" t="inlineStr">
        <is>
          <t>Сливушки</t>
        </is>
      </c>
      <c r="B129" s="785" t="n"/>
      <c r="C129" s="785" t="n"/>
      <c r="D129" s="785" t="n"/>
      <c r="E129" s="785" t="n"/>
      <c r="F129" s="785" t="n"/>
      <c r="G129" s="785" t="n"/>
      <c r="H129" s="785" t="n"/>
      <c r="I129" s="785" t="n"/>
      <c r="J129" s="785" t="n"/>
      <c r="K129" s="785" t="n"/>
      <c r="L129" s="785" t="n"/>
      <c r="M129" s="785" t="n"/>
      <c r="N129" s="785" t="n"/>
      <c r="O129" s="785" t="n"/>
      <c r="P129" s="785" t="n"/>
      <c r="Q129" s="785" t="n"/>
      <c r="R129" s="785" t="n"/>
      <c r="S129" s="785" t="n"/>
      <c r="T129" s="785" t="n"/>
      <c r="U129" s="785" t="n"/>
      <c r="V129" s="785" t="n"/>
      <c r="W129" s="785" t="n"/>
      <c r="X129" s="785" t="n"/>
      <c r="Y129" s="785" t="n"/>
      <c r="Z129" s="456" t="n"/>
      <c r="AA129" s="456" t="n"/>
    </row>
    <row r="130" ht="14.25" customHeight="1">
      <c r="A130" s="457" t="inlineStr">
        <is>
          <t>Сосиски</t>
        </is>
      </c>
      <c r="B130" s="785" t="n"/>
      <c r="C130" s="785" t="n"/>
      <c r="D130" s="785" t="n"/>
      <c r="E130" s="785" t="n"/>
      <c r="F130" s="785" t="n"/>
      <c r="G130" s="785" t="n"/>
      <c r="H130" s="785" t="n"/>
      <c r="I130" s="785" t="n"/>
      <c r="J130" s="785" t="n"/>
      <c r="K130" s="785" t="n"/>
      <c r="L130" s="785" t="n"/>
      <c r="M130" s="785" t="n"/>
      <c r="N130" s="785" t="n"/>
      <c r="O130" s="785" t="n"/>
      <c r="P130" s="785" t="n"/>
      <c r="Q130" s="785" t="n"/>
      <c r="R130" s="785" t="n"/>
      <c r="S130" s="785" t="n"/>
      <c r="T130" s="785" t="n"/>
      <c r="U130" s="785" t="n"/>
      <c r="V130" s="785" t="n"/>
      <c r="W130" s="785" t="n"/>
      <c r="X130" s="785" t="n"/>
      <c r="Y130" s="785" t="n"/>
      <c r="Z130" s="457" t="n"/>
      <c r="AA130" s="457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458" t="n">
        <v>4607091385168</v>
      </c>
      <c r="E131" s="798" t="n"/>
      <c r="F131" s="831" t="n">
        <v>1.4</v>
      </c>
      <c r="G131" s="38" t="n">
        <v>6</v>
      </c>
      <c r="H131" s="831" t="n">
        <v>8.4</v>
      </c>
      <c r="I131" s="831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9" t="n"/>
      <c r="N131" s="38" t="n">
        <v>45</v>
      </c>
      <c r="O131" s="910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1" s="833" t="n"/>
      <c r="Q131" s="833" t="n"/>
      <c r="R131" s="833" t="n"/>
      <c r="S131" s="798" t="n"/>
      <c r="T131" s="40" t="inlineStr"/>
      <c r="U131" s="40" t="inlineStr"/>
      <c r="V131" s="41" t="inlineStr">
        <is>
          <t>кг</t>
        </is>
      </c>
      <c r="W131" s="834" t="n">
        <v>0</v>
      </c>
      <c r="X131" s="835">
        <f>IFERROR(IF(W131="",0,CEILING((W131/$H131),1)*$H131),"")</f>
        <v/>
      </c>
      <c r="Y131" s="42">
        <f>IFERROR(IF(X131=0,"",ROUNDUP(X131/H131,0)*0.02175),"")</f>
        <v/>
      </c>
      <c r="Z131" s="69" t="inlineStr"/>
      <c r="AA131" s="70" t="inlineStr"/>
      <c r="AE131" s="80" t="n"/>
      <c r="BB131" s="152" t="inlineStr">
        <is>
          <t>КИ</t>
        </is>
      </c>
      <c r="BL131" s="80">
        <f>IFERROR(W131*I131/H131,"0")</f>
        <v/>
      </c>
      <c r="BM131" s="80">
        <f>IFERROR(X131*I131/H131,"0")</f>
        <v/>
      </c>
      <c r="BN131" s="80">
        <f>IFERROR(1/J131*(W131/H131),"0")</f>
        <v/>
      </c>
      <c r="BO131" s="80">
        <f>IFERROR(1/J131*(X131/H131),"0")</f>
        <v/>
      </c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458" t="n">
        <v>4607091385168</v>
      </c>
      <c r="E132" s="798" t="n"/>
      <c r="F132" s="831" t="n">
        <v>1.35</v>
      </c>
      <c r="G132" s="38" t="n">
        <v>6</v>
      </c>
      <c r="H132" s="831" t="n">
        <v>8.1</v>
      </c>
      <c r="I132" s="831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9" t="n"/>
      <c r="N132" s="38" t="n">
        <v>45</v>
      </c>
      <c r="O132" s="91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2" s="833" t="n"/>
      <c r="Q132" s="833" t="n"/>
      <c r="R132" s="833" t="n"/>
      <c r="S132" s="798" t="n"/>
      <c r="T132" s="40" t="inlineStr"/>
      <c r="U132" s="40" t="inlineStr"/>
      <c r="V132" s="41" t="inlineStr">
        <is>
          <t>кг</t>
        </is>
      </c>
      <c r="W132" s="834" t="n">
        <v>0</v>
      </c>
      <c r="X132" s="835">
        <f>IFERROR(IF(W132="",0,CEILING((W132/$H132),1)*$H132),"")</f>
        <v/>
      </c>
      <c r="Y132" s="42">
        <f>IFERROR(IF(X132=0,"",ROUNDUP(X132/H132,0)*0.02175),"")</f>
        <v/>
      </c>
      <c r="Z132" s="69" t="inlineStr"/>
      <c r="AA132" s="70" t="inlineStr"/>
      <c r="AE132" s="80" t="n"/>
      <c r="BB132" s="153" t="inlineStr">
        <is>
          <t>КИ</t>
        </is>
      </c>
      <c r="BL132" s="80">
        <f>IFERROR(W132*I132/H132,"0")</f>
        <v/>
      </c>
      <c r="BM132" s="80">
        <f>IFERROR(X132*I132/H132,"0")</f>
        <v/>
      </c>
      <c r="BN132" s="80">
        <f>IFERROR(1/J132*(W132/H132),"0")</f>
        <v/>
      </c>
      <c r="BO132" s="80">
        <f>IFERROR(1/J132*(X132/H132),"0")</f>
        <v/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458" t="n">
        <v>4607091383256</v>
      </c>
      <c r="E133" s="798" t="n"/>
      <c r="F133" s="831" t="n">
        <v>0.33</v>
      </c>
      <c r="G133" s="38" t="n">
        <v>6</v>
      </c>
      <c r="H133" s="831" t="n">
        <v>1.98</v>
      </c>
      <c r="I133" s="831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9" t="n"/>
      <c r="N133" s="38" t="n">
        <v>45</v>
      </c>
      <c r="O133" s="912">
        <f>HYPERLINK("https://abi.ru/products/Охлажденные/Вязанка/Сливушки/Сосиски/P003162/","Сосиски Сливочные Сливушки Фикс.вес 0,33 П/а мгс Вязанка")</f>
        <v/>
      </c>
      <c r="P133" s="833" t="n"/>
      <c r="Q133" s="833" t="n"/>
      <c r="R133" s="833" t="n"/>
      <c r="S133" s="798" t="n"/>
      <c r="T133" s="40" t="inlineStr"/>
      <c r="U133" s="40" t="inlineStr"/>
      <c r="V133" s="41" t="inlineStr">
        <is>
          <t>кг</t>
        </is>
      </c>
      <c r="W133" s="834" t="n">
        <v>0</v>
      </c>
      <c r="X133" s="835">
        <f>IFERROR(IF(W133="",0,CEILING((W133/$H133),1)*$H133),"")</f>
        <v/>
      </c>
      <c r="Y133" s="42">
        <f>IFERROR(IF(X133=0,"",ROUNDUP(X133/H133,0)*0.00753),"")</f>
        <v/>
      </c>
      <c r="Z133" s="69" t="inlineStr"/>
      <c r="AA133" s="70" t="inlineStr"/>
      <c r="AE133" s="80" t="n"/>
      <c r="BB133" s="154" t="inlineStr">
        <is>
          <t>КИ</t>
        </is>
      </c>
      <c r="BL133" s="80">
        <f>IFERROR(W133*I133/H133,"0")</f>
        <v/>
      </c>
      <c r="BM133" s="80">
        <f>IFERROR(X133*I133/H133,"0")</f>
        <v/>
      </c>
      <c r="BN133" s="80">
        <f>IFERROR(1/J133*(W133/H133),"0")</f>
        <v/>
      </c>
      <c r="BO133" s="80">
        <f>IFERROR(1/J133*(X133/H133),"0")</f>
        <v/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458" t="n">
        <v>4607091385748</v>
      </c>
      <c r="E134" s="798" t="n"/>
      <c r="F134" s="831" t="n">
        <v>0.45</v>
      </c>
      <c r="G134" s="38" t="n">
        <v>6</v>
      </c>
      <c r="H134" s="831" t="n">
        <v>2.7</v>
      </c>
      <c r="I134" s="831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9" t="n"/>
      <c r="N134" s="38" t="n">
        <v>45</v>
      </c>
      <c r="O134" s="913">
        <f>HYPERLINK("https://abi.ru/products/Охлажденные/Вязанка/Сливушки/Сосиски/P003160/","Сосиски Сливочные Сливушки Фикс.вес 0,45 П/а мгс Вязанка")</f>
        <v/>
      </c>
      <c r="P134" s="833" t="n"/>
      <c r="Q134" s="833" t="n"/>
      <c r="R134" s="833" t="n"/>
      <c r="S134" s="798" t="n"/>
      <c r="T134" s="40" t="inlineStr"/>
      <c r="U134" s="40" t="inlineStr"/>
      <c r="V134" s="41" t="inlineStr">
        <is>
          <t>кг</t>
        </is>
      </c>
      <c r="W134" s="834" t="n">
        <v>0</v>
      </c>
      <c r="X134" s="835">
        <f>IFERROR(IF(W134="",0,CEILING((W134/$H134),1)*$H134),"")</f>
        <v/>
      </c>
      <c r="Y134" s="42">
        <f>IFERROR(IF(X134=0,"",ROUNDUP(X134/H134,0)*0.00753),"")</f>
        <v/>
      </c>
      <c r="Z134" s="69" t="inlineStr"/>
      <c r="AA134" s="70" t="inlineStr"/>
      <c r="AE134" s="80" t="n"/>
      <c r="BB134" s="155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16.5" customHeight="1">
      <c r="A135" s="64" t="inlineStr">
        <is>
          <t>SU003336</t>
        </is>
      </c>
      <c r="B135" s="64" t="inlineStr">
        <is>
          <t>P004116</t>
        </is>
      </c>
      <c r="C135" s="37" t="n">
        <v>4301051738</v>
      </c>
      <c r="D135" s="458" t="n">
        <v>4680115884533</v>
      </c>
      <c r="E135" s="798" t="n"/>
      <c r="F135" s="831" t="n">
        <v>0.3</v>
      </c>
      <c r="G135" s="38" t="n">
        <v>6</v>
      </c>
      <c r="H135" s="831" t="n">
        <v>1.8</v>
      </c>
      <c r="I135" s="831" t="n">
        <v>2</v>
      </c>
      <c r="J135" s="38" t="n">
        <v>156</v>
      </c>
      <c r="K135" s="38" t="inlineStr">
        <is>
          <t>12</t>
        </is>
      </c>
      <c r="L135" s="39" t="inlineStr">
        <is>
          <t>СК2</t>
        </is>
      </c>
      <c r="M135" s="39" t="n"/>
      <c r="N135" s="38" t="n">
        <v>45</v>
      </c>
      <c r="O135" s="914">
        <f>HYPERLINK("https://abi.ru/products/Охлажденные/Вязанка/Сливушки/Сосиски/P004116/","Сосиски «Сливушки по-венски» ф/в 0,3 п/а ТМ «Вязанка»")</f>
        <v/>
      </c>
      <c r="P135" s="833" t="n"/>
      <c r="Q135" s="833" t="n"/>
      <c r="R135" s="833" t="n"/>
      <c r="S135" s="798" t="n"/>
      <c r="T135" s="40" t="inlineStr"/>
      <c r="U135" s="40" t="inlineStr"/>
      <c r="V135" s="41" t="inlineStr">
        <is>
          <t>кг</t>
        </is>
      </c>
      <c r="W135" s="834" t="n">
        <v>0</v>
      </c>
      <c r="X135" s="835">
        <f>IFERROR(IF(W135="",0,CEILING((W135/$H135),1)*$H135),"")</f>
        <v/>
      </c>
      <c r="Y135" s="42">
        <f>IFERROR(IF(X135=0,"",ROUNDUP(X135/H135,0)*0.00753),"")</f>
        <v/>
      </c>
      <c r="Z135" s="69" t="inlineStr"/>
      <c r="AA135" s="70" t="inlineStr"/>
      <c r="AE135" s="80" t="n"/>
      <c r="BB135" s="156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>
      <c r="A136" s="467" t="n"/>
      <c r="B136" s="785" t="n"/>
      <c r="C136" s="785" t="n"/>
      <c r="D136" s="785" t="n"/>
      <c r="E136" s="785" t="n"/>
      <c r="F136" s="785" t="n"/>
      <c r="G136" s="785" t="n"/>
      <c r="H136" s="785" t="n"/>
      <c r="I136" s="785" t="n"/>
      <c r="J136" s="785" t="n"/>
      <c r="K136" s="785" t="n"/>
      <c r="L136" s="785" t="n"/>
      <c r="M136" s="785" t="n"/>
      <c r="N136" s="837" t="n"/>
      <c r="O136" s="838" t="inlineStr">
        <is>
          <t>Итого</t>
        </is>
      </c>
      <c r="P136" s="805" t="n"/>
      <c r="Q136" s="805" t="n"/>
      <c r="R136" s="805" t="n"/>
      <c r="S136" s="805" t="n"/>
      <c r="T136" s="805" t="n"/>
      <c r="U136" s="806" t="n"/>
      <c r="V136" s="43" t="inlineStr">
        <is>
          <t>кор</t>
        </is>
      </c>
      <c r="W136" s="839">
        <f>IFERROR(W131/H131,"0")+IFERROR(W132/H132,"0")+IFERROR(W133/H133,"0")+IFERROR(W134/H134,"0")+IFERROR(W135/H135,"0")</f>
        <v/>
      </c>
      <c r="X136" s="839">
        <f>IFERROR(X131/H131,"0")+IFERROR(X132/H132,"0")+IFERROR(X133/H133,"0")+IFERROR(X134/H134,"0")+IFERROR(X135/H135,"0")</f>
        <v/>
      </c>
      <c r="Y136" s="839">
        <f>IFERROR(IF(Y131="",0,Y131),"0")+IFERROR(IF(Y132="",0,Y132),"0")+IFERROR(IF(Y133="",0,Y133),"0")+IFERROR(IF(Y134="",0,Y134),"0")+IFERROR(IF(Y135="",0,Y135),"0")</f>
        <v/>
      </c>
      <c r="Z136" s="840" t="n"/>
      <c r="AA136" s="840" t="n"/>
    </row>
    <row r="137">
      <c r="A137" s="785" t="n"/>
      <c r="B137" s="785" t="n"/>
      <c r="C137" s="785" t="n"/>
      <c r="D137" s="785" t="n"/>
      <c r="E137" s="785" t="n"/>
      <c r="F137" s="785" t="n"/>
      <c r="G137" s="785" t="n"/>
      <c r="H137" s="785" t="n"/>
      <c r="I137" s="785" t="n"/>
      <c r="J137" s="785" t="n"/>
      <c r="K137" s="785" t="n"/>
      <c r="L137" s="785" t="n"/>
      <c r="M137" s="785" t="n"/>
      <c r="N137" s="837" t="n"/>
      <c r="O137" s="838" t="inlineStr">
        <is>
          <t>Итого</t>
        </is>
      </c>
      <c r="P137" s="805" t="n"/>
      <c r="Q137" s="805" t="n"/>
      <c r="R137" s="805" t="n"/>
      <c r="S137" s="805" t="n"/>
      <c r="T137" s="805" t="n"/>
      <c r="U137" s="806" t="n"/>
      <c r="V137" s="43" t="inlineStr">
        <is>
          <t>кг</t>
        </is>
      </c>
      <c r="W137" s="839">
        <f>IFERROR(SUM(W131:W135),"0")</f>
        <v/>
      </c>
      <c r="X137" s="839">
        <f>IFERROR(SUM(X131:X135),"0")</f>
        <v/>
      </c>
      <c r="Y137" s="43" t="n"/>
      <c r="Z137" s="840" t="n"/>
      <c r="AA137" s="840" t="n"/>
    </row>
    <row r="138" ht="27.75" customHeight="1">
      <c r="A138" s="455" t="inlineStr">
        <is>
          <t>Стародворье</t>
        </is>
      </c>
      <c r="B138" s="830" t="n"/>
      <c r="C138" s="830" t="n"/>
      <c r="D138" s="830" t="n"/>
      <c r="E138" s="830" t="n"/>
      <c r="F138" s="830" t="n"/>
      <c r="G138" s="830" t="n"/>
      <c r="H138" s="830" t="n"/>
      <c r="I138" s="830" t="n"/>
      <c r="J138" s="830" t="n"/>
      <c r="K138" s="830" t="n"/>
      <c r="L138" s="830" t="n"/>
      <c r="M138" s="830" t="n"/>
      <c r="N138" s="830" t="n"/>
      <c r="O138" s="830" t="n"/>
      <c r="P138" s="830" t="n"/>
      <c r="Q138" s="830" t="n"/>
      <c r="R138" s="830" t="n"/>
      <c r="S138" s="830" t="n"/>
      <c r="T138" s="830" t="n"/>
      <c r="U138" s="830" t="n"/>
      <c r="V138" s="830" t="n"/>
      <c r="W138" s="830" t="n"/>
      <c r="X138" s="830" t="n"/>
      <c r="Y138" s="830" t="n"/>
      <c r="Z138" s="55" t="n"/>
      <c r="AA138" s="55" t="n"/>
    </row>
    <row r="139" ht="16.5" customHeight="1">
      <c r="A139" s="456" t="inlineStr">
        <is>
          <t>Золоченная в печи</t>
        </is>
      </c>
      <c r="B139" s="785" t="n"/>
      <c r="C139" s="785" t="n"/>
      <c r="D139" s="785" t="n"/>
      <c r="E139" s="785" t="n"/>
      <c r="F139" s="785" t="n"/>
      <c r="G139" s="785" t="n"/>
      <c r="H139" s="785" t="n"/>
      <c r="I139" s="785" t="n"/>
      <c r="J139" s="785" t="n"/>
      <c r="K139" s="785" t="n"/>
      <c r="L139" s="785" t="n"/>
      <c r="M139" s="785" t="n"/>
      <c r="N139" s="785" t="n"/>
      <c r="O139" s="785" t="n"/>
      <c r="P139" s="785" t="n"/>
      <c r="Q139" s="785" t="n"/>
      <c r="R139" s="785" t="n"/>
      <c r="S139" s="785" t="n"/>
      <c r="T139" s="785" t="n"/>
      <c r="U139" s="785" t="n"/>
      <c r="V139" s="785" t="n"/>
      <c r="W139" s="785" t="n"/>
      <c r="X139" s="785" t="n"/>
      <c r="Y139" s="785" t="n"/>
      <c r="Z139" s="456" t="n"/>
      <c r="AA139" s="456" t="n"/>
    </row>
    <row r="140" ht="14.25" customHeight="1">
      <c r="A140" s="457" t="inlineStr">
        <is>
          <t>Вареные колбасы</t>
        </is>
      </c>
      <c r="B140" s="785" t="n"/>
      <c r="C140" s="785" t="n"/>
      <c r="D140" s="785" t="n"/>
      <c r="E140" s="785" t="n"/>
      <c r="F140" s="785" t="n"/>
      <c r="G140" s="785" t="n"/>
      <c r="H140" s="785" t="n"/>
      <c r="I140" s="785" t="n"/>
      <c r="J140" s="785" t="n"/>
      <c r="K140" s="785" t="n"/>
      <c r="L140" s="785" t="n"/>
      <c r="M140" s="785" t="n"/>
      <c r="N140" s="785" t="n"/>
      <c r="O140" s="785" t="n"/>
      <c r="P140" s="785" t="n"/>
      <c r="Q140" s="785" t="n"/>
      <c r="R140" s="785" t="n"/>
      <c r="S140" s="785" t="n"/>
      <c r="T140" s="785" t="n"/>
      <c r="U140" s="785" t="n"/>
      <c r="V140" s="785" t="n"/>
      <c r="W140" s="785" t="n"/>
      <c r="X140" s="785" t="n"/>
      <c r="Y140" s="785" t="n"/>
      <c r="Z140" s="457" t="n"/>
      <c r="AA140" s="45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58" t="n">
        <v>4607091383423</v>
      </c>
      <c r="E141" s="798" t="n"/>
      <c r="F141" s="831" t="n">
        <v>1.35</v>
      </c>
      <c r="G141" s="38" t="n">
        <v>8</v>
      </c>
      <c r="H141" s="831" t="n">
        <v>10.8</v>
      </c>
      <c r="I141" s="831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9" t="n"/>
      <c r="N141" s="38" t="n">
        <v>35</v>
      </c>
      <c r="O141" s="91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1" s="833" t="n"/>
      <c r="Q141" s="833" t="n"/>
      <c r="R141" s="833" t="n"/>
      <c r="S141" s="798" t="n"/>
      <c r="T141" s="40" t="inlineStr"/>
      <c r="U141" s="40" t="inlineStr"/>
      <c r="V141" s="41" t="inlineStr">
        <is>
          <t>кг</t>
        </is>
      </c>
      <c r="W141" s="834" t="n">
        <v>0</v>
      </c>
      <c r="X141" s="835">
        <f>IFERROR(IF(W141="",0,CEILING((W141/$H141),1)*$H141),"")</f>
        <v/>
      </c>
      <c r="Y141" s="42">
        <f>IFERROR(IF(X141=0,"",ROUNDUP(X141/H141,0)*0.02175),"")</f>
        <v/>
      </c>
      <c r="Z141" s="69" t="inlineStr"/>
      <c r="AA141" s="70" t="inlineStr"/>
      <c r="AE141" s="80" t="n"/>
      <c r="BB141" s="157" t="inlineStr">
        <is>
          <t>КИ</t>
        </is>
      </c>
      <c r="BL141" s="80">
        <f>IFERROR(W141*I141/H141,"0")</f>
        <v/>
      </c>
      <c r="BM141" s="80">
        <f>IFERROR(X141*I141/H141,"0")</f>
        <v/>
      </c>
      <c r="BN141" s="80">
        <f>IFERROR(1/J141*(W141/H141),"0")</f>
        <v/>
      </c>
      <c r="BO141" s="80">
        <f>IFERROR(1/J141*(X141/H141),"0")</f>
        <v/>
      </c>
    </row>
    <row r="142" ht="27" customHeight="1">
      <c r="A142" s="64" t="inlineStr">
        <is>
          <t>SU003427</t>
        </is>
      </c>
      <c r="B142" s="64" t="inlineStr">
        <is>
          <t>P004271</t>
        </is>
      </c>
      <c r="C142" s="37" t="n">
        <v>4301011876</v>
      </c>
      <c r="D142" s="458" t="n">
        <v>4680115885707</v>
      </c>
      <c r="E142" s="798" t="n"/>
      <c r="F142" s="831" t="n">
        <v>0.9</v>
      </c>
      <c r="G142" s="38" t="n">
        <v>10</v>
      </c>
      <c r="H142" s="831" t="n">
        <v>9</v>
      </c>
      <c r="I142" s="831" t="n">
        <v>9.48</v>
      </c>
      <c r="J142" s="38" t="n">
        <v>56</v>
      </c>
      <c r="K142" s="38" t="inlineStr">
        <is>
          <t>8</t>
        </is>
      </c>
      <c r="L142" s="39" t="inlineStr">
        <is>
          <t>СК1</t>
        </is>
      </c>
      <c r="M142" s="39" t="n"/>
      <c r="N142" s="38" t="n">
        <v>31</v>
      </c>
      <c r="O142" s="916" t="inlineStr">
        <is>
          <t>Вареные колбасы «Филедворская» Весовой б/о ТМ «Стародворье»</t>
        </is>
      </c>
      <c r="P142" s="833" t="n"/>
      <c r="Q142" s="833" t="n"/>
      <c r="R142" s="833" t="n"/>
      <c r="S142" s="798" t="n"/>
      <c r="T142" s="40" t="inlineStr"/>
      <c r="U142" s="40" t="inlineStr"/>
      <c r="V142" s="41" t="inlineStr">
        <is>
          <t>кг</t>
        </is>
      </c>
      <c r="W142" s="834" t="n">
        <v>0</v>
      </c>
      <c r="X142" s="835">
        <f>IFERROR(IF(W142="",0,CEILING((W142/$H142),1)*$H142),"")</f>
        <v/>
      </c>
      <c r="Y142" s="42">
        <f>IFERROR(IF(X142=0,"",ROUNDUP(X142/H142,0)*0.02175),"")</f>
        <v/>
      </c>
      <c r="Z142" s="69" t="inlineStr"/>
      <c r="AA142" s="70" t="inlineStr"/>
      <c r="AE142" s="80" t="n"/>
      <c r="BB142" s="158" t="inlineStr">
        <is>
          <t>КИ</t>
        </is>
      </c>
      <c r="BL142" s="80">
        <f>IFERROR(W142*I142/H142,"0")</f>
        <v/>
      </c>
      <c r="BM142" s="80">
        <f>IFERROR(X142*I142/H142,"0")</f>
        <v/>
      </c>
      <c r="BN142" s="80">
        <f>IFERROR(1/J142*(W142/H142),"0")</f>
        <v/>
      </c>
      <c r="BO142" s="80">
        <f>IFERROR(1/J142*(X142/H142),"0")</f>
        <v/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458" t="n">
        <v>4607091381405</v>
      </c>
      <c r="E143" s="798" t="n"/>
      <c r="F143" s="831" t="n">
        <v>1.35</v>
      </c>
      <c r="G143" s="38" t="n">
        <v>8</v>
      </c>
      <c r="H143" s="831" t="n">
        <v>10.8</v>
      </c>
      <c r="I143" s="831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9" t="n"/>
      <c r="N143" s="38" t="n">
        <v>35</v>
      </c>
      <c r="O143" s="91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3" s="833" t="n"/>
      <c r="Q143" s="833" t="n"/>
      <c r="R143" s="833" t="n"/>
      <c r="S143" s="798" t="n"/>
      <c r="T143" s="40" t="inlineStr"/>
      <c r="U143" s="40" t="inlineStr"/>
      <c r="V143" s="41" t="inlineStr">
        <is>
          <t>кг</t>
        </is>
      </c>
      <c r="W143" s="834" t="n">
        <v>0</v>
      </c>
      <c r="X143" s="835">
        <f>IFERROR(IF(W143="",0,CEILING((W143/$H143),1)*$H143),"")</f>
        <v/>
      </c>
      <c r="Y143" s="42">
        <f>IFERROR(IF(X143=0,"",ROUNDUP(X143/H143,0)*0.02175),"")</f>
        <v/>
      </c>
      <c r="Z143" s="69" t="inlineStr"/>
      <c r="AA143" s="70" t="inlineStr"/>
      <c r="AE143" s="80" t="n"/>
      <c r="BB143" s="159" t="inlineStr">
        <is>
          <t>КИ</t>
        </is>
      </c>
      <c r="BL143" s="80">
        <f>IFERROR(W143*I143/H143,"0")</f>
        <v/>
      </c>
      <c r="BM143" s="80">
        <f>IFERROR(X143*I143/H143,"0")</f>
        <v/>
      </c>
      <c r="BN143" s="80">
        <f>IFERROR(1/J143*(W143/H143),"0")</f>
        <v/>
      </c>
      <c r="BO143" s="80">
        <f>IFERROR(1/J143*(X143/H143),"0")</f>
        <v/>
      </c>
    </row>
    <row r="144" ht="37.5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458" t="n">
        <v>4607091386516</v>
      </c>
      <c r="E144" s="798" t="n"/>
      <c r="F144" s="831" t="n">
        <v>1.4</v>
      </c>
      <c r="G144" s="38" t="n">
        <v>8</v>
      </c>
      <c r="H144" s="831" t="n">
        <v>11.2</v>
      </c>
      <c r="I144" s="831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30</v>
      </c>
      <c r="O144" s="91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4" s="833" t="n"/>
      <c r="Q144" s="833" t="n"/>
      <c r="R144" s="833" t="n"/>
      <c r="S144" s="798" t="n"/>
      <c r="T144" s="40" t="inlineStr"/>
      <c r="U144" s="40" t="inlineStr"/>
      <c r="V144" s="41" t="inlineStr">
        <is>
          <t>кг</t>
        </is>
      </c>
      <c r="W144" s="834" t="n">
        <v>0</v>
      </c>
      <c r="X144" s="835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60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>
      <c r="A145" s="467" t="n"/>
      <c r="B145" s="785" t="n"/>
      <c r="C145" s="785" t="n"/>
      <c r="D145" s="785" t="n"/>
      <c r="E145" s="785" t="n"/>
      <c r="F145" s="785" t="n"/>
      <c r="G145" s="785" t="n"/>
      <c r="H145" s="785" t="n"/>
      <c r="I145" s="785" t="n"/>
      <c r="J145" s="785" t="n"/>
      <c r="K145" s="785" t="n"/>
      <c r="L145" s="785" t="n"/>
      <c r="M145" s="785" t="n"/>
      <c r="N145" s="837" t="n"/>
      <c r="O145" s="838" t="inlineStr">
        <is>
          <t>Итого</t>
        </is>
      </c>
      <c r="P145" s="805" t="n"/>
      <c r="Q145" s="805" t="n"/>
      <c r="R145" s="805" t="n"/>
      <c r="S145" s="805" t="n"/>
      <c r="T145" s="805" t="n"/>
      <c r="U145" s="806" t="n"/>
      <c r="V145" s="43" t="inlineStr">
        <is>
          <t>кор</t>
        </is>
      </c>
      <c r="W145" s="839">
        <f>IFERROR(W141/H141,"0")+IFERROR(W142/H142,"0")+IFERROR(W143/H143,"0")+IFERROR(W144/H144,"0")</f>
        <v/>
      </c>
      <c r="X145" s="839">
        <f>IFERROR(X141/H141,"0")+IFERROR(X142/H142,"0")+IFERROR(X143/H143,"0")+IFERROR(X144/H144,"0")</f>
        <v/>
      </c>
      <c r="Y145" s="839">
        <f>IFERROR(IF(Y141="",0,Y141),"0")+IFERROR(IF(Y142="",0,Y142),"0")+IFERROR(IF(Y143="",0,Y143),"0")+IFERROR(IF(Y144="",0,Y144),"0")</f>
        <v/>
      </c>
      <c r="Z145" s="840" t="n"/>
      <c r="AA145" s="840" t="n"/>
    </row>
    <row r="146">
      <c r="A146" s="785" t="n"/>
      <c r="B146" s="785" t="n"/>
      <c r="C146" s="785" t="n"/>
      <c r="D146" s="785" t="n"/>
      <c r="E146" s="785" t="n"/>
      <c r="F146" s="785" t="n"/>
      <c r="G146" s="785" t="n"/>
      <c r="H146" s="785" t="n"/>
      <c r="I146" s="785" t="n"/>
      <c r="J146" s="785" t="n"/>
      <c r="K146" s="785" t="n"/>
      <c r="L146" s="785" t="n"/>
      <c r="M146" s="785" t="n"/>
      <c r="N146" s="837" t="n"/>
      <c r="O146" s="838" t="inlineStr">
        <is>
          <t>Итого</t>
        </is>
      </c>
      <c r="P146" s="805" t="n"/>
      <c r="Q146" s="805" t="n"/>
      <c r="R146" s="805" t="n"/>
      <c r="S146" s="805" t="n"/>
      <c r="T146" s="805" t="n"/>
      <c r="U146" s="806" t="n"/>
      <c r="V146" s="43" t="inlineStr">
        <is>
          <t>кг</t>
        </is>
      </c>
      <c r="W146" s="839">
        <f>IFERROR(SUM(W141:W144),"0")</f>
        <v/>
      </c>
      <c r="X146" s="839">
        <f>IFERROR(SUM(X141:X144),"0")</f>
        <v/>
      </c>
      <c r="Y146" s="43" t="n"/>
      <c r="Z146" s="840" t="n"/>
      <c r="AA146" s="840" t="n"/>
    </row>
    <row r="147" ht="16.5" customHeight="1">
      <c r="A147" s="456" t="inlineStr">
        <is>
          <t>Мясорубская</t>
        </is>
      </c>
      <c r="B147" s="785" t="n"/>
      <c r="C147" s="785" t="n"/>
      <c r="D147" s="785" t="n"/>
      <c r="E147" s="785" t="n"/>
      <c r="F147" s="785" t="n"/>
      <c r="G147" s="785" t="n"/>
      <c r="H147" s="785" t="n"/>
      <c r="I147" s="785" t="n"/>
      <c r="J147" s="785" t="n"/>
      <c r="K147" s="785" t="n"/>
      <c r="L147" s="785" t="n"/>
      <c r="M147" s="785" t="n"/>
      <c r="N147" s="785" t="n"/>
      <c r="O147" s="785" t="n"/>
      <c r="P147" s="785" t="n"/>
      <c r="Q147" s="785" t="n"/>
      <c r="R147" s="785" t="n"/>
      <c r="S147" s="785" t="n"/>
      <c r="T147" s="785" t="n"/>
      <c r="U147" s="785" t="n"/>
      <c r="V147" s="785" t="n"/>
      <c r="W147" s="785" t="n"/>
      <c r="X147" s="785" t="n"/>
      <c r="Y147" s="785" t="n"/>
      <c r="Z147" s="456" t="n"/>
      <c r="AA147" s="456" t="n"/>
    </row>
    <row r="148" ht="14.25" customHeight="1">
      <c r="A148" s="457" t="inlineStr">
        <is>
          <t>Копченые колбасы</t>
        </is>
      </c>
      <c r="B148" s="785" t="n"/>
      <c r="C148" s="785" t="n"/>
      <c r="D148" s="785" t="n"/>
      <c r="E148" s="785" t="n"/>
      <c r="F148" s="785" t="n"/>
      <c r="G148" s="785" t="n"/>
      <c r="H148" s="785" t="n"/>
      <c r="I148" s="785" t="n"/>
      <c r="J148" s="785" t="n"/>
      <c r="K148" s="785" t="n"/>
      <c r="L148" s="785" t="n"/>
      <c r="M148" s="785" t="n"/>
      <c r="N148" s="785" t="n"/>
      <c r="O148" s="785" t="n"/>
      <c r="P148" s="785" t="n"/>
      <c r="Q148" s="785" t="n"/>
      <c r="R148" s="785" t="n"/>
      <c r="S148" s="785" t="n"/>
      <c r="T148" s="785" t="n"/>
      <c r="U148" s="785" t="n"/>
      <c r="V148" s="785" t="n"/>
      <c r="W148" s="785" t="n"/>
      <c r="X148" s="785" t="n"/>
      <c r="Y148" s="785" t="n"/>
      <c r="Z148" s="457" t="n"/>
      <c r="AA148" s="457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458" t="n">
        <v>4680115880993</v>
      </c>
      <c r="E149" s="798" t="n"/>
      <c r="F149" s="831" t="n">
        <v>0.7</v>
      </c>
      <c r="G149" s="38" t="n">
        <v>6</v>
      </c>
      <c r="H149" s="831" t="n">
        <v>4.2</v>
      </c>
      <c r="I149" s="831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9" t="n"/>
      <c r="N149" s="38" t="n">
        <v>40</v>
      </c>
      <c r="O149" s="91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49" s="833" t="n"/>
      <c r="Q149" s="833" t="n"/>
      <c r="R149" s="833" t="n"/>
      <c r="S149" s="798" t="n"/>
      <c r="T149" s="40" t="inlineStr"/>
      <c r="U149" s="40" t="inlineStr"/>
      <c r="V149" s="41" t="inlineStr">
        <is>
          <t>кг</t>
        </is>
      </c>
      <c r="W149" s="834" t="n">
        <v>0</v>
      </c>
      <c r="X149" s="835">
        <f>IFERROR(IF(W149="",0,CEILING((W149/$H149),1)*$H149),"")</f>
        <v/>
      </c>
      <c r="Y149" s="42">
        <f>IFERROR(IF(X149=0,"",ROUNDUP(X149/H149,0)*0.00753),"")</f>
        <v/>
      </c>
      <c r="Z149" s="69" t="inlineStr"/>
      <c r="AA149" s="70" t="inlineStr"/>
      <c r="AE149" s="80" t="n"/>
      <c r="BB149" s="161" t="inlineStr">
        <is>
          <t>КИ</t>
        </is>
      </c>
      <c r="BL149" s="80">
        <f>IFERROR(W149*I149/H149,"0")</f>
        <v/>
      </c>
      <c r="BM149" s="80">
        <f>IFERROR(X149*I149/H149,"0")</f>
        <v/>
      </c>
      <c r="BN149" s="80">
        <f>IFERROR(1/J149*(W149/H149),"0")</f>
        <v/>
      </c>
      <c r="BO149" s="80">
        <f>IFERROR(1/J149*(X149/H149),"0")</f>
        <v/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458" t="n">
        <v>4680115881761</v>
      </c>
      <c r="E150" s="798" t="n"/>
      <c r="F150" s="831" t="n">
        <v>0.7</v>
      </c>
      <c r="G150" s="38" t="n">
        <v>6</v>
      </c>
      <c r="H150" s="831" t="n">
        <v>4.2</v>
      </c>
      <c r="I150" s="831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92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0" s="833" t="n"/>
      <c r="Q150" s="833" t="n"/>
      <c r="R150" s="833" t="n"/>
      <c r="S150" s="798" t="n"/>
      <c r="T150" s="40" t="inlineStr"/>
      <c r="U150" s="40" t="inlineStr"/>
      <c r="V150" s="41" t="inlineStr">
        <is>
          <t>кг</t>
        </is>
      </c>
      <c r="W150" s="834" t="n">
        <v>0</v>
      </c>
      <c r="X150" s="835">
        <f>IFERROR(IF(W150="",0,CEILING((W150/$H150),1)*$H150),"")</f>
        <v/>
      </c>
      <c r="Y150" s="42">
        <f>IFERROR(IF(X150=0,"",ROUNDUP(X150/H150,0)*0.00753),"")</f>
        <v/>
      </c>
      <c r="Z150" s="69" t="inlineStr"/>
      <c r="AA150" s="70" t="inlineStr"/>
      <c r="AE150" s="80" t="n"/>
      <c r="BB150" s="162" t="inlineStr">
        <is>
          <t>КИ</t>
        </is>
      </c>
      <c r="BL150" s="80">
        <f>IFERROR(W150*I150/H150,"0")</f>
        <v/>
      </c>
      <c r="BM150" s="80">
        <f>IFERROR(X150*I150/H150,"0")</f>
        <v/>
      </c>
      <c r="BN150" s="80">
        <f>IFERROR(1/J150*(W150/H150),"0")</f>
        <v/>
      </c>
      <c r="BO150" s="80">
        <f>IFERROR(1/J150*(X150/H150),"0")</f>
        <v/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458" t="n">
        <v>4680115881563</v>
      </c>
      <c r="E151" s="798" t="n"/>
      <c r="F151" s="831" t="n">
        <v>0.7</v>
      </c>
      <c r="G151" s="38" t="n">
        <v>6</v>
      </c>
      <c r="H151" s="831" t="n">
        <v>4.2</v>
      </c>
      <c r="I151" s="831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92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1" s="833" t="n"/>
      <c r="Q151" s="833" t="n"/>
      <c r="R151" s="833" t="n"/>
      <c r="S151" s="798" t="n"/>
      <c r="T151" s="40" t="inlineStr"/>
      <c r="U151" s="40" t="inlineStr"/>
      <c r="V151" s="41" t="inlineStr">
        <is>
          <t>кг</t>
        </is>
      </c>
      <c r="W151" s="834" t="n">
        <v>0</v>
      </c>
      <c r="X151" s="835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3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458" t="n">
        <v>4680115880986</v>
      </c>
      <c r="E152" s="798" t="n"/>
      <c r="F152" s="831" t="n">
        <v>0.35</v>
      </c>
      <c r="G152" s="38" t="n">
        <v>6</v>
      </c>
      <c r="H152" s="831" t="n">
        <v>2.1</v>
      </c>
      <c r="I152" s="831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9" t="n"/>
      <c r="N152" s="38" t="n">
        <v>40</v>
      </c>
      <c r="O152" s="92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2" s="833" t="n"/>
      <c r="Q152" s="833" t="n"/>
      <c r="R152" s="833" t="n"/>
      <c r="S152" s="798" t="n"/>
      <c r="T152" s="40" t="inlineStr"/>
      <c r="U152" s="40" t="inlineStr"/>
      <c r="V152" s="41" t="inlineStr">
        <is>
          <t>кг</t>
        </is>
      </c>
      <c r="W152" s="834" t="n">
        <v>0</v>
      </c>
      <c r="X152" s="835">
        <f>IFERROR(IF(W152="",0,CEILING((W152/$H152),1)*$H152),"")</f>
        <v/>
      </c>
      <c r="Y152" s="42">
        <f>IFERROR(IF(X152=0,"",ROUNDUP(X152/H152,0)*0.00502),"")</f>
        <v/>
      </c>
      <c r="Z152" s="69" t="inlineStr"/>
      <c r="AA152" s="70" t="inlineStr"/>
      <c r="AE152" s="80" t="n"/>
      <c r="BB152" s="164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458" t="n">
        <v>4680115880207</v>
      </c>
      <c r="E153" s="798" t="n"/>
      <c r="F153" s="831" t="n">
        <v>0.4</v>
      </c>
      <c r="G153" s="38" t="n">
        <v>6</v>
      </c>
      <c r="H153" s="831" t="n">
        <v>2.4</v>
      </c>
      <c r="I153" s="831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2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3" s="833" t="n"/>
      <c r="Q153" s="833" t="n"/>
      <c r="R153" s="833" t="n"/>
      <c r="S153" s="798" t="n"/>
      <c r="T153" s="40" t="inlineStr"/>
      <c r="U153" s="40" t="inlineStr"/>
      <c r="V153" s="41" t="inlineStr">
        <is>
          <t>кг</t>
        </is>
      </c>
      <c r="W153" s="834" t="n">
        <v>0</v>
      </c>
      <c r="X153" s="835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5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458" t="n">
        <v>4680115881785</v>
      </c>
      <c r="E154" s="798" t="n"/>
      <c r="F154" s="831" t="n">
        <v>0.35</v>
      </c>
      <c r="G154" s="38" t="n">
        <v>6</v>
      </c>
      <c r="H154" s="831" t="n">
        <v>2.1</v>
      </c>
      <c r="I154" s="831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92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4" s="833" t="n"/>
      <c r="Q154" s="833" t="n"/>
      <c r="R154" s="833" t="n"/>
      <c r="S154" s="798" t="n"/>
      <c r="T154" s="40" t="inlineStr"/>
      <c r="U154" s="40" t="inlineStr"/>
      <c r="V154" s="41" t="inlineStr">
        <is>
          <t>кг</t>
        </is>
      </c>
      <c r="W154" s="834" t="n">
        <v>0</v>
      </c>
      <c r="X154" s="835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6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458" t="n">
        <v>4680115881679</v>
      </c>
      <c r="E155" s="798" t="n"/>
      <c r="F155" s="831" t="n">
        <v>0.35</v>
      </c>
      <c r="G155" s="38" t="n">
        <v>6</v>
      </c>
      <c r="H155" s="831" t="n">
        <v>2.1</v>
      </c>
      <c r="I155" s="831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2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5" s="833" t="n"/>
      <c r="Q155" s="833" t="n"/>
      <c r="R155" s="833" t="n"/>
      <c r="S155" s="798" t="n"/>
      <c r="T155" s="40" t="inlineStr"/>
      <c r="U155" s="40" t="inlineStr"/>
      <c r="V155" s="41" t="inlineStr">
        <is>
          <t>кг</t>
        </is>
      </c>
      <c r="W155" s="834" t="n">
        <v>0</v>
      </c>
      <c r="X155" s="835">
        <f>IFERROR(IF(W155="",0,CEILING((W155/$H155),1)*$H155),"")</f>
        <v/>
      </c>
      <c r="Y155" s="42">
        <f>IFERROR(IF(X155=0,"",ROUNDUP(X155/H155,0)*0.00502),"")</f>
        <v/>
      </c>
      <c r="Z155" s="69" t="inlineStr"/>
      <c r="AA155" s="70" t="inlineStr"/>
      <c r="AE155" s="80" t="n"/>
      <c r="BB155" s="167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458" t="n">
        <v>4680115880191</v>
      </c>
      <c r="E156" s="798" t="n"/>
      <c r="F156" s="831" t="n">
        <v>0.4</v>
      </c>
      <c r="G156" s="38" t="n">
        <v>6</v>
      </c>
      <c r="H156" s="831" t="n">
        <v>2.4</v>
      </c>
      <c r="I156" s="831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9" t="n"/>
      <c r="N156" s="38" t="n">
        <v>40</v>
      </c>
      <c r="O156" s="92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6" s="833" t="n"/>
      <c r="Q156" s="833" t="n"/>
      <c r="R156" s="833" t="n"/>
      <c r="S156" s="798" t="n"/>
      <c r="T156" s="40" t="inlineStr"/>
      <c r="U156" s="40" t="inlineStr"/>
      <c r="V156" s="41" t="inlineStr">
        <is>
          <t>кг</t>
        </is>
      </c>
      <c r="W156" s="834" t="n">
        <v>0</v>
      </c>
      <c r="X156" s="835">
        <f>IFERROR(IF(W156="",0,CEILING((W156/$H156),1)*$H156),"")</f>
        <v/>
      </c>
      <c r="Y156" s="42">
        <f>IFERROR(IF(X156=0,"",ROUNDUP(X156/H156,0)*0.00753),"")</f>
        <v/>
      </c>
      <c r="Z156" s="69" t="inlineStr"/>
      <c r="AA156" s="70" t="inlineStr"/>
      <c r="AE156" s="80" t="n"/>
      <c r="BB156" s="168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458" t="n">
        <v>4680115883963</v>
      </c>
      <c r="E157" s="798" t="n"/>
      <c r="F157" s="831" t="n">
        <v>0.28</v>
      </c>
      <c r="G157" s="38" t="n">
        <v>6</v>
      </c>
      <c r="H157" s="831" t="n">
        <v>1.68</v>
      </c>
      <c r="I157" s="831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2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7" s="833" t="n"/>
      <c r="Q157" s="833" t="n"/>
      <c r="R157" s="833" t="n"/>
      <c r="S157" s="798" t="n"/>
      <c r="T157" s="40" t="inlineStr"/>
      <c r="U157" s="40" t="inlineStr"/>
      <c r="V157" s="41" t="inlineStr">
        <is>
          <t>кг</t>
        </is>
      </c>
      <c r="W157" s="834" t="n">
        <v>0</v>
      </c>
      <c r="X157" s="835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9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>
      <c r="A158" s="467" t="n"/>
      <c r="B158" s="785" t="n"/>
      <c r="C158" s="785" t="n"/>
      <c r="D158" s="785" t="n"/>
      <c r="E158" s="785" t="n"/>
      <c r="F158" s="785" t="n"/>
      <c r="G158" s="785" t="n"/>
      <c r="H158" s="785" t="n"/>
      <c r="I158" s="785" t="n"/>
      <c r="J158" s="785" t="n"/>
      <c r="K158" s="785" t="n"/>
      <c r="L158" s="785" t="n"/>
      <c r="M158" s="785" t="n"/>
      <c r="N158" s="837" t="n"/>
      <c r="O158" s="838" t="inlineStr">
        <is>
          <t>Итого</t>
        </is>
      </c>
      <c r="P158" s="805" t="n"/>
      <c r="Q158" s="805" t="n"/>
      <c r="R158" s="805" t="n"/>
      <c r="S158" s="805" t="n"/>
      <c r="T158" s="805" t="n"/>
      <c r="U158" s="806" t="n"/>
      <c r="V158" s="43" t="inlineStr">
        <is>
          <t>кор</t>
        </is>
      </c>
      <c r="W158" s="839">
        <f>IFERROR(W149/H149,"0")+IFERROR(W150/H150,"0")+IFERROR(W151/H151,"0")+IFERROR(W152/H152,"0")+IFERROR(W153/H153,"0")+IFERROR(W154/H154,"0")+IFERROR(W155/H155,"0")+IFERROR(W156/H156,"0")+IFERROR(W157/H157,"0")</f>
        <v/>
      </c>
      <c r="X158" s="839">
        <f>IFERROR(X149/H149,"0")+IFERROR(X150/H150,"0")+IFERROR(X151/H151,"0")+IFERROR(X152/H152,"0")+IFERROR(X153/H153,"0")+IFERROR(X154/H154,"0")+IFERROR(X155/H155,"0")+IFERROR(X156/H156,"0")+IFERROR(X157/H157,"0")</f>
        <v/>
      </c>
      <c r="Y158" s="839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/>
      </c>
      <c r="Z158" s="840" t="n"/>
      <c r="AA158" s="840" t="n"/>
    </row>
    <row r="159">
      <c r="A159" s="785" t="n"/>
      <c r="B159" s="785" t="n"/>
      <c r="C159" s="785" t="n"/>
      <c r="D159" s="785" t="n"/>
      <c r="E159" s="785" t="n"/>
      <c r="F159" s="785" t="n"/>
      <c r="G159" s="785" t="n"/>
      <c r="H159" s="785" t="n"/>
      <c r="I159" s="785" t="n"/>
      <c r="J159" s="785" t="n"/>
      <c r="K159" s="785" t="n"/>
      <c r="L159" s="785" t="n"/>
      <c r="M159" s="785" t="n"/>
      <c r="N159" s="837" t="n"/>
      <c r="O159" s="838" t="inlineStr">
        <is>
          <t>Итого</t>
        </is>
      </c>
      <c r="P159" s="805" t="n"/>
      <c r="Q159" s="805" t="n"/>
      <c r="R159" s="805" t="n"/>
      <c r="S159" s="805" t="n"/>
      <c r="T159" s="805" t="n"/>
      <c r="U159" s="806" t="n"/>
      <c r="V159" s="43" t="inlineStr">
        <is>
          <t>кг</t>
        </is>
      </c>
      <c r="W159" s="839">
        <f>IFERROR(SUM(W149:W157),"0")</f>
        <v/>
      </c>
      <c r="X159" s="839">
        <f>IFERROR(SUM(X149:X157),"0")</f>
        <v/>
      </c>
      <c r="Y159" s="43" t="n"/>
      <c r="Z159" s="840" t="n"/>
      <c r="AA159" s="840" t="n"/>
    </row>
    <row r="160" ht="16.5" customHeight="1">
      <c r="A160" s="456" t="inlineStr">
        <is>
          <t>Сочинка</t>
        </is>
      </c>
      <c r="B160" s="785" t="n"/>
      <c r="C160" s="785" t="n"/>
      <c r="D160" s="785" t="n"/>
      <c r="E160" s="785" t="n"/>
      <c r="F160" s="785" t="n"/>
      <c r="G160" s="785" t="n"/>
      <c r="H160" s="785" t="n"/>
      <c r="I160" s="785" t="n"/>
      <c r="J160" s="785" t="n"/>
      <c r="K160" s="785" t="n"/>
      <c r="L160" s="785" t="n"/>
      <c r="M160" s="785" t="n"/>
      <c r="N160" s="785" t="n"/>
      <c r="O160" s="785" t="n"/>
      <c r="P160" s="785" t="n"/>
      <c r="Q160" s="785" t="n"/>
      <c r="R160" s="785" t="n"/>
      <c r="S160" s="785" t="n"/>
      <c r="T160" s="785" t="n"/>
      <c r="U160" s="785" t="n"/>
      <c r="V160" s="785" t="n"/>
      <c r="W160" s="785" t="n"/>
      <c r="X160" s="785" t="n"/>
      <c r="Y160" s="785" t="n"/>
      <c r="Z160" s="456" t="n"/>
      <c r="AA160" s="456" t="n"/>
    </row>
    <row r="161" ht="14.25" customHeight="1">
      <c r="A161" s="457" t="inlineStr">
        <is>
          <t>Вареные колбасы</t>
        </is>
      </c>
      <c r="B161" s="785" t="n"/>
      <c r="C161" s="785" t="n"/>
      <c r="D161" s="785" t="n"/>
      <c r="E161" s="785" t="n"/>
      <c r="F161" s="785" t="n"/>
      <c r="G161" s="785" t="n"/>
      <c r="H161" s="785" t="n"/>
      <c r="I161" s="785" t="n"/>
      <c r="J161" s="785" t="n"/>
      <c r="K161" s="785" t="n"/>
      <c r="L161" s="785" t="n"/>
      <c r="M161" s="785" t="n"/>
      <c r="N161" s="785" t="n"/>
      <c r="O161" s="785" t="n"/>
      <c r="P161" s="785" t="n"/>
      <c r="Q161" s="785" t="n"/>
      <c r="R161" s="785" t="n"/>
      <c r="S161" s="785" t="n"/>
      <c r="T161" s="785" t="n"/>
      <c r="U161" s="785" t="n"/>
      <c r="V161" s="785" t="n"/>
      <c r="W161" s="785" t="n"/>
      <c r="X161" s="785" t="n"/>
      <c r="Y161" s="785" t="n"/>
      <c r="Z161" s="457" t="n"/>
      <c r="AA161" s="457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458" t="n">
        <v>4680115881402</v>
      </c>
      <c r="E162" s="798" t="n"/>
      <c r="F162" s="831" t="n">
        <v>1.35</v>
      </c>
      <c r="G162" s="38" t="n">
        <v>8</v>
      </c>
      <c r="H162" s="831" t="n">
        <v>10.8</v>
      </c>
      <c r="I162" s="831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9" t="n"/>
      <c r="N162" s="38" t="n">
        <v>55</v>
      </c>
      <c r="O162" s="9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2" s="833" t="n"/>
      <c r="Q162" s="833" t="n"/>
      <c r="R162" s="833" t="n"/>
      <c r="S162" s="798" t="n"/>
      <c r="T162" s="40" t="inlineStr"/>
      <c r="U162" s="40" t="inlineStr"/>
      <c r="V162" s="41" t="inlineStr">
        <is>
          <t>кг</t>
        </is>
      </c>
      <c r="W162" s="834" t="n">
        <v>0</v>
      </c>
      <c r="X162" s="835">
        <f>IFERROR(IF(W162="",0,CEILING((W162/$H162),1)*$H162),"")</f>
        <v/>
      </c>
      <c r="Y162" s="42">
        <f>IFERROR(IF(X162=0,"",ROUNDUP(X162/H162,0)*0.02175),"")</f>
        <v/>
      </c>
      <c r="Z162" s="69" t="inlineStr"/>
      <c r="AA162" s="70" t="inlineStr"/>
      <c r="AE162" s="80" t="n"/>
      <c r="BB162" s="170" t="inlineStr">
        <is>
          <t>КИ</t>
        </is>
      </c>
      <c r="BL162" s="80">
        <f>IFERROR(W162*I162/H162,"0")</f>
        <v/>
      </c>
      <c r="BM162" s="80">
        <f>IFERROR(X162*I162/H162,"0")</f>
        <v/>
      </c>
      <c r="BN162" s="80">
        <f>IFERROR(1/J162*(W162/H162),"0")</f>
        <v/>
      </c>
      <c r="BO162" s="80">
        <f>IFERROR(1/J162*(X162/H162),"0")</f>
        <v/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458" t="n">
        <v>4680115881396</v>
      </c>
      <c r="E163" s="798" t="n"/>
      <c r="F163" s="831" t="n">
        <v>0.45</v>
      </c>
      <c r="G163" s="38" t="n">
        <v>6</v>
      </c>
      <c r="H163" s="831" t="n">
        <v>2.7</v>
      </c>
      <c r="I163" s="831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9" t="n"/>
      <c r="N163" s="38" t="n">
        <v>55</v>
      </c>
      <c r="O163" s="92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3" s="833" t="n"/>
      <c r="Q163" s="833" t="n"/>
      <c r="R163" s="833" t="n"/>
      <c r="S163" s="798" t="n"/>
      <c r="T163" s="40" t="inlineStr"/>
      <c r="U163" s="40" t="inlineStr"/>
      <c r="V163" s="41" t="inlineStr">
        <is>
          <t>кг</t>
        </is>
      </c>
      <c r="W163" s="834" t="n">
        <v>0</v>
      </c>
      <c r="X163" s="835">
        <f>IFERROR(IF(W163="",0,CEILING((W163/$H163),1)*$H163),"")</f>
        <v/>
      </c>
      <c r="Y163" s="42">
        <f>IFERROR(IF(X163=0,"",ROUNDUP(X163/H163,0)*0.00753),"")</f>
        <v/>
      </c>
      <c r="Z163" s="69" t="inlineStr"/>
      <c r="AA163" s="70" t="inlineStr"/>
      <c r="AE163" s="80" t="n"/>
      <c r="BB163" s="171" t="inlineStr">
        <is>
          <t>КИ</t>
        </is>
      </c>
      <c r="BL163" s="80">
        <f>IFERROR(W163*I163/H163,"0")</f>
        <v/>
      </c>
      <c r="BM163" s="80">
        <f>IFERROR(X163*I163/H163,"0")</f>
        <v/>
      </c>
      <c r="BN163" s="80">
        <f>IFERROR(1/J163*(W163/H163),"0")</f>
        <v/>
      </c>
      <c r="BO163" s="80">
        <f>IFERROR(1/J163*(X163/H163),"0")</f>
        <v/>
      </c>
    </row>
    <row r="164">
      <c r="A164" s="467" t="n"/>
      <c r="B164" s="785" t="n"/>
      <c r="C164" s="785" t="n"/>
      <c r="D164" s="785" t="n"/>
      <c r="E164" s="785" t="n"/>
      <c r="F164" s="785" t="n"/>
      <c r="G164" s="785" t="n"/>
      <c r="H164" s="785" t="n"/>
      <c r="I164" s="785" t="n"/>
      <c r="J164" s="785" t="n"/>
      <c r="K164" s="785" t="n"/>
      <c r="L164" s="785" t="n"/>
      <c r="M164" s="785" t="n"/>
      <c r="N164" s="837" t="n"/>
      <c r="O164" s="838" t="inlineStr">
        <is>
          <t>Итого</t>
        </is>
      </c>
      <c r="P164" s="805" t="n"/>
      <c r="Q164" s="805" t="n"/>
      <c r="R164" s="805" t="n"/>
      <c r="S164" s="805" t="n"/>
      <c r="T164" s="805" t="n"/>
      <c r="U164" s="806" t="n"/>
      <c r="V164" s="43" t="inlineStr">
        <is>
          <t>кор</t>
        </is>
      </c>
      <c r="W164" s="839">
        <f>IFERROR(W162/H162,"0")+IFERROR(W163/H163,"0")</f>
        <v/>
      </c>
      <c r="X164" s="839">
        <f>IFERROR(X162/H162,"0")+IFERROR(X163/H163,"0")</f>
        <v/>
      </c>
      <c r="Y164" s="839">
        <f>IFERROR(IF(Y162="",0,Y162),"0")+IFERROR(IF(Y163="",0,Y163),"0")</f>
        <v/>
      </c>
      <c r="Z164" s="840" t="n"/>
      <c r="AA164" s="840" t="n"/>
    </row>
    <row r="165">
      <c r="A165" s="785" t="n"/>
      <c r="B165" s="785" t="n"/>
      <c r="C165" s="785" t="n"/>
      <c r="D165" s="785" t="n"/>
      <c r="E165" s="785" t="n"/>
      <c r="F165" s="785" t="n"/>
      <c r="G165" s="785" t="n"/>
      <c r="H165" s="785" t="n"/>
      <c r="I165" s="785" t="n"/>
      <c r="J165" s="785" t="n"/>
      <c r="K165" s="785" t="n"/>
      <c r="L165" s="785" t="n"/>
      <c r="M165" s="785" t="n"/>
      <c r="N165" s="837" t="n"/>
      <c r="O165" s="838" t="inlineStr">
        <is>
          <t>Итого</t>
        </is>
      </c>
      <c r="P165" s="805" t="n"/>
      <c r="Q165" s="805" t="n"/>
      <c r="R165" s="805" t="n"/>
      <c r="S165" s="805" t="n"/>
      <c r="T165" s="805" t="n"/>
      <c r="U165" s="806" t="n"/>
      <c r="V165" s="43" t="inlineStr">
        <is>
          <t>кг</t>
        </is>
      </c>
      <c r="W165" s="839">
        <f>IFERROR(SUM(W162:W163),"0")</f>
        <v/>
      </c>
      <c r="X165" s="839">
        <f>IFERROR(SUM(X162:X163),"0")</f>
        <v/>
      </c>
      <c r="Y165" s="43" t="n"/>
      <c r="Z165" s="840" t="n"/>
      <c r="AA165" s="840" t="n"/>
    </row>
    <row r="166" ht="14.25" customHeight="1">
      <c r="A166" s="457" t="inlineStr">
        <is>
          <t>Ветчины</t>
        </is>
      </c>
      <c r="B166" s="785" t="n"/>
      <c r="C166" s="785" t="n"/>
      <c r="D166" s="785" t="n"/>
      <c r="E166" s="785" t="n"/>
      <c r="F166" s="785" t="n"/>
      <c r="G166" s="785" t="n"/>
      <c r="H166" s="785" t="n"/>
      <c r="I166" s="785" t="n"/>
      <c r="J166" s="785" t="n"/>
      <c r="K166" s="785" t="n"/>
      <c r="L166" s="785" t="n"/>
      <c r="M166" s="785" t="n"/>
      <c r="N166" s="785" t="n"/>
      <c r="O166" s="785" t="n"/>
      <c r="P166" s="785" t="n"/>
      <c r="Q166" s="785" t="n"/>
      <c r="R166" s="785" t="n"/>
      <c r="S166" s="785" t="n"/>
      <c r="T166" s="785" t="n"/>
      <c r="U166" s="785" t="n"/>
      <c r="V166" s="785" t="n"/>
      <c r="W166" s="785" t="n"/>
      <c r="X166" s="785" t="n"/>
      <c r="Y166" s="785" t="n"/>
      <c r="Z166" s="457" t="n"/>
      <c r="AA166" s="457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458" t="n">
        <v>4680115882935</v>
      </c>
      <c r="E167" s="798" t="n"/>
      <c r="F167" s="831" t="n">
        <v>1.35</v>
      </c>
      <c r="G167" s="38" t="n">
        <v>8</v>
      </c>
      <c r="H167" s="831" t="n">
        <v>10.8</v>
      </c>
      <c r="I167" s="831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9" t="n"/>
      <c r="N167" s="38" t="n">
        <v>50</v>
      </c>
      <c r="O167" s="93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7" s="833" t="n"/>
      <c r="Q167" s="833" t="n"/>
      <c r="R167" s="833" t="n"/>
      <c r="S167" s="798" t="n"/>
      <c r="T167" s="40" t="inlineStr"/>
      <c r="U167" s="40" t="inlineStr"/>
      <c r="V167" s="41" t="inlineStr">
        <is>
          <t>кг</t>
        </is>
      </c>
      <c r="W167" s="834" t="n">
        <v>0</v>
      </c>
      <c r="X167" s="835">
        <f>IFERROR(IF(W167="",0,CEILING((W167/$H167),1)*$H167),"")</f>
        <v/>
      </c>
      <c r="Y167" s="42">
        <f>IFERROR(IF(X167=0,"",ROUNDUP(X167/H167,0)*0.02175),"")</f>
        <v/>
      </c>
      <c r="Z167" s="69" t="inlineStr"/>
      <c r="AA167" s="70" t="inlineStr"/>
      <c r="AE167" s="80" t="n"/>
      <c r="BB167" s="172" t="inlineStr">
        <is>
          <t>КИ</t>
        </is>
      </c>
      <c r="BL167" s="80">
        <f>IFERROR(W167*I167/H167,"0")</f>
        <v/>
      </c>
      <c r="BM167" s="80">
        <f>IFERROR(X167*I167/H167,"0")</f>
        <v/>
      </c>
      <c r="BN167" s="80">
        <f>IFERROR(1/J167*(W167/H167),"0")</f>
        <v/>
      </c>
      <c r="BO167" s="80">
        <f>IFERROR(1/J167*(X167/H167),"0")</f>
        <v/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458" t="n">
        <v>4680115880764</v>
      </c>
      <c r="E168" s="798" t="n"/>
      <c r="F168" s="831" t="n">
        <v>0.35</v>
      </c>
      <c r="G168" s="38" t="n">
        <v>6</v>
      </c>
      <c r="H168" s="831" t="n">
        <v>2.1</v>
      </c>
      <c r="I168" s="831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9" t="n"/>
      <c r="N168" s="38" t="n">
        <v>50</v>
      </c>
      <c r="O168" s="93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68" s="833" t="n"/>
      <c r="Q168" s="833" t="n"/>
      <c r="R168" s="833" t="n"/>
      <c r="S168" s="798" t="n"/>
      <c r="T168" s="40" t="inlineStr"/>
      <c r="U168" s="40" t="inlineStr"/>
      <c r="V168" s="41" t="inlineStr">
        <is>
          <t>кг</t>
        </is>
      </c>
      <c r="W168" s="834" t="n">
        <v>0</v>
      </c>
      <c r="X168" s="835">
        <f>IFERROR(IF(W168="",0,CEILING((W168/$H168),1)*$H168),"")</f>
        <v/>
      </c>
      <c r="Y168" s="42">
        <f>IFERROR(IF(X168=0,"",ROUNDUP(X168/H168,0)*0.00753),"")</f>
        <v/>
      </c>
      <c r="Z168" s="69" t="inlineStr"/>
      <c r="AA168" s="70" t="inlineStr"/>
      <c r="AE168" s="80" t="n"/>
      <c r="BB168" s="173" t="inlineStr">
        <is>
          <t>КИ</t>
        </is>
      </c>
      <c r="BL168" s="80">
        <f>IFERROR(W168*I168/H168,"0")</f>
        <v/>
      </c>
      <c r="BM168" s="80">
        <f>IFERROR(X168*I168/H168,"0")</f>
        <v/>
      </c>
      <c r="BN168" s="80">
        <f>IFERROR(1/J168*(W168/H168),"0")</f>
        <v/>
      </c>
      <c r="BO168" s="80">
        <f>IFERROR(1/J168*(X168/H168),"0")</f>
        <v/>
      </c>
    </row>
    <row r="169">
      <c r="A169" s="467" t="n"/>
      <c r="B169" s="785" t="n"/>
      <c r="C169" s="785" t="n"/>
      <c r="D169" s="785" t="n"/>
      <c r="E169" s="785" t="n"/>
      <c r="F169" s="785" t="n"/>
      <c r="G169" s="785" t="n"/>
      <c r="H169" s="785" t="n"/>
      <c r="I169" s="785" t="n"/>
      <c r="J169" s="785" t="n"/>
      <c r="K169" s="785" t="n"/>
      <c r="L169" s="785" t="n"/>
      <c r="M169" s="785" t="n"/>
      <c r="N169" s="837" t="n"/>
      <c r="O169" s="838" t="inlineStr">
        <is>
          <t>Итого</t>
        </is>
      </c>
      <c r="P169" s="805" t="n"/>
      <c r="Q169" s="805" t="n"/>
      <c r="R169" s="805" t="n"/>
      <c r="S169" s="805" t="n"/>
      <c r="T169" s="805" t="n"/>
      <c r="U169" s="806" t="n"/>
      <c r="V169" s="43" t="inlineStr">
        <is>
          <t>кор</t>
        </is>
      </c>
      <c r="W169" s="839">
        <f>IFERROR(W167/H167,"0")+IFERROR(W168/H168,"0")</f>
        <v/>
      </c>
      <c r="X169" s="839">
        <f>IFERROR(X167/H167,"0")+IFERROR(X168/H168,"0")</f>
        <v/>
      </c>
      <c r="Y169" s="839">
        <f>IFERROR(IF(Y167="",0,Y167),"0")+IFERROR(IF(Y168="",0,Y168),"0")</f>
        <v/>
      </c>
      <c r="Z169" s="840" t="n"/>
      <c r="AA169" s="840" t="n"/>
    </row>
    <row r="170">
      <c r="A170" s="785" t="n"/>
      <c r="B170" s="785" t="n"/>
      <c r="C170" s="785" t="n"/>
      <c r="D170" s="785" t="n"/>
      <c r="E170" s="785" t="n"/>
      <c r="F170" s="785" t="n"/>
      <c r="G170" s="785" t="n"/>
      <c r="H170" s="785" t="n"/>
      <c r="I170" s="785" t="n"/>
      <c r="J170" s="785" t="n"/>
      <c r="K170" s="785" t="n"/>
      <c r="L170" s="785" t="n"/>
      <c r="M170" s="785" t="n"/>
      <c r="N170" s="837" t="n"/>
      <c r="O170" s="838" t="inlineStr">
        <is>
          <t>Итого</t>
        </is>
      </c>
      <c r="P170" s="805" t="n"/>
      <c r="Q170" s="805" t="n"/>
      <c r="R170" s="805" t="n"/>
      <c r="S170" s="805" t="n"/>
      <c r="T170" s="805" t="n"/>
      <c r="U170" s="806" t="n"/>
      <c r="V170" s="43" t="inlineStr">
        <is>
          <t>кг</t>
        </is>
      </c>
      <c r="W170" s="839">
        <f>IFERROR(SUM(W167:W168),"0")</f>
        <v/>
      </c>
      <c r="X170" s="839">
        <f>IFERROR(SUM(X167:X168),"0")</f>
        <v/>
      </c>
      <c r="Y170" s="43" t="n"/>
      <c r="Z170" s="840" t="n"/>
      <c r="AA170" s="840" t="n"/>
    </row>
    <row r="171" ht="14.25" customHeight="1">
      <c r="A171" s="457" t="inlineStr">
        <is>
          <t>Копченые колбасы</t>
        </is>
      </c>
      <c r="B171" s="785" t="n"/>
      <c r="C171" s="785" t="n"/>
      <c r="D171" s="785" t="n"/>
      <c r="E171" s="785" t="n"/>
      <c r="F171" s="785" t="n"/>
      <c r="G171" s="785" t="n"/>
      <c r="H171" s="785" t="n"/>
      <c r="I171" s="785" t="n"/>
      <c r="J171" s="785" t="n"/>
      <c r="K171" s="785" t="n"/>
      <c r="L171" s="785" t="n"/>
      <c r="M171" s="785" t="n"/>
      <c r="N171" s="785" t="n"/>
      <c r="O171" s="785" t="n"/>
      <c r="P171" s="785" t="n"/>
      <c r="Q171" s="785" t="n"/>
      <c r="R171" s="785" t="n"/>
      <c r="S171" s="785" t="n"/>
      <c r="T171" s="785" t="n"/>
      <c r="U171" s="785" t="n"/>
      <c r="V171" s="785" t="n"/>
      <c r="W171" s="785" t="n"/>
      <c r="X171" s="785" t="n"/>
      <c r="Y171" s="785" t="n"/>
      <c r="Z171" s="457" t="n"/>
      <c r="AA171" s="457" t="n"/>
    </row>
    <row r="172" ht="27" customHeight="1">
      <c r="A172" s="64" t="inlineStr">
        <is>
          <t>SU002944</t>
        </is>
      </c>
      <c r="B172" s="64" t="inlineStr">
        <is>
          <t>P003386</t>
        </is>
      </c>
      <c r="C172" s="37" t="n">
        <v>4301031223</v>
      </c>
      <c r="D172" s="458" t="n">
        <v>4680115884014</v>
      </c>
      <c r="E172" s="798" t="n"/>
      <c r="F172" s="831" t="n">
        <v>0.3</v>
      </c>
      <c r="G172" s="38" t="n">
        <v>6</v>
      </c>
      <c r="H172" s="831" t="n">
        <v>1.8</v>
      </c>
      <c r="I172" s="831" t="n">
        <v>1.93</v>
      </c>
      <c r="J172" s="38" t="n">
        <v>234</v>
      </c>
      <c r="K172" s="38" t="inlineStr">
        <is>
          <t>18</t>
        </is>
      </c>
      <c r="L172" s="39" t="inlineStr">
        <is>
          <t>СК2</t>
        </is>
      </c>
      <c r="M172" s="39" t="n"/>
      <c r="N172" s="38" t="n">
        <v>40</v>
      </c>
      <c r="O172" s="932" t="inlineStr">
        <is>
          <t>В/к колбасы «Сочинка по-европейски с сочной грудинкой» срез Фикс.вес 0,3 фиброуз ТМ «Стародворье»</t>
        </is>
      </c>
      <c r="P172" s="833" t="n"/>
      <c r="Q172" s="833" t="n"/>
      <c r="R172" s="833" t="n"/>
      <c r="S172" s="798" t="n"/>
      <c r="T172" s="40" t="inlineStr"/>
      <c r="U172" s="40" t="inlineStr"/>
      <c r="V172" s="41" t="inlineStr">
        <is>
          <t>кг</t>
        </is>
      </c>
      <c r="W172" s="834" t="n">
        <v>0</v>
      </c>
      <c r="X172" s="835">
        <f>IFERROR(IF(W172="",0,CEILING((W172/$H172),1)*$H172),"")</f>
        <v/>
      </c>
      <c r="Y172" s="42">
        <f>IFERROR(IF(X172=0,"",ROUNDUP(X172/H172,0)*0.00502),"")</f>
        <v/>
      </c>
      <c r="Z172" s="69" t="inlineStr"/>
      <c r="AA172" s="70" t="inlineStr">
        <is>
          <t>Новинка</t>
        </is>
      </c>
      <c r="AE172" s="80" t="n"/>
      <c r="BB172" s="174" t="inlineStr">
        <is>
          <t>КИ</t>
        </is>
      </c>
      <c r="BL172" s="80">
        <f>IFERROR(W172*I172/H172,"0")</f>
        <v/>
      </c>
      <c r="BM172" s="80">
        <f>IFERROR(X172*I172/H172,"0")</f>
        <v/>
      </c>
      <c r="BN172" s="80">
        <f>IFERROR(1/J172*(W172/H172),"0")</f>
        <v/>
      </c>
      <c r="BO172" s="80">
        <f>IFERROR(1/J172*(X172/H172),"0")</f>
        <v/>
      </c>
    </row>
    <row r="173" ht="27" customHeight="1">
      <c r="A173" s="64" t="inlineStr">
        <is>
          <t>SU002948</t>
        </is>
      </c>
      <c r="B173" s="64" t="inlineStr">
        <is>
          <t>P003390</t>
        </is>
      </c>
      <c r="C173" s="37" t="n">
        <v>4301031225</v>
      </c>
      <c r="D173" s="458" t="n">
        <v>4680115884021</v>
      </c>
      <c r="E173" s="798" t="n"/>
      <c r="F173" s="831" t="n">
        <v>0.3</v>
      </c>
      <c r="G173" s="38" t="n">
        <v>6</v>
      </c>
      <c r="H173" s="831" t="n">
        <v>1.8</v>
      </c>
      <c r="I173" s="831" t="n">
        <v>1.9</v>
      </c>
      <c r="J173" s="38" t="n">
        <v>234</v>
      </c>
      <c r="K173" s="38" t="inlineStr">
        <is>
          <t>18</t>
        </is>
      </c>
      <c r="L173" s="39" t="inlineStr">
        <is>
          <t>СК2</t>
        </is>
      </c>
      <c r="M173" s="39" t="n"/>
      <c r="N173" s="38" t="n">
        <v>40</v>
      </c>
      <c r="O173" s="933" t="inlineStr">
        <is>
          <t>П/к колбасы «Сочинка рубленая с сочным окороком» срез Фикс.вес 0,3 фиброуз ТМ «Стародворье»</t>
        </is>
      </c>
      <c r="P173" s="833" t="n"/>
      <c r="Q173" s="833" t="n"/>
      <c r="R173" s="833" t="n"/>
      <c r="S173" s="798" t="n"/>
      <c r="T173" s="40" t="inlineStr"/>
      <c r="U173" s="40" t="inlineStr"/>
      <c r="V173" s="41" t="inlineStr">
        <is>
          <t>кг</t>
        </is>
      </c>
      <c r="W173" s="834" t="n">
        <v>0</v>
      </c>
      <c r="X173" s="835">
        <f>IFERROR(IF(W173="",0,CEILING((W173/$H173),1)*$H173),"")</f>
        <v/>
      </c>
      <c r="Y173" s="42">
        <f>IFERROR(IF(X173=0,"",ROUNDUP(X173/H173,0)*0.00502),"")</f>
        <v/>
      </c>
      <c r="Z173" s="69" t="inlineStr"/>
      <c r="AA173" s="70" t="inlineStr">
        <is>
          <t>Новинка</t>
        </is>
      </c>
      <c r="AE173" s="80" t="n"/>
      <c r="BB173" s="175" t="inlineStr">
        <is>
          <t>КИ</t>
        </is>
      </c>
      <c r="BL173" s="80">
        <f>IFERROR(W173*I173/H173,"0")</f>
        <v/>
      </c>
      <c r="BM173" s="80">
        <f>IFERROR(X173*I173/H173,"0")</f>
        <v/>
      </c>
      <c r="BN173" s="80">
        <f>IFERROR(1/J173*(W173/H173),"0")</f>
        <v/>
      </c>
      <c r="BO173" s="80">
        <f>IFERROR(1/J173*(X173/H173),"0")</f>
        <v/>
      </c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458" t="n">
        <v>4680115882683</v>
      </c>
      <c r="E174" s="798" t="n"/>
      <c r="F174" s="831" t="n">
        <v>0.9</v>
      </c>
      <c r="G174" s="38" t="n">
        <v>6</v>
      </c>
      <c r="H174" s="831" t="n">
        <v>5.4</v>
      </c>
      <c r="I174" s="83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3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33" t="n"/>
      <c r="Q174" s="833" t="n"/>
      <c r="R174" s="833" t="n"/>
      <c r="S174" s="798" t="n"/>
      <c r="T174" s="40" t="inlineStr"/>
      <c r="U174" s="40" t="inlineStr"/>
      <c r="V174" s="41" t="inlineStr">
        <is>
          <t>кг</t>
        </is>
      </c>
      <c r="W174" s="834" t="n">
        <v>0</v>
      </c>
      <c r="X174" s="835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6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458" t="n">
        <v>4680115882690</v>
      </c>
      <c r="E175" s="798" t="n"/>
      <c r="F175" s="831" t="n">
        <v>0.9</v>
      </c>
      <c r="G175" s="38" t="n">
        <v>6</v>
      </c>
      <c r="H175" s="831" t="n">
        <v>5.4</v>
      </c>
      <c r="I175" s="83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3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33" t="n"/>
      <c r="Q175" s="833" t="n"/>
      <c r="R175" s="833" t="n"/>
      <c r="S175" s="798" t="n"/>
      <c r="T175" s="40" t="inlineStr"/>
      <c r="U175" s="40" t="inlineStr"/>
      <c r="V175" s="41" t="inlineStr">
        <is>
          <t>кг</t>
        </is>
      </c>
      <c r="W175" s="834" t="n">
        <v>0</v>
      </c>
      <c r="X175" s="835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7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458" t="n">
        <v>4680115882669</v>
      </c>
      <c r="E176" s="798" t="n"/>
      <c r="F176" s="831" t="n">
        <v>0.9</v>
      </c>
      <c r="G176" s="38" t="n">
        <v>6</v>
      </c>
      <c r="H176" s="831" t="n">
        <v>5.4</v>
      </c>
      <c r="I176" s="83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33" t="n"/>
      <c r="Q176" s="833" t="n"/>
      <c r="R176" s="833" t="n"/>
      <c r="S176" s="798" t="n"/>
      <c r="T176" s="40" t="inlineStr"/>
      <c r="U176" s="40" t="inlineStr"/>
      <c r="V176" s="41" t="inlineStr">
        <is>
          <t>кг</t>
        </is>
      </c>
      <c r="W176" s="834" t="n">
        <v>0</v>
      </c>
      <c r="X176" s="835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8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458" t="n">
        <v>4680115882676</v>
      </c>
      <c r="E177" s="798" t="n"/>
      <c r="F177" s="831" t="n">
        <v>0.9</v>
      </c>
      <c r="G177" s="38" t="n">
        <v>6</v>
      </c>
      <c r="H177" s="831" t="n">
        <v>5.4</v>
      </c>
      <c r="I177" s="831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3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33" t="n"/>
      <c r="Q177" s="833" t="n"/>
      <c r="R177" s="833" t="n"/>
      <c r="S177" s="798" t="n"/>
      <c r="T177" s="40" t="inlineStr"/>
      <c r="U177" s="40" t="inlineStr"/>
      <c r="V177" s="41" t="inlineStr">
        <is>
          <t>кг</t>
        </is>
      </c>
      <c r="W177" s="834" t="n">
        <v>0</v>
      </c>
      <c r="X177" s="835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9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SU002942</t>
        </is>
      </c>
      <c r="B178" s="64" t="inlineStr">
        <is>
          <t>P003385</t>
        </is>
      </c>
      <c r="C178" s="37" t="n">
        <v>4301031222</v>
      </c>
      <c r="D178" s="458" t="n">
        <v>4680115884007</v>
      </c>
      <c r="E178" s="798" t="n"/>
      <c r="F178" s="831" t="n">
        <v>0.3</v>
      </c>
      <c r="G178" s="38" t="n">
        <v>6</v>
      </c>
      <c r="H178" s="831" t="n">
        <v>1.8</v>
      </c>
      <c r="I178" s="831" t="n">
        <v>1.9</v>
      </c>
      <c r="J178" s="38" t="n">
        <v>234</v>
      </c>
      <c r="K178" s="38" t="inlineStr">
        <is>
          <t>18</t>
        </is>
      </c>
      <c r="L178" s="39" t="inlineStr">
        <is>
          <t>СК2</t>
        </is>
      </c>
      <c r="M178" s="39" t="n"/>
      <c r="N178" s="38" t="n">
        <v>40</v>
      </c>
      <c r="O178" s="938" t="inlineStr">
        <is>
          <t>В/к колбасы «Сочинка по-фински с сочным окороком» срез Фикс.вес 0,3 фиброуз ТМ «Стародворье»</t>
        </is>
      </c>
      <c r="P178" s="833" t="n"/>
      <c r="Q178" s="833" t="n"/>
      <c r="R178" s="833" t="n"/>
      <c r="S178" s="798" t="n"/>
      <c r="T178" s="40" t="inlineStr"/>
      <c r="U178" s="40" t="inlineStr"/>
      <c r="V178" s="41" t="inlineStr">
        <is>
          <t>кг</t>
        </is>
      </c>
      <c r="W178" s="834" t="n">
        <v>0</v>
      </c>
      <c r="X178" s="835">
        <f>IFERROR(IF(W178="",0,CEILING((W178/$H178),1)*$H178),"")</f>
        <v/>
      </c>
      <c r="Y178" s="42">
        <f>IFERROR(IF(X178=0,"",ROUNDUP(X178/H178,0)*0.00502),"")</f>
        <v/>
      </c>
      <c r="Z178" s="69" t="inlineStr"/>
      <c r="AA178" s="70" t="inlineStr"/>
      <c r="AE178" s="80" t="n"/>
      <c r="BB178" s="180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SU002946</t>
        </is>
      </c>
      <c r="B179" s="64" t="inlineStr">
        <is>
          <t>P003400</t>
        </is>
      </c>
      <c r="C179" s="37" t="n">
        <v>4301031229</v>
      </c>
      <c r="D179" s="458" t="n">
        <v>4680115884038</v>
      </c>
      <c r="E179" s="798" t="n"/>
      <c r="F179" s="831" t="n">
        <v>0.3</v>
      </c>
      <c r="G179" s="38" t="n">
        <v>6</v>
      </c>
      <c r="H179" s="831" t="n">
        <v>1.8</v>
      </c>
      <c r="I179" s="831" t="n">
        <v>1.9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39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79" s="833" t="n"/>
      <c r="Q179" s="833" t="n"/>
      <c r="R179" s="833" t="n"/>
      <c r="S179" s="798" t="n"/>
      <c r="T179" s="40" t="inlineStr"/>
      <c r="U179" s="40" t="inlineStr"/>
      <c r="V179" s="41" t="inlineStr">
        <is>
          <t>кг</t>
        </is>
      </c>
      <c r="W179" s="834" t="n">
        <v>0</v>
      </c>
      <c r="X179" s="835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81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>
      <c r="A180" s="467" t="n"/>
      <c r="B180" s="785" t="n"/>
      <c r="C180" s="785" t="n"/>
      <c r="D180" s="785" t="n"/>
      <c r="E180" s="785" t="n"/>
      <c r="F180" s="785" t="n"/>
      <c r="G180" s="785" t="n"/>
      <c r="H180" s="785" t="n"/>
      <c r="I180" s="785" t="n"/>
      <c r="J180" s="785" t="n"/>
      <c r="K180" s="785" t="n"/>
      <c r="L180" s="785" t="n"/>
      <c r="M180" s="785" t="n"/>
      <c r="N180" s="837" t="n"/>
      <c r="O180" s="838" t="inlineStr">
        <is>
          <t>Итого</t>
        </is>
      </c>
      <c r="P180" s="805" t="n"/>
      <c r="Q180" s="805" t="n"/>
      <c r="R180" s="805" t="n"/>
      <c r="S180" s="805" t="n"/>
      <c r="T180" s="805" t="n"/>
      <c r="U180" s="806" t="n"/>
      <c r="V180" s="43" t="inlineStr">
        <is>
          <t>кор</t>
        </is>
      </c>
      <c r="W180" s="839">
        <f>IFERROR(W172/H172,"0")+IFERROR(W173/H173,"0")+IFERROR(W174/H174,"0")+IFERROR(W175/H175,"0")+IFERROR(W176/H176,"0")+IFERROR(W177/H177,"0")+IFERROR(W178/H178,"0")+IFERROR(W179/H179,"0")</f>
        <v/>
      </c>
      <c r="X180" s="839">
        <f>IFERROR(X172/H172,"0")+IFERROR(X173/H173,"0")+IFERROR(X174/H174,"0")+IFERROR(X175/H175,"0")+IFERROR(X176/H176,"0")+IFERROR(X177/H177,"0")+IFERROR(X178/H178,"0")+IFERROR(X179/H179,"0")</f>
        <v/>
      </c>
      <c r="Y180" s="839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/>
      </c>
      <c r="Z180" s="840" t="n"/>
      <c r="AA180" s="840" t="n"/>
    </row>
    <row r="181">
      <c r="A181" s="785" t="n"/>
      <c r="B181" s="785" t="n"/>
      <c r="C181" s="785" t="n"/>
      <c r="D181" s="785" t="n"/>
      <c r="E181" s="785" t="n"/>
      <c r="F181" s="785" t="n"/>
      <c r="G181" s="785" t="n"/>
      <c r="H181" s="785" t="n"/>
      <c r="I181" s="785" t="n"/>
      <c r="J181" s="785" t="n"/>
      <c r="K181" s="785" t="n"/>
      <c r="L181" s="785" t="n"/>
      <c r="M181" s="785" t="n"/>
      <c r="N181" s="837" t="n"/>
      <c r="O181" s="838" t="inlineStr">
        <is>
          <t>Итого</t>
        </is>
      </c>
      <c r="P181" s="805" t="n"/>
      <c r="Q181" s="805" t="n"/>
      <c r="R181" s="805" t="n"/>
      <c r="S181" s="805" t="n"/>
      <c r="T181" s="805" t="n"/>
      <c r="U181" s="806" t="n"/>
      <c r="V181" s="43" t="inlineStr">
        <is>
          <t>кг</t>
        </is>
      </c>
      <c r="W181" s="839">
        <f>IFERROR(SUM(W172:W179),"0")</f>
        <v/>
      </c>
      <c r="X181" s="839">
        <f>IFERROR(SUM(X172:X179),"0")</f>
        <v/>
      </c>
      <c r="Y181" s="43" t="n"/>
      <c r="Z181" s="840" t="n"/>
      <c r="AA181" s="840" t="n"/>
    </row>
    <row r="182" ht="14.25" customHeight="1">
      <c r="A182" s="457" t="inlineStr">
        <is>
          <t>Сосиски</t>
        </is>
      </c>
      <c r="B182" s="785" t="n"/>
      <c r="C182" s="785" t="n"/>
      <c r="D182" s="785" t="n"/>
      <c r="E182" s="785" t="n"/>
      <c r="F182" s="785" t="n"/>
      <c r="G182" s="785" t="n"/>
      <c r="H182" s="785" t="n"/>
      <c r="I182" s="785" t="n"/>
      <c r="J182" s="785" t="n"/>
      <c r="K182" s="785" t="n"/>
      <c r="L182" s="785" t="n"/>
      <c r="M182" s="785" t="n"/>
      <c r="N182" s="785" t="n"/>
      <c r="O182" s="785" t="n"/>
      <c r="P182" s="785" t="n"/>
      <c r="Q182" s="785" t="n"/>
      <c r="R182" s="785" t="n"/>
      <c r="S182" s="785" t="n"/>
      <c r="T182" s="785" t="n"/>
      <c r="U182" s="785" t="n"/>
      <c r="V182" s="785" t="n"/>
      <c r="W182" s="785" t="n"/>
      <c r="X182" s="785" t="n"/>
      <c r="Y182" s="785" t="n"/>
      <c r="Z182" s="457" t="n"/>
      <c r="AA182" s="457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458" t="n">
        <v>4680115881556</v>
      </c>
      <c r="E183" s="798" t="n"/>
      <c r="F183" s="831" t="n">
        <v>1</v>
      </c>
      <c r="G183" s="38" t="n">
        <v>4</v>
      </c>
      <c r="H183" s="831" t="n">
        <v>4</v>
      </c>
      <c r="I183" s="831" t="n">
        <v>4.408</v>
      </c>
      <c r="J183" s="38" t="n">
        <v>104</v>
      </c>
      <c r="K183" s="38" t="inlineStr">
        <is>
          <t>8</t>
        </is>
      </c>
      <c r="L183" s="39" t="inlineStr">
        <is>
          <t>СК3</t>
        </is>
      </c>
      <c r="M183" s="39" t="n"/>
      <c r="N183" s="38" t="n">
        <v>45</v>
      </c>
      <c r="O183" s="94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3" s="833" t="n"/>
      <c r="Q183" s="833" t="n"/>
      <c r="R183" s="833" t="n"/>
      <c r="S183" s="798" t="n"/>
      <c r="T183" s="40" t="inlineStr"/>
      <c r="U183" s="40" t="inlineStr"/>
      <c r="V183" s="41" t="inlineStr">
        <is>
          <t>кг</t>
        </is>
      </c>
      <c r="W183" s="834" t="n">
        <v>0</v>
      </c>
      <c r="X183" s="835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82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27" customHeight="1">
      <c r="A184" s="64" t="inlineStr">
        <is>
          <t>SU002843</t>
        </is>
      </c>
      <c r="B184" s="64" t="inlineStr">
        <is>
          <t>P003263</t>
        </is>
      </c>
      <c r="C184" s="37" t="n">
        <v>4301051408</v>
      </c>
      <c r="D184" s="458" t="n">
        <v>4680115881594</v>
      </c>
      <c r="E184" s="798" t="n"/>
      <c r="F184" s="831" t="n">
        <v>1.35</v>
      </c>
      <c r="G184" s="38" t="n">
        <v>6</v>
      </c>
      <c r="H184" s="831" t="n">
        <v>8.1</v>
      </c>
      <c r="I184" s="831" t="n">
        <v>8.664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94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4" s="833" t="n"/>
      <c r="Q184" s="833" t="n"/>
      <c r="R184" s="833" t="n"/>
      <c r="S184" s="798" t="n"/>
      <c r="T184" s="40" t="inlineStr"/>
      <c r="U184" s="40" t="inlineStr"/>
      <c r="V184" s="41" t="inlineStr">
        <is>
          <t>кг</t>
        </is>
      </c>
      <c r="W184" s="834" t="n">
        <v>0</v>
      </c>
      <c r="X184" s="835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3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SU002858</t>
        </is>
      </c>
      <c r="B185" s="64" t="inlineStr">
        <is>
          <t>P003581</t>
        </is>
      </c>
      <c r="C185" s="37" t="n">
        <v>4301051505</v>
      </c>
      <c r="D185" s="458" t="n">
        <v>4680115881587</v>
      </c>
      <c r="E185" s="798" t="n"/>
      <c r="F185" s="831" t="n">
        <v>1</v>
      </c>
      <c r="G185" s="38" t="n">
        <v>4</v>
      </c>
      <c r="H185" s="831" t="n">
        <v>4</v>
      </c>
      <c r="I185" s="831" t="n">
        <v>4.408</v>
      </c>
      <c r="J185" s="38" t="n">
        <v>104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40</v>
      </c>
      <c r="O185" s="942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5" s="833" t="n"/>
      <c r="Q185" s="833" t="n"/>
      <c r="R185" s="833" t="n"/>
      <c r="S185" s="798" t="n"/>
      <c r="T185" s="40" t="inlineStr"/>
      <c r="U185" s="40" t="inlineStr"/>
      <c r="V185" s="41" t="inlineStr">
        <is>
          <t>кг</t>
        </is>
      </c>
      <c r="W185" s="834" t="n">
        <v>0</v>
      </c>
      <c r="X185" s="835">
        <f>IFERROR(IF(W185="",0,CEILING((W185/$H185),1)*$H185),"")</f>
        <v/>
      </c>
      <c r="Y185" s="42">
        <f>IFERROR(IF(X185=0,"",ROUNDUP(X185/H185,0)*0.01196),"")</f>
        <v/>
      </c>
      <c r="Z185" s="69" t="inlineStr"/>
      <c r="AA185" s="70" t="inlineStr"/>
      <c r="AE185" s="80" t="n"/>
      <c r="BB185" s="184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16.5" customHeight="1">
      <c r="A186" s="64" t="inlineStr">
        <is>
          <t>SU002795</t>
        </is>
      </c>
      <c r="B186" s="64" t="inlineStr">
        <is>
          <t>P004180</t>
        </is>
      </c>
      <c r="C186" s="37" t="n">
        <v>4301051754</v>
      </c>
      <c r="D186" s="458" t="n">
        <v>4680115880962</v>
      </c>
      <c r="E186" s="798" t="n"/>
      <c r="F186" s="831" t="n">
        <v>1.3</v>
      </c>
      <c r="G186" s="38" t="n">
        <v>6</v>
      </c>
      <c r="H186" s="831" t="n">
        <v>7.8</v>
      </c>
      <c r="I186" s="831" t="n">
        <v>8.364000000000001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40</v>
      </c>
      <c r="O186" s="943" t="inlineStr">
        <is>
          <t>Сосиски Сочинки с сыром Бордо Весовой п/а Стародворье</t>
        </is>
      </c>
      <c r="P186" s="833" t="n"/>
      <c r="Q186" s="833" t="n"/>
      <c r="R186" s="833" t="n"/>
      <c r="S186" s="798" t="n"/>
      <c r="T186" s="40" t="inlineStr"/>
      <c r="U186" s="40" t="inlineStr"/>
      <c r="V186" s="41" t="inlineStr">
        <is>
          <t>кг</t>
        </is>
      </c>
      <c r="W186" s="834" t="n">
        <v>0</v>
      </c>
      <c r="X186" s="835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5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458" t="n">
        <v>4680115880962</v>
      </c>
      <c r="E187" s="798" t="n"/>
      <c r="F187" s="831" t="n">
        <v>1.3</v>
      </c>
      <c r="G187" s="38" t="n">
        <v>6</v>
      </c>
      <c r="H187" s="831" t="n">
        <v>7.8</v>
      </c>
      <c r="I187" s="831" t="n">
        <v>8.364000000000001</v>
      </c>
      <c r="J187" s="38" t="n">
        <v>56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40</v>
      </c>
      <c r="O187" s="944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7" s="833" t="n"/>
      <c r="Q187" s="833" t="n"/>
      <c r="R187" s="833" t="n"/>
      <c r="S187" s="798" t="n"/>
      <c r="T187" s="40" t="inlineStr"/>
      <c r="U187" s="40" t="inlineStr"/>
      <c r="V187" s="41" t="inlineStr">
        <is>
          <t>кг</t>
        </is>
      </c>
      <c r="W187" s="834" t="n">
        <v>0</v>
      </c>
      <c r="X187" s="835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6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458" t="n">
        <v>4680115881617</v>
      </c>
      <c r="E188" s="798" t="n"/>
      <c r="F188" s="831" t="n">
        <v>1.35</v>
      </c>
      <c r="G188" s="38" t="n">
        <v>6</v>
      </c>
      <c r="H188" s="831" t="n">
        <v>8.1</v>
      </c>
      <c r="I188" s="831" t="n">
        <v>8.646000000000001</v>
      </c>
      <c r="J188" s="38" t="n">
        <v>56</v>
      </c>
      <c r="K188" s="38" t="inlineStr">
        <is>
          <t>8</t>
        </is>
      </c>
      <c r="L188" s="39" t="inlineStr">
        <is>
          <t>СК3</t>
        </is>
      </c>
      <c r="M188" s="39" t="n"/>
      <c r="N188" s="38" t="n">
        <v>40</v>
      </c>
      <c r="O188" s="94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8" s="833" t="n"/>
      <c r="Q188" s="833" t="n"/>
      <c r="R188" s="833" t="n"/>
      <c r="S188" s="798" t="n"/>
      <c r="T188" s="40" t="inlineStr"/>
      <c r="U188" s="40" t="inlineStr"/>
      <c r="V188" s="41" t="inlineStr">
        <is>
          <t>кг</t>
        </is>
      </c>
      <c r="W188" s="834" t="n">
        <v>0</v>
      </c>
      <c r="X188" s="835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7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16.5" customHeight="1">
      <c r="A189" s="64" t="inlineStr">
        <is>
          <t>SU002725</t>
        </is>
      </c>
      <c r="B189" s="64" t="inlineStr">
        <is>
          <t>P003959</t>
        </is>
      </c>
      <c r="C189" s="37" t="n">
        <v>4301051632</v>
      </c>
      <c r="D189" s="458" t="n">
        <v>4680115880573</v>
      </c>
      <c r="E189" s="798" t="n"/>
      <c r="F189" s="831" t="n">
        <v>1.45</v>
      </c>
      <c r="G189" s="38" t="n">
        <v>6</v>
      </c>
      <c r="H189" s="831" t="n">
        <v>8.699999999999999</v>
      </c>
      <c r="I189" s="831" t="n">
        <v>9.263999999999999</v>
      </c>
      <c r="J189" s="38" t="n">
        <v>56</v>
      </c>
      <c r="K189" s="38" t="inlineStr">
        <is>
          <t>8</t>
        </is>
      </c>
      <c r="L189" s="39" t="inlineStr">
        <is>
          <t>СК2</t>
        </is>
      </c>
      <c r="M189" s="39" t="n"/>
      <c r="N189" s="38" t="n">
        <v>45</v>
      </c>
      <c r="O189" s="946" t="inlineStr">
        <is>
          <t>Сосиски «Сочинки» Весовой п/а ТМ «Стародворье»</t>
        </is>
      </c>
      <c r="P189" s="833" t="n"/>
      <c r="Q189" s="833" t="n"/>
      <c r="R189" s="833" t="n"/>
      <c r="S189" s="798" t="n"/>
      <c r="T189" s="40" t="inlineStr"/>
      <c r="U189" s="40" t="inlineStr"/>
      <c r="V189" s="41" t="inlineStr">
        <is>
          <t>кг</t>
        </is>
      </c>
      <c r="W189" s="834" t="n">
        <v>0</v>
      </c>
      <c r="X189" s="835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8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P003672</t>
        </is>
      </c>
      <c r="C190" s="37" t="n">
        <v>4301051538</v>
      </c>
      <c r="D190" s="458" t="n">
        <v>4680115880573</v>
      </c>
      <c r="E190" s="798" t="n"/>
      <c r="F190" s="831" t="n">
        <v>1.45</v>
      </c>
      <c r="G190" s="38" t="n">
        <v>6</v>
      </c>
      <c r="H190" s="831" t="n">
        <v>8.699999999999999</v>
      </c>
      <c r="I190" s="831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47">
        <f>HYPERLINK("https://abi.ru/products/Охлажденные/Стародворье/Сочинка/Сосиски/P003672/","Сосиски «Сочинки» Весовой п/а ТМ «Стародворье»")</f>
        <v/>
      </c>
      <c r="P190" s="833" t="n"/>
      <c r="Q190" s="833" t="n"/>
      <c r="R190" s="833" t="n"/>
      <c r="S190" s="798" t="n"/>
      <c r="T190" s="40" t="inlineStr"/>
      <c r="U190" s="40" t="inlineStr"/>
      <c r="V190" s="41" t="inlineStr">
        <is>
          <t>кг</t>
        </is>
      </c>
      <c r="W190" s="834" t="n">
        <v>0</v>
      </c>
      <c r="X190" s="835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9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458" t="n">
        <v>4680115881228</v>
      </c>
      <c r="E191" s="798" t="n"/>
      <c r="F191" s="831" t="n">
        <v>0.4</v>
      </c>
      <c r="G191" s="38" t="n">
        <v>6</v>
      </c>
      <c r="H191" s="831" t="n">
        <v>2.4</v>
      </c>
      <c r="I191" s="831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48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33" t="n"/>
      <c r="Q191" s="833" t="n"/>
      <c r="R191" s="833" t="n"/>
      <c r="S191" s="798" t="n"/>
      <c r="T191" s="40" t="inlineStr"/>
      <c r="U191" s="40" t="inlineStr"/>
      <c r="V191" s="41" t="inlineStr">
        <is>
          <t>кг</t>
        </is>
      </c>
      <c r="W191" s="834" t="n">
        <v>0</v>
      </c>
      <c r="X191" s="835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90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458" t="n">
        <v>4680115881037</v>
      </c>
      <c r="E192" s="798" t="n"/>
      <c r="F192" s="831" t="n">
        <v>0.84</v>
      </c>
      <c r="G192" s="38" t="n">
        <v>4</v>
      </c>
      <c r="H192" s="831" t="n">
        <v>3.36</v>
      </c>
      <c r="I192" s="831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49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33" t="n"/>
      <c r="Q192" s="833" t="n"/>
      <c r="R192" s="833" t="n"/>
      <c r="S192" s="798" t="n"/>
      <c r="T192" s="40" t="inlineStr"/>
      <c r="U192" s="40" t="inlineStr"/>
      <c r="V192" s="41" t="inlineStr">
        <is>
          <t>кг</t>
        </is>
      </c>
      <c r="W192" s="834" t="n">
        <v>0</v>
      </c>
      <c r="X192" s="835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91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458" t="n">
        <v>4680115881211</v>
      </c>
      <c r="E193" s="798" t="n"/>
      <c r="F193" s="831" t="n">
        <v>0.4</v>
      </c>
      <c r="G193" s="38" t="n">
        <v>6</v>
      </c>
      <c r="H193" s="831" t="n">
        <v>2.4</v>
      </c>
      <c r="I193" s="831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5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33" t="n"/>
      <c r="Q193" s="833" t="n"/>
      <c r="R193" s="833" t="n"/>
      <c r="S193" s="798" t="n"/>
      <c r="T193" s="40" t="inlineStr"/>
      <c r="U193" s="40" t="inlineStr"/>
      <c r="V193" s="41" t="inlineStr">
        <is>
          <t>кг</t>
        </is>
      </c>
      <c r="W193" s="834" t="n">
        <v>0</v>
      </c>
      <c r="X193" s="835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92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458" t="n">
        <v>4680115881020</v>
      </c>
      <c r="E194" s="798" t="n"/>
      <c r="F194" s="831" t="n">
        <v>0.84</v>
      </c>
      <c r="G194" s="38" t="n">
        <v>4</v>
      </c>
      <c r="H194" s="831" t="n">
        <v>3.36</v>
      </c>
      <c r="I194" s="831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5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33" t="n"/>
      <c r="Q194" s="833" t="n"/>
      <c r="R194" s="833" t="n"/>
      <c r="S194" s="798" t="n"/>
      <c r="T194" s="40" t="inlineStr"/>
      <c r="U194" s="40" t="inlineStr"/>
      <c r="V194" s="41" t="inlineStr">
        <is>
          <t>кг</t>
        </is>
      </c>
      <c r="W194" s="834" t="n">
        <v>0</v>
      </c>
      <c r="X194" s="835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3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458" t="n">
        <v>4680115882195</v>
      </c>
      <c r="E195" s="798" t="n"/>
      <c r="F195" s="831" t="n">
        <v>0.4</v>
      </c>
      <c r="G195" s="38" t="n">
        <v>6</v>
      </c>
      <c r="H195" s="831" t="n">
        <v>2.4</v>
      </c>
      <c r="I195" s="831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5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33" t="n"/>
      <c r="Q195" s="833" t="n"/>
      <c r="R195" s="833" t="n"/>
      <c r="S195" s="798" t="n"/>
      <c r="T195" s="40" t="inlineStr"/>
      <c r="U195" s="40" t="inlineStr"/>
      <c r="V195" s="41" t="inlineStr">
        <is>
          <t>кг</t>
        </is>
      </c>
      <c r="W195" s="834" t="n">
        <v>0</v>
      </c>
      <c r="X195" s="835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4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SU002618</t>
        </is>
      </c>
      <c r="B196" s="64" t="inlineStr">
        <is>
          <t>P003957</t>
        </is>
      </c>
      <c r="C196" s="37" t="n">
        <v>4301051630</v>
      </c>
      <c r="D196" s="458" t="n">
        <v>4680115880092</v>
      </c>
      <c r="E196" s="798" t="n"/>
      <c r="F196" s="831" t="n">
        <v>0.4</v>
      </c>
      <c r="G196" s="38" t="n">
        <v>6</v>
      </c>
      <c r="H196" s="831" t="n">
        <v>2.4</v>
      </c>
      <c r="I196" s="831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45</v>
      </c>
      <c r="O196" s="953" t="inlineStr">
        <is>
          <t>Сосиски «Сочинки с сочной грудинкой» Фикс.вес 0,4 П/а мгс ТМ «Стародворье»</t>
        </is>
      </c>
      <c r="P196" s="833" t="n"/>
      <c r="Q196" s="833" t="n"/>
      <c r="R196" s="833" t="n"/>
      <c r="S196" s="798" t="n"/>
      <c r="T196" s="40" t="inlineStr"/>
      <c r="U196" s="40" t="inlineStr"/>
      <c r="V196" s="41" t="inlineStr">
        <is>
          <t>кг</t>
        </is>
      </c>
      <c r="W196" s="834" t="n">
        <v>0</v>
      </c>
      <c r="X196" s="835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5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458" t="n">
        <v>4680115880092</v>
      </c>
      <c r="E197" s="798" t="n"/>
      <c r="F197" s="831" t="n">
        <v>0.4</v>
      </c>
      <c r="G197" s="38" t="n">
        <v>6</v>
      </c>
      <c r="H197" s="831" t="n">
        <v>2.4</v>
      </c>
      <c r="I197" s="831" t="n">
        <v>2.672</v>
      </c>
      <c r="J197" s="38" t="n">
        <v>156</v>
      </c>
      <c r="K197" s="38" t="inlineStr">
        <is>
          <t>12</t>
        </is>
      </c>
      <c r="L197" s="39" t="inlineStr">
        <is>
          <t>СК3</t>
        </is>
      </c>
      <c r="M197" s="39" t="n"/>
      <c r="N197" s="38" t="n">
        <v>45</v>
      </c>
      <c r="O197" s="95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7" s="833" t="n"/>
      <c r="Q197" s="833" t="n"/>
      <c r="R197" s="833" t="n"/>
      <c r="S197" s="798" t="n"/>
      <c r="T197" s="40" t="inlineStr"/>
      <c r="U197" s="40" t="inlineStr"/>
      <c r="V197" s="41" t="inlineStr">
        <is>
          <t>кг</t>
        </is>
      </c>
      <c r="W197" s="834" t="n">
        <v>0</v>
      </c>
      <c r="X197" s="835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6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458" t="n">
        <v>4680115880221</v>
      </c>
      <c r="E198" s="798" t="n"/>
      <c r="F198" s="831" t="n">
        <v>0.4</v>
      </c>
      <c r="G198" s="38" t="n">
        <v>6</v>
      </c>
      <c r="H198" s="831" t="n">
        <v>2.4</v>
      </c>
      <c r="I198" s="83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55" t="inlineStr">
        <is>
          <t>Сосиски «Сочинки с сочным окороком» Фикс.вес 0,4 П/а мгс ТМ «Стародворье»</t>
        </is>
      </c>
      <c r="P198" s="833" t="n"/>
      <c r="Q198" s="833" t="n"/>
      <c r="R198" s="833" t="n"/>
      <c r="S198" s="798" t="n"/>
      <c r="T198" s="40" t="inlineStr"/>
      <c r="U198" s="40" t="inlineStr"/>
      <c r="V198" s="41" t="inlineStr">
        <is>
          <t>кг</t>
        </is>
      </c>
      <c r="W198" s="834" t="n">
        <v>0</v>
      </c>
      <c r="X198" s="835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7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SU002621</t>
        </is>
      </c>
      <c r="B199" s="64" t="inlineStr">
        <is>
          <t>P003399</t>
        </is>
      </c>
      <c r="C199" s="37" t="n">
        <v>4301051469</v>
      </c>
      <c r="D199" s="458" t="n">
        <v>4680115880221</v>
      </c>
      <c r="E199" s="798" t="n"/>
      <c r="F199" s="831" t="n">
        <v>0.4</v>
      </c>
      <c r="G199" s="38" t="n">
        <v>6</v>
      </c>
      <c r="H199" s="831" t="n">
        <v>2.4</v>
      </c>
      <c r="I199" s="831" t="n">
        <v>2.672</v>
      </c>
      <c r="J199" s="38" t="n">
        <v>156</v>
      </c>
      <c r="K199" s="38" t="inlineStr">
        <is>
          <t>12</t>
        </is>
      </c>
      <c r="L199" s="39" t="inlineStr">
        <is>
          <t>СК3</t>
        </is>
      </c>
      <c r="M199" s="39" t="n"/>
      <c r="N199" s="38" t="n">
        <v>45</v>
      </c>
      <c r="O199" s="95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9" s="833" t="n"/>
      <c r="Q199" s="833" t="n"/>
      <c r="R199" s="833" t="n"/>
      <c r="S199" s="798" t="n"/>
      <c r="T199" s="40" t="inlineStr"/>
      <c r="U199" s="40" t="inlineStr"/>
      <c r="V199" s="41" t="inlineStr">
        <is>
          <t>кг</t>
        </is>
      </c>
      <c r="W199" s="834" t="n">
        <v>0</v>
      </c>
      <c r="X199" s="835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8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16.5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458" t="n">
        <v>4680115880504</v>
      </c>
      <c r="E200" s="798" t="n"/>
      <c r="F200" s="831" t="n">
        <v>0.4</v>
      </c>
      <c r="G200" s="38" t="n">
        <v>6</v>
      </c>
      <c r="H200" s="831" t="n">
        <v>2.4</v>
      </c>
      <c r="I200" s="831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57" t="inlineStr">
        <is>
          <t>Сосиски Сочинки с сыром Бордо ф/в 0,4 кг п/а Стародворье</t>
        </is>
      </c>
      <c r="P200" s="833" t="n"/>
      <c r="Q200" s="833" t="n"/>
      <c r="R200" s="833" t="n"/>
      <c r="S200" s="798" t="n"/>
      <c r="T200" s="40" t="inlineStr"/>
      <c r="U200" s="40" t="inlineStr"/>
      <c r="V200" s="41" t="inlineStr">
        <is>
          <t>кг</t>
        </is>
      </c>
      <c r="W200" s="834" t="n">
        <v>0</v>
      </c>
      <c r="X200" s="835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9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458" t="n">
        <v>4680115882164</v>
      </c>
      <c r="E201" s="798" t="n"/>
      <c r="F201" s="831" t="n">
        <v>0.4</v>
      </c>
      <c r="G201" s="38" t="n">
        <v>6</v>
      </c>
      <c r="H201" s="831" t="n">
        <v>2.4</v>
      </c>
      <c r="I201" s="831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5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33" t="n"/>
      <c r="Q201" s="833" t="n"/>
      <c r="R201" s="833" t="n"/>
      <c r="S201" s="798" t="n"/>
      <c r="T201" s="40" t="inlineStr"/>
      <c r="U201" s="40" t="inlineStr"/>
      <c r="V201" s="41" t="inlineStr">
        <is>
          <t>кг</t>
        </is>
      </c>
      <c r="W201" s="834" t="n">
        <v>0</v>
      </c>
      <c r="X201" s="835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200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67" t="n"/>
      <c r="B202" s="785" t="n"/>
      <c r="C202" s="785" t="n"/>
      <c r="D202" s="785" t="n"/>
      <c r="E202" s="785" t="n"/>
      <c r="F202" s="785" t="n"/>
      <c r="G202" s="785" t="n"/>
      <c r="H202" s="785" t="n"/>
      <c r="I202" s="785" t="n"/>
      <c r="J202" s="785" t="n"/>
      <c r="K202" s="785" t="n"/>
      <c r="L202" s="785" t="n"/>
      <c r="M202" s="785" t="n"/>
      <c r="N202" s="837" t="n"/>
      <c r="O202" s="838" t="inlineStr">
        <is>
          <t>Итого</t>
        </is>
      </c>
      <c r="P202" s="805" t="n"/>
      <c r="Q202" s="805" t="n"/>
      <c r="R202" s="805" t="n"/>
      <c r="S202" s="805" t="n"/>
      <c r="T202" s="805" t="n"/>
      <c r="U202" s="806" t="n"/>
      <c r="V202" s="43" t="inlineStr">
        <is>
          <t>кор</t>
        </is>
      </c>
      <c r="W202" s="839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39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39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40" t="n"/>
      <c r="AA202" s="840" t="n"/>
    </row>
    <row r="203">
      <c r="A203" s="785" t="n"/>
      <c r="B203" s="785" t="n"/>
      <c r="C203" s="785" t="n"/>
      <c r="D203" s="785" t="n"/>
      <c r="E203" s="785" t="n"/>
      <c r="F203" s="785" t="n"/>
      <c r="G203" s="785" t="n"/>
      <c r="H203" s="785" t="n"/>
      <c r="I203" s="785" t="n"/>
      <c r="J203" s="785" t="n"/>
      <c r="K203" s="785" t="n"/>
      <c r="L203" s="785" t="n"/>
      <c r="M203" s="785" t="n"/>
      <c r="N203" s="837" t="n"/>
      <c r="O203" s="838" t="inlineStr">
        <is>
          <t>Итого</t>
        </is>
      </c>
      <c r="P203" s="805" t="n"/>
      <c r="Q203" s="805" t="n"/>
      <c r="R203" s="805" t="n"/>
      <c r="S203" s="805" t="n"/>
      <c r="T203" s="805" t="n"/>
      <c r="U203" s="806" t="n"/>
      <c r="V203" s="43" t="inlineStr">
        <is>
          <t>кг</t>
        </is>
      </c>
      <c r="W203" s="839">
        <f>IFERROR(SUM(W183:W201),"0")</f>
        <v/>
      </c>
      <c r="X203" s="839">
        <f>IFERROR(SUM(X183:X201),"0")</f>
        <v/>
      </c>
      <c r="Y203" s="43" t="n"/>
      <c r="Z203" s="840" t="n"/>
      <c r="AA203" s="840" t="n"/>
    </row>
    <row r="204" ht="14.25" customHeight="1">
      <c r="A204" s="457" t="inlineStr">
        <is>
          <t>Сардельки</t>
        </is>
      </c>
      <c r="B204" s="785" t="n"/>
      <c r="C204" s="785" t="n"/>
      <c r="D204" s="785" t="n"/>
      <c r="E204" s="785" t="n"/>
      <c r="F204" s="785" t="n"/>
      <c r="G204" s="785" t="n"/>
      <c r="H204" s="785" t="n"/>
      <c r="I204" s="785" t="n"/>
      <c r="J204" s="785" t="n"/>
      <c r="K204" s="785" t="n"/>
      <c r="L204" s="785" t="n"/>
      <c r="M204" s="785" t="n"/>
      <c r="N204" s="785" t="n"/>
      <c r="O204" s="785" t="n"/>
      <c r="P204" s="785" t="n"/>
      <c r="Q204" s="785" t="n"/>
      <c r="R204" s="785" t="n"/>
      <c r="S204" s="785" t="n"/>
      <c r="T204" s="785" t="n"/>
      <c r="U204" s="785" t="n"/>
      <c r="V204" s="785" t="n"/>
      <c r="W204" s="785" t="n"/>
      <c r="X204" s="785" t="n"/>
      <c r="Y204" s="785" t="n"/>
      <c r="Z204" s="457" t="n"/>
      <c r="AA204" s="457" t="n"/>
    </row>
    <row r="205" ht="16.5" customHeight="1">
      <c r="A205" s="64" t="inlineStr">
        <is>
          <t>SU003042</t>
        </is>
      </c>
      <c r="B205" s="64" t="inlineStr">
        <is>
          <t>P003608</t>
        </is>
      </c>
      <c r="C205" s="37" t="n">
        <v>4301060360</v>
      </c>
      <c r="D205" s="458" t="n">
        <v>4680115882874</v>
      </c>
      <c r="E205" s="798" t="n"/>
      <c r="F205" s="831" t="n">
        <v>0.8</v>
      </c>
      <c r="G205" s="38" t="n">
        <v>4</v>
      </c>
      <c r="H205" s="831" t="n">
        <v>3.2</v>
      </c>
      <c r="I205" s="831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59">
        <f>HYPERLINK("https://abi.ru/products/Охлажденные/Стародворье/Сочинка/Сардельки/P003608/","Сардельки «Сочинки» Весовой н/о ТМ «Стародворье»")</f>
        <v/>
      </c>
      <c r="P205" s="833" t="n"/>
      <c r="Q205" s="833" t="n"/>
      <c r="R205" s="833" t="n"/>
      <c r="S205" s="798" t="n"/>
      <c r="T205" s="40" t="inlineStr"/>
      <c r="U205" s="40" t="inlineStr"/>
      <c r="V205" s="41" t="inlineStr">
        <is>
          <t>кг</t>
        </is>
      </c>
      <c r="W205" s="834" t="n">
        <v>0</v>
      </c>
      <c r="X205" s="835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201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27" customHeight="1">
      <c r="A206" s="64" t="inlineStr">
        <is>
          <t>SU003043</t>
        </is>
      </c>
      <c r="B206" s="64" t="inlineStr">
        <is>
          <t>P003604</t>
        </is>
      </c>
      <c r="C206" s="37" t="n">
        <v>4301060359</v>
      </c>
      <c r="D206" s="458" t="n">
        <v>4680115884434</v>
      </c>
      <c r="E206" s="798" t="n"/>
      <c r="F206" s="831" t="n">
        <v>0.8</v>
      </c>
      <c r="G206" s="38" t="n">
        <v>4</v>
      </c>
      <c r="H206" s="831" t="n">
        <v>3.2</v>
      </c>
      <c r="I206" s="831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30</v>
      </c>
      <c r="O206" s="960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6" s="833" t="n"/>
      <c r="Q206" s="833" t="n"/>
      <c r="R206" s="833" t="n"/>
      <c r="S206" s="798" t="n"/>
      <c r="T206" s="40" t="inlineStr"/>
      <c r="U206" s="40" t="inlineStr"/>
      <c r="V206" s="41" t="inlineStr">
        <is>
          <t>кг</t>
        </is>
      </c>
      <c r="W206" s="834" t="n">
        <v>0</v>
      </c>
      <c r="X206" s="835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202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SU002759</t>
        </is>
      </c>
      <c r="B207" s="64" t="inlineStr">
        <is>
          <t>P003961</t>
        </is>
      </c>
      <c r="C207" s="37" t="n">
        <v>4301060375</v>
      </c>
      <c r="D207" s="458" t="n">
        <v>4680115880818</v>
      </c>
      <c r="E207" s="798" t="n"/>
      <c r="F207" s="831" t="n">
        <v>0.4</v>
      </c>
      <c r="G207" s="38" t="n">
        <v>6</v>
      </c>
      <c r="H207" s="831" t="n">
        <v>2.4</v>
      </c>
      <c r="I207" s="831" t="n">
        <v>2.672</v>
      </c>
      <c r="J207" s="38" t="n">
        <v>156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40</v>
      </c>
      <c r="O207" s="961" t="inlineStr">
        <is>
          <t>Сардельки «Сочинки с сыром» Фикс.вес 0,4 п/а ТМ «Стародворье»</t>
        </is>
      </c>
      <c r="P207" s="833" t="n"/>
      <c r="Q207" s="833" t="n"/>
      <c r="R207" s="833" t="n"/>
      <c r="S207" s="798" t="n"/>
      <c r="T207" s="40" t="inlineStr"/>
      <c r="U207" s="40" t="inlineStr"/>
      <c r="V207" s="41" t="inlineStr">
        <is>
          <t>кг</t>
        </is>
      </c>
      <c r="W207" s="834" t="n">
        <v>0</v>
      </c>
      <c r="X207" s="835">
        <f>IFERROR(IF(W207="",0,CEILING((W207/$H207),1)*$H207),"")</f>
        <v/>
      </c>
      <c r="Y207" s="42">
        <f>IFERROR(IF(X207=0,"",ROUNDUP(X207/H207,0)*0.00753),"")</f>
        <v/>
      </c>
      <c r="Z207" s="69" t="inlineStr"/>
      <c r="AA207" s="70" t="inlineStr"/>
      <c r="AE207" s="80" t="n"/>
      <c r="BB207" s="203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16.5" customHeight="1">
      <c r="A208" s="64" t="inlineStr">
        <is>
          <t>SU002758</t>
        </is>
      </c>
      <c r="B208" s="64" t="inlineStr">
        <is>
          <t>P003960</t>
        </is>
      </c>
      <c r="C208" s="37" t="n">
        <v>4301060389</v>
      </c>
      <c r="D208" s="458" t="n">
        <v>4680115880801</v>
      </c>
      <c r="E208" s="798" t="n"/>
      <c r="F208" s="831" t="n">
        <v>0.4</v>
      </c>
      <c r="G208" s="38" t="n">
        <v>6</v>
      </c>
      <c r="H208" s="831" t="n">
        <v>2.4</v>
      </c>
      <c r="I208" s="831" t="n">
        <v>2.672</v>
      </c>
      <c r="J208" s="38" t="n">
        <v>156</v>
      </c>
      <c r="K208" s="38" t="inlineStr">
        <is>
          <t>12</t>
        </is>
      </c>
      <c r="L208" s="39" t="inlineStr">
        <is>
          <t>СК3</t>
        </is>
      </c>
      <c r="M208" s="39" t="n"/>
      <c r="N208" s="38" t="n">
        <v>40</v>
      </c>
      <c r="O208" s="962" t="inlineStr">
        <is>
          <t>Сардельки «Сочинки с сочным окороком» Фикс.вес 0,4 п/а мгс ТМ «Стародворье»</t>
        </is>
      </c>
      <c r="P208" s="833" t="n"/>
      <c r="Q208" s="833" t="n"/>
      <c r="R208" s="833" t="n"/>
      <c r="S208" s="798" t="n"/>
      <c r="T208" s="40" t="inlineStr"/>
      <c r="U208" s="40" t="inlineStr"/>
      <c r="V208" s="41" t="inlineStr">
        <is>
          <t>кг</t>
        </is>
      </c>
      <c r="W208" s="834" t="n">
        <v>0</v>
      </c>
      <c r="X208" s="835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4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>
      <c r="A209" s="467" t="n"/>
      <c r="B209" s="785" t="n"/>
      <c r="C209" s="785" t="n"/>
      <c r="D209" s="785" t="n"/>
      <c r="E209" s="785" t="n"/>
      <c r="F209" s="785" t="n"/>
      <c r="G209" s="785" t="n"/>
      <c r="H209" s="785" t="n"/>
      <c r="I209" s="785" t="n"/>
      <c r="J209" s="785" t="n"/>
      <c r="K209" s="785" t="n"/>
      <c r="L209" s="785" t="n"/>
      <c r="M209" s="785" t="n"/>
      <c r="N209" s="837" t="n"/>
      <c r="O209" s="838" t="inlineStr">
        <is>
          <t>Итого</t>
        </is>
      </c>
      <c r="P209" s="805" t="n"/>
      <c r="Q209" s="805" t="n"/>
      <c r="R209" s="805" t="n"/>
      <c r="S209" s="805" t="n"/>
      <c r="T209" s="805" t="n"/>
      <c r="U209" s="806" t="n"/>
      <c r="V209" s="43" t="inlineStr">
        <is>
          <t>кор</t>
        </is>
      </c>
      <c r="W209" s="839">
        <f>IFERROR(W205/H205,"0")+IFERROR(W206/H206,"0")+IFERROR(W207/H207,"0")+IFERROR(W208/H208,"0")</f>
        <v/>
      </c>
      <c r="X209" s="839">
        <f>IFERROR(X205/H205,"0")+IFERROR(X206/H206,"0")+IFERROR(X207/H207,"0")+IFERROR(X208/H208,"0")</f>
        <v/>
      </c>
      <c r="Y209" s="839">
        <f>IFERROR(IF(Y205="",0,Y205),"0")+IFERROR(IF(Y206="",0,Y206),"0")+IFERROR(IF(Y207="",0,Y207),"0")+IFERROR(IF(Y208="",0,Y208),"0")</f>
        <v/>
      </c>
      <c r="Z209" s="840" t="n"/>
      <c r="AA209" s="840" t="n"/>
    </row>
    <row r="210">
      <c r="A210" s="785" t="n"/>
      <c r="B210" s="785" t="n"/>
      <c r="C210" s="785" t="n"/>
      <c r="D210" s="785" t="n"/>
      <c r="E210" s="785" t="n"/>
      <c r="F210" s="785" t="n"/>
      <c r="G210" s="785" t="n"/>
      <c r="H210" s="785" t="n"/>
      <c r="I210" s="785" t="n"/>
      <c r="J210" s="785" t="n"/>
      <c r="K210" s="785" t="n"/>
      <c r="L210" s="785" t="n"/>
      <c r="M210" s="785" t="n"/>
      <c r="N210" s="837" t="n"/>
      <c r="O210" s="838" t="inlineStr">
        <is>
          <t>Итого</t>
        </is>
      </c>
      <c r="P210" s="805" t="n"/>
      <c r="Q210" s="805" t="n"/>
      <c r="R210" s="805" t="n"/>
      <c r="S210" s="805" t="n"/>
      <c r="T210" s="805" t="n"/>
      <c r="U210" s="806" t="n"/>
      <c r="V210" s="43" t="inlineStr">
        <is>
          <t>кг</t>
        </is>
      </c>
      <c r="W210" s="839">
        <f>IFERROR(SUM(W205:W208),"0")</f>
        <v/>
      </c>
      <c r="X210" s="839">
        <f>IFERROR(SUM(X205:X208),"0")</f>
        <v/>
      </c>
      <c r="Y210" s="43" t="n"/>
      <c r="Z210" s="840" t="n"/>
      <c r="AA210" s="840" t="n"/>
    </row>
    <row r="211" ht="16.5" customHeight="1">
      <c r="A211" s="456" t="inlineStr">
        <is>
          <t>Филедворская</t>
        </is>
      </c>
      <c r="B211" s="785" t="n"/>
      <c r="C211" s="785" t="n"/>
      <c r="D211" s="785" t="n"/>
      <c r="E211" s="785" t="n"/>
      <c r="F211" s="785" t="n"/>
      <c r="G211" s="785" t="n"/>
      <c r="H211" s="785" t="n"/>
      <c r="I211" s="785" t="n"/>
      <c r="J211" s="785" t="n"/>
      <c r="K211" s="785" t="n"/>
      <c r="L211" s="785" t="n"/>
      <c r="M211" s="785" t="n"/>
      <c r="N211" s="785" t="n"/>
      <c r="O211" s="785" t="n"/>
      <c r="P211" s="785" t="n"/>
      <c r="Q211" s="785" t="n"/>
      <c r="R211" s="785" t="n"/>
      <c r="S211" s="785" t="n"/>
      <c r="T211" s="785" t="n"/>
      <c r="U211" s="785" t="n"/>
      <c r="V211" s="785" t="n"/>
      <c r="W211" s="785" t="n"/>
      <c r="X211" s="785" t="n"/>
      <c r="Y211" s="785" t="n"/>
      <c r="Z211" s="456" t="n"/>
      <c r="AA211" s="456" t="n"/>
    </row>
    <row r="212" ht="14.25" customHeight="1">
      <c r="A212" s="457" t="inlineStr">
        <is>
          <t>Вареные колбасы</t>
        </is>
      </c>
      <c r="B212" s="785" t="n"/>
      <c r="C212" s="785" t="n"/>
      <c r="D212" s="785" t="n"/>
      <c r="E212" s="785" t="n"/>
      <c r="F212" s="785" t="n"/>
      <c r="G212" s="785" t="n"/>
      <c r="H212" s="785" t="n"/>
      <c r="I212" s="785" t="n"/>
      <c r="J212" s="785" t="n"/>
      <c r="K212" s="785" t="n"/>
      <c r="L212" s="785" t="n"/>
      <c r="M212" s="785" t="n"/>
      <c r="N212" s="785" t="n"/>
      <c r="O212" s="785" t="n"/>
      <c r="P212" s="785" t="n"/>
      <c r="Q212" s="785" t="n"/>
      <c r="R212" s="785" t="n"/>
      <c r="S212" s="785" t="n"/>
      <c r="T212" s="785" t="n"/>
      <c r="U212" s="785" t="n"/>
      <c r="V212" s="785" t="n"/>
      <c r="W212" s="785" t="n"/>
      <c r="X212" s="785" t="n"/>
      <c r="Y212" s="785" t="n"/>
      <c r="Z212" s="457" t="n"/>
      <c r="AA212" s="457" t="n"/>
    </row>
    <row r="213" ht="27" customHeight="1">
      <c r="A213" s="64" t="inlineStr">
        <is>
          <t>SU003267</t>
        </is>
      </c>
      <c r="B213" s="64" t="inlineStr">
        <is>
          <t>P003941</t>
        </is>
      </c>
      <c r="C213" s="37" t="n">
        <v>4301011717</v>
      </c>
      <c r="D213" s="458" t="n">
        <v>4680115884274</v>
      </c>
      <c r="E213" s="798" t="n"/>
      <c r="F213" s="831" t="n">
        <v>1.45</v>
      </c>
      <c r="G213" s="38" t="n">
        <v>8</v>
      </c>
      <c r="H213" s="831" t="n">
        <v>11.6</v>
      </c>
      <c r="I213" s="831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9" t="n"/>
      <c r="N213" s="38" t="n">
        <v>55</v>
      </c>
      <c r="O213" s="963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3" s="833" t="n"/>
      <c r="Q213" s="833" t="n"/>
      <c r="R213" s="833" t="n"/>
      <c r="S213" s="798" t="n"/>
      <c r="T213" s="40" t="inlineStr"/>
      <c r="U213" s="40" t="inlineStr"/>
      <c r="V213" s="41" t="inlineStr">
        <is>
          <t>кг</t>
        </is>
      </c>
      <c r="W213" s="834" t="n">
        <v>0</v>
      </c>
      <c r="X213" s="835">
        <f>IFERROR(IF(W213="",0,CEILING((W213/$H213),1)*$H213),"")</f>
        <v/>
      </c>
      <c r="Y213" s="42">
        <f>IFERROR(IF(X213=0,"",ROUNDUP(X213/H213,0)*0.02175),"")</f>
        <v/>
      </c>
      <c r="Z213" s="69" t="inlineStr"/>
      <c r="AA213" s="70" t="inlineStr"/>
      <c r="AE213" s="80" t="n"/>
      <c r="BB213" s="205" t="inlineStr">
        <is>
          <t>КИ</t>
        </is>
      </c>
      <c r="BL213" s="80">
        <f>IFERROR(W213*I213/H213,"0")</f>
        <v/>
      </c>
      <c r="BM213" s="80">
        <f>IFERROR(X213*I213/H213,"0")</f>
        <v/>
      </c>
      <c r="BN213" s="80">
        <f>IFERROR(1/J213*(W213/H213),"0")</f>
        <v/>
      </c>
      <c r="BO213" s="80">
        <f>IFERROR(1/J213*(X213/H213),"0")</f>
        <v/>
      </c>
    </row>
    <row r="214" ht="27" customHeight="1">
      <c r="A214" s="64" t="inlineStr">
        <is>
          <t>SU003269</t>
        </is>
      </c>
      <c r="B214" s="64" t="inlineStr">
        <is>
          <t>P003943</t>
        </is>
      </c>
      <c r="C214" s="37" t="n">
        <v>4301011719</v>
      </c>
      <c r="D214" s="458" t="n">
        <v>4680115884298</v>
      </c>
      <c r="E214" s="798" t="n"/>
      <c r="F214" s="831" t="n">
        <v>1.45</v>
      </c>
      <c r="G214" s="38" t="n">
        <v>8</v>
      </c>
      <c r="H214" s="831" t="n">
        <v>11.6</v>
      </c>
      <c r="I214" s="831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64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4" s="833" t="n"/>
      <c r="Q214" s="833" t="n"/>
      <c r="R214" s="833" t="n"/>
      <c r="S214" s="798" t="n"/>
      <c r="T214" s="40" t="inlineStr"/>
      <c r="U214" s="40" t="inlineStr"/>
      <c r="V214" s="41" t="inlineStr">
        <is>
          <t>кг</t>
        </is>
      </c>
      <c r="W214" s="834" t="n">
        <v>0</v>
      </c>
      <c r="X214" s="835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6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SU003265</t>
        </is>
      </c>
      <c r="B215" s="64" t="inlineStr">
        <is>
          <t>P003939</t>
        </is>
      </c>
      <c r="C215" s="37" t="n">
        <v>4301011733</v>
      </c>
      <c r="D215" s="458" t="n">
        <v>4680115884250</v>
      </c>
      <c r="E215" s="798" t="n"/>
      <c r="F215" s="831" t="n">
        <v>1.45</v>
      </c>
      <c r="G215" s="38" t="n">
        <v>8</v>
      </c>
      <c r="H215" s="831" t="n">
        <v>11.6</v>
      </c>
      <c r="I215" s="831" t="n">
        <v>12.08</v>
      </c>
      <c r="J215" s="38" t="n">
        <v>56</v>
      </c>
      <c r="K215" s="38" t="inlineStr">
        <is>
          <t>8</t>
        </is>
      </c>
      <c r="L215" s="39" t="inlineStr">
        <is>
          <t>СК3</t>
        </is>
      </c>
      <c r="M215" s="39" t="n"/>
      <c r="N215" s="38" t="n">
        <v>55</v>
      </c>
      <c r="O215" s="96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5" s="833" t="n"/>
      <c r="Q215" s="833" t="n"/>
      <c r="R215" s="833" t="n"/>
      <c r="S215" s="798" t="n"/>
      <c r="T215" s="40" t="inlineStr"/>
      <c r="U215" s="40" t="inlineStr"/>
      <c r="V215" s="41" t="inlineStr">
        <is>
          <t>кг</t>
        </is>
      </c>
      <c r="W215" s="834" t="n">
        <v>0</v>
      </c>
      <c r="X215" s="835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7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SU003268</t>
        </is>
      </c>
      <c r="B216" s="64" t="inlineStr">
        <is>
          <t>P003942</t>
        </is>
      </c>
      <c r="C216" s="37" t="n">
        <v>4301011718</v>
      </c>
      <c r="D216" s="458" t="n">
        <v>4680115884281</v>
      </c>
      <c r="E216" s="798" t="n"/>
      <c r="F216" s="831" t="n">
        <v>0.4</v>
      </c>
      <c r="G216" s="38" t="n">
        <v>10</v>
      </c>
      <c r="H216" s="831" t="n">
        <v>4</v>
      </c>
      <c r="I216" s="83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9" t="n"/>
      <c r="N216" s="38" t="n">
        <v>55</v>
      </c>
      <c r="O216" s="966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6" s="833" t="n"/>
      <c r="Q216" s="833" t="n"/>
      <c r="R216" s="833" t="n"/>
      <c r="S216" s="798" t="n"/>
      <c r="T216" s="40" t="inlineStr"/>
      <c r="U216" s="40" t="inlineStr"/>
      <c r="V216" s="41" t="inlineStr">
        <is>
          <t>кг</t>
        </is>
      </c>
      <c r="W216" s="834" t="n">
        <v>0</v>
      </c>
      <c r="X216" s="835">
        <f>IFERROR(IF(W216="",0,CEILING((W216/$H216),1)*$H216),"")</f>
        <v/>
      </c>
      <c r="Y216" s="42">
        <f>IFERROR(IF(X216=0,"",ROUNDUP(X216/H216,0)*0.00937),"")</f>
        <v/>
      </c>
      <c r="Z216" s="69" t="inlineStr"/>
      <c r="AA216" s="70" t="inlineStr"/>
      <c r="AE216" s="80" t="n"/>
      <c r="BB216" s="208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SU003270</t>
        </is>
      </c>
      <c r="B217" s="64" t="inlineStr">
        <is>
          <t>P003944</t>
        </is>
      </c>
      <c r="C217" s="37" t="n">
        <v>4301011720</v>
      </c>
      <c r="D217" s="458" t="n">
        <v>4680115884199</v>
      </c>
      <c r="E217" s="798" t="n"/>
      <c r="F217" s="831" t="n">
        <v>0.37</v>
      </c>
      <c r="G217" s="38" t="n">
        <v>10</v>
      </c>
      <c r="H217" s="831" t="n">
        <v>3.7</v>
      </c>
      <c r="I217" s="831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67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7" s="833" t="n"/>
      <c r="Q217" s="833" t="n"/>
      <c r="R217" s="833" t="n"/>
      <c r="S217" s="798" t="n"/>
      <c r="T217" s="40" t="inlineStr"/>
      <c r="U217" s="40" t="inlineStr"/>
      <c r="V217" s="41" t="inlineStr">
        <is>
          <t>кг</t>
        </is>
      </c>
      <c r="W217" s="834" t="n">
        <v>0</v>
      </c>
      <c r="X217" s="835">
        <f>IFERROR(IF(W217="",0,CEILING((W217/$H217),1)*$H217),"")</f>
        <v/>
      </c>
      <c r="Y217" s="42">
        <f>IFERROR(IF(X217=0,"",ROUNDUP(X217/H217,0)*0.00937),"")</f>
        <v/>
      </c>
      <c r="Z217" s="69" t="inlineStr"/>
      <c r="AA217" s="70" t="inlineStr"/>
      <c r="AE217" s="80" t="n"/>
      <c r="BB217" s="209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SU003266</t>
        </is>
      </c>
      <c r="B218" s="64" t="inlineStr">
        <is>
          <t>P003940</t>
        </is>
      </c>
      <c r="C218" s="37" t="n">
        <v>4301011716</v>
      </c>
      <c r="D218" s="458" t="n">
        <v>4680115884267</v>
      </c>
      <c r="E218" s="798" t="n"/>
      <c r="F218" s="831" t="n">
        <v>0.4</v>
      </c>
      <c r="G218" s="38" t="n">
        <v>10</v>
      </c>
      <c r="H218" s="831" t="n">
        <v>4</v>
      </c>
      <c r="I218" s="831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68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8" s="833" t="n"/>
      <c r="Q218" s="833" t="n"/>
      <c r="R218" s="833" t="n"/>
      <c r="S218" s="798" t="n"/>
      <c r="T218" s="40" t="inlineStr"/>
      <c r="U218" s="40" t="inlineStr"/>
      <c r="V218" s="41" t="inlineStr">
        <is>
          <t>кг</t>
        </is>
      </c>
      <c r="W218" s="834" t="n">
        <v>0</v>
      </c>
      <c r="X218" s="835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10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SU003051</t>
        </is>
      </c>
      <c r="B219" s="64" t="inlineStr">
        <is>
          <t>P003605</t>
        </is>
      </c>
      <c r="C219" s="37" t="n">
        <v>4301011593</v>
      </c>
      <c r="D219" s="458" t="n">
        <v>4680115882973</v>
      </c>
      <c r="E219" s="798" t="n"/>
      <c r="F219" s="831" t="n">
        <v>0.7</v>
      </c>
      <c r="G219" s="38" t="n">
        <v>6</v>
      </c>
      <c r="H219" s="831" t="n">
        <v>4.2</v>
      </c>
      <c r="I219" s="831" t="n">
        <v>4.56</v>
      </c>
      <c r="J219" s="38" t="n">
        <v>104</v>
      </c>
      <c r="K219" s="38" t="inlineStr">
        <is>
          <t>8</t>
        </is>
      </c>
      <c r="L219" s="39" t="inlineStr">
        <is>
          <t>СК1</t>
        </is>
      </c>
      <c r="M219" s="39" t="n"/>
      <c r="N219" s="38" t="n">
        <v>55</v>
      </c>
      <c r="O219" s="969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19" s="833" t="n"/>
      <c r="Q219" s="833" t="n"/>
      <c r="R219" s="833" t="n"/>
      <c r="S219" s="798" t="n"/>
      <c r="T219" s="40" t="inlineStr"/>
      <c r="U219" s="40" t="inlineStr"/>
      <c r="V219" s="41" t="inlineStr">
        <is>
          <t>кг</t>
        </is>
      </c>
      <c r="W219" s="834" t="n">
        <v>0</v>
      </c>
      <c r="X219" s="835">
        <f>IFERROR(IF(W219="",0,CEILING((W219/$H219),1)*$H219),"")</f>
        <v/>
      </c>
      <c r="Y219" s="42">
        <f>IFERROR(IF(X219=0,"",ROUNDUP(X219/H219,0)*0.01196),"")</f>
        <v/>
      </c>
      <c r="Z219" s="69" t="inlineStr"/>
      <c r="AA219" s="70" t="inlineStr"/>
      <c r="AE219" s="80" t="n"/>
      <c r="BB219" s="211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467" t="n"/>
      <c r="B220" s="785" t="n"/>
      <c r="C220" s="785" t="n"/>
      <c r="D220" s="785" t="n"/>
      <c r="E220" s="785" t="n"/>
      <c r="F220" s="785" t="n"/>
      <c r="G220" s="785" t="n"/>
      <c r="H220" s="785" t="n"/>
      <c r="I220" s="785" t="n"/>
      <c r="J220" s="785" t="n"/>
      <c r="K220" s="785" t="n"/>
      <c r="L220" s="785" t="n"/>
      <c r="M220" s="785" t="n"/>
      <c r="N220" s="837" t="n"/>
      <c r="O220" s="838" t="inlineStr">
        <is>
          <t>Итого</t>
        </is>
      </c>
      <c r="P220" s="805" t="n"/>
      <c r="Q220" s="805" t="n"/>
      <c r="R220" s="805" t="n"/>
      <c r="S220" s="805" t="n"/>
      <c r="T220" s="805" t="n"/>
      <c r="U220" s="806" t="n"/>
      <c r="V220" s="43" t="inlineStr">
        <is>
          <t>кор</t>
        </is>
      </c>
      <c r="W220" s="839">
        <f>IFERROR(W213/H213,"0")+IFERROR(W214/H214,"0")+IFERROR(W215/H215,"0")+IFERROR(W216/H216,"0")+IFERROR(W217/H217,"0")+IFERROR(W218/H218,"0")+IFERROR(W219/H219,"0")</f>
        <v/>
      </c>
      <c r="X220" s="839">
        <f>IFERROR(X213/H213,"0")+IFERROR(X214/H214,"0")+IFERROR(X215/H215,"0")+IFERROR(X216/H216,"0")+IFERROR(X217/H217,"0")+IFERROR(X218/H218,"0")+IFERROR(X219/H219,"0")</f>
        <v/>
      </c>
      <c r="Y220" s="839">
        <f>IFERROR(IF(Y213="",0,Y213),"0")+IFERROR(IF(Y214="",0,Y214),"0")+IFERROR(IF(Y215="",0,Y215),"0")+IFERROR(IF(Y216="",0,Y216),"0")+IFERROR(IF(Y217="",0,Y217),"0")+IFERROR(IF(Y218="",0,Y218),"0")+IFERROR(IF(Y219="",0,Y219),"0")</f>
        <v/>
      </c>
      <c r="Z220" s="840" t="n"/>
      <c r="AA220" s="840" t="n"/>
    </row>
    <row r="221">
      <c r="A221" s="785" t="n"/>
      <c r="B221" s="785" t="n"/>
      <c r="C221" s="785" t="n"/>
      <c r="D221" s="785" t="n"/>
      <c r="E221" s="785" t="n"/>
      <c r="F221" s="785" t="n"/>
      <c r="G221" s="785" t="n"/>
      <c r="H221" s="785" t="n"/>
      <c r="I221" s="785" t="n"/>
      <c r="J221" s="785" t="n"/>
      <c r="K221" s="785" t="n"/>
      <c r="L221" s="785" t="n"/>
      <c r="M221" s="785" t="n"/>
      <c r="N221" s="837" t="n"/>
      <c r="O221" s="838" t="inlineStr">
        <is>
          <t>Итого</t>
        </is>
      </c>
      <c r="P221" s="805" t="n"/>
      <c r="Q221" s="805" t="n"/>
      <c r="R221" s="805" t="n"/>
      <c r="S221" s="805" t="n"/>
      <c r="T221" s="805" t="n"/>
      <c r="U221" s="806" t="n"/>
      <c r="V221" s="43" t="inlineStr">
        <is>
          <t>кг</t>
        </is>
      </c>
      <c r="W221" s="839">
        <f>IFERROR(SUM(W213:W219),"0")</f>
        <v/>
      </c>
      <c r="X221" s="839">
        <f>IFERROR(SUM(X213:X219),"0")</f>
        <v/>
      </c>
      <c r="Y221" s="43" t="n"/>
      <c r="Z221" s="840" t="n"/>
      <c r="AA221" s="840" t="n"/>
    </row>
    <row r="222" ht="14.25" customHeight="1">
      <c r="A222" s="457" t="inlineStr">
        <is>
          <t>Копченые колбасы</t>
        </is>
      </c>
      <c r="B222" s="785" t="n"/>
      <c r="C222" s="785" t="n"/>
      <c r="D222" s="785" t="n"/>
      <c r="E222" s="785" t="n"/>
      <c r="F222" s="785" t="n"/>
      <c r="G222" s="785" t="n"/>
      <c r="H222" s="785" t="n"/>
      <c r="I222" s="785" t="n"/>
      <c r="J222" s="785" t="n"/>
      <c r="K222" s="785" t="n"/>
      <c r="L222" s="785" t="n"/>
      <c r="M222" s="785" t="n"/>
      <c r="N222" s="785" t="n"/>
      <c r="O222" s="785" t="n"/>
      <c r="P222" s="785" t="n"/>
      <c r="Q222" s="785" t="n"/>
      <c r="R222" s="785" t="n"/>
      <c r="S222" s="785" t="n"/>
      <c r="T222" s="785" t="n"/>
      <c r="U222" s="785" t="n"/>
      <c r="V222" s="785" t="n"/>
      <c r="W222" s="785" t="n"/>
      <c r="X222" s="785" t="n"/>
      <c r="Y222" s="785" t="n"/>
      <c r="Z222" s="457" t="n"/>
      <c r="AA222" s="457" t="n"/>
    </row>
    <row r="223" ht="27" customHeight="1">
      <c r="A223" s="64" t="inlineStr">
        <is>
          <t>SU002617</t>
        </is>
      </c>
      <c r="B223" s="64" t="inlineStr">
        <is>
          <t>P004229</t>
        </is>
      </c>
      <c r="C223" s="37" t="n">
        <v>4301031305</v>
      </c>
      <c r="D223" s="458" t="n">
        <v>4607091389845</v>
      </c>
      <c r="E223" s="798" t="n"/>
      <c r="F223" s="831" t="n">
        <v>0.35</v>
      </c>
      <c r="G223" s="38" t="n">
        <v>6</v>
      </c>
      <c r="H223" s="831" t="n">
        <v>2.1</v>
      </c>
      <c r="I223" s="83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9" t="n"/>
      <c r="N223" s="38" t="n">
        <v>40</v>
      </c>
      <c r="O223" s="970" t="inlineStr">
        <is>
          <t>В/к колбасы Сервелат Филедворский срез Бордо Фикс.вес 0,35 фиброуз в/у стародворье</t>
        </is>
      </c>
      <c r="P223" s="833" t="n"/>
      <c r="Q223" s="833" t="n"/>
      <c r="R223" s="833" t="n"/>
      <c r="S223" s="798" t="n"/>
      <c r="T223" s="40" t="inlineStr"/>
      <c r="U223" s="40" t="inlineStr"/>
      <c r="V223" s="41" t="inlineStr">
        <is>
          <t>кг</t>
        </is>
      </c>
      <c r="W223" s="834" t="n">
        <v>0</v>
      </c>
      <c r="X223" s="835">
        <f>IFERROR(IF(W223="",0,CEILING((W223/$H223),1)*$H223),"")</f>
        <v/>
      </c>
      <c r="Y223" s="42">
        <f>IFERROR(IF(X223=0,"",ROUNDUP(X223/H223,0)*0.00502),"")</f>
        <v/>
      </c>
      <c r="Z223" s="69" t="inlineStr"/>
      <c r="AA223" s="70" t="inlineStr"/>
      <c r="AE223" s="80" t="n"/>
      <c r="BB223" s="212" t="inlineStr">
        <is>
          <t>КИ</t>
        </is>
      </c>
      <c r="BL223" s="80">
        <f>IFERROR(W223*I223/H223,"0")</f>
        <v/>
      </c>
      <c r="BM223" s="80">
        <f>IFERROR(X223*I223/H223,"0")</f>
        <v/>
      </c>
      <c r="BN223" s="80">
        <f>IFERROR(1/J223*(W223/H223),"0")</f>
        <v/>
      </c>
      <c r="BO223" s="80">
        <f>IFERROR(1/J223*(X223/H223),"0")</f>
        <v/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458" t="n">
        <v>4607091389845</v>
      </c>
      <c r="E224" s="798" t="n"/>
      <c r="F224" s="831" t="n">
        <v>0.35</v>
      </c>
      <c r="G224" s="38" t="n">
        <v>6</v>
      </c>
      <c r="H224" s="831" t="n">
        <v>2.1</v>
      </c>
      <c r="I224" s="831" t="n">
        <v>2.2</v>
      </c>
      <c r="J224" s="38" t="n">
        <v>234</v>
      </c>
      <c r="K224" s="38" t="inlineStr">
        <is>
          <t>18</t>
        </is>
      </c>
      <c r="L224" s="39" t="inlineStr">
        <is>
          <t>СК2</t>
        </is>
      </c>
      <c r="M224" s="39" t="n"/>
      <c r="N224" s="38" t="n">
        <v>40</v>
      </c>
      <c r="O224" s="97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24" s="833" t="n"/>
      <c r="Q224" s="833" t="n"/>
      <c r="R224" s="833" t="n"/>
      <c r="S224" s="798" t="n"/>
      <c r="T224" s="40" t="inlineStr"/>
      <c r="U224" s="40" t="inlineStr"/>
      <c r="V224" s="41" t="inlineStr">
        <is>
          <t>кг</t>
        </is>
      </c>
      <c r="W224" s="834" t="n">
        <v>0</v>
      </c>
      <c r="X224" s="835">
        <f>IFERROR(IF(W224="",0,CEILING((W224/$H224),1)*$H224),"")</f>
        <v/>
      </c>
      <c r="Y224" s="42">
        <f>IFERROR(IF(X224=0,"",ROUNDUP(X224/H224,0)*0.00502),"")</f>
        <v/>
      </c>
      <c r="Z224" s="69" t="inlineStr"/>
      <c r="AA224" s="70" t="inlineStr"/>
      <c r="AE224" s="80" t="n"/>
      <c r="BB224" s="213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SU003084</t>
        </is>
      </c>
      <c r="B225" s="64" t="inlineStr">
        <is>
          <t>P003649</t>
        </is>
      </c>
      <c r="C225" s="37" t="n">
        <v>4301031259</v>
      </c>
      <c r="D225" s="458" t="n">
        <v>4680115882881</v>
      </c>
      <c r="E225" s="798" t="n"/>
      <c r="F225" s="831" t="n">
        <v>0.28</v>
      </c>
      <c r="G225" s="38" t="n">
        <v>6</v>
      </c>
      <c r="H225" s="831" t="n">
        <v>1.68</v>
      </c>
      <c r="I225" s="831" t="n">
        <v>1.81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9" t="n"/>
      <c r="N225" s="38" t="n">
        <v>40</v>
      </c>
      <c r="O225" s="972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5" s="833" t="n"/>
      <c r="Q225" s="833" t="n"/>
      <c r="R225" s="833" t="n"/>
      <c r="S225" s="798" t="n"/>
      <c r="T225" s="40" t="inlineStr"/>
      <c r="U225" s="40" t="inlineStr"/>
      <c r="V225" s="41" t="inlineStr">
        <is>
          <t>кг</t>
        </is>
      </c>
      <c r="W225" s="834" t="n">
        <v>0</v>
      </c>
      <c r="X225" s="835">
        <f>IFERROR(IF(W225="",0,CEILING((W225/$H225),1)*$H225),"")</f>
        <v/>
      </c>
      <c r="Y225" s="42">
        <f>IFERROR(IF(X225=0,"",ROUNDUP(X225/H225,0)*0.00502),"")</f>
        <v/>
      </c>
      <c r="Z225" s="69" t="inlineStr"/>
      <c r="AA225" s="70" t="inlineStr"/>
      <c r="AE225" s="80" t="n"/>
      <c r="BB225" s="214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>
      <c r="A226" s="467" t="n"/>
      <c r="B226" s="785" t="n"/>
      <c r="C226" s="785" t="n"/>
      <c r="D226" s="785" t="n"/>
      <c r="E226" s="785" t="n"/>
      <c r="F226" s="785" t="n"/>
      <c r="G226" s="785" t="n"/>
      <c r="H226" s="785" t="n"/>
      <c r="I226" s="785" t="n"/>
      <c r="J226" s="785" t="n"/>
      <c r="K226" s="785" t="n"/>
      <c r="L226" s="785" t="n"/>
      <c r="M226" s="785" t="n"/>
      <c r="N226" s="837" t="n"/>
      <c r="O226" s="838" t="inlineStr">
        <is>
          <t>Итого</t>
        </is>
      </c>
      <c r="P226" s="805" t="n"/>
      <c r="Q226" s="805" t="n"/>
      <c r="R226" s="805" t="n"/>
      <c r="S226" s="805" t="n"/>
      <c r="T226" s="805" t="n"/>
      <c r="U226" s="806" t="n"/>
      <c r="V226" s="43" t="inlineStr">
        <is>
          <t>кор</t>
        </is>
      </c>
      <c r="W226" s="839">
        <f>IFERROR(W223/H223,"0")+IFERROR(W224/H224,"0")+IFERROR(W225/H225,"0")</f>
        <v/>
      </c>
      <c r="X226" s="839">
        <f>IFERROR(X223/H223,"0")+IFERROR(X224/H224,"0")+IFERROR(X225/H225,"0")</f>
        <v/>
      </c>
      <c r="Y226" s="839">
        <f>IFERROR(IF(Y223="",0,Y223),"0")+IFERROR(IF(Y224="",0,Y224),"0")+IFERROR(IF(Y225="",0,Y225),"0")</f>
        <v/>
      </c>
      <c r="Z226" s="840" t="n"/>
      <c r="AA226" s="840" t="n"/>
    </row>
    <row r="227">
      <c r="A227" s="785" t="n"/>
      <c r="B227" s="785" t="n"/>
      <c r="C227" s="785" t="n"/>
      <c r="D227" s="785" t="n"/>
      <c r="E227" s="785" t="n"/>
      <c r="F227" s="785" t="n"/>
      <c r="G227" s="785" t="n"/>
      <c r="H227" s="785" t="n"/>
      <c r="I227" s="785" t="n"/>
      <c r="J227" s="785" t="n"/>
      <c r="K227" s="785" t="n"/>
      <c r="L227" s="785" t="n"/>
      <c r="M227" s="785" t="n"/>
      <c r="N227" s="837" t="n"/>
      <c r="O227" s="838" t="inlineStr">
        <is>
          <t>Итого</t>
        </is>
      </c>
      <c r="P227" s="805" t="n"/>
      <c r="Q227" s="805" t="n"/>
      <c r="R227" s="805" t="n"/>
      <c r="S227" s="805" t="n"/>
      <c r="T227" s="805" t="n"/>
      <c r="U227" s="806" t="n"/>
      <c r="V227" s="43" t="inlineStr">
        <is>
          <t>кг</t>
        </is>
      </c>
      <c r="W227" s="839">
        <f>IFERROR(SUM(W223:W225),"0")</f>
        <v/>
      </c>
      <c r="X227" s="839">
        <f>IFERROR(SUM(X223:X225),"0")</f>
        <v/>
      </c>
      <c r="Y227" s="43" t="n"/>
      <c r="Z227" s="840" t="n"/>
      <c r="AA227" s="840" t="n"/>
    </row>
    <row r="228" ht="16.5" customHeight="1">
      <c r="A228" s="456" t="inlineStr">
        <is>
          <t>Стародворская</t>
        </is>
      </c>
      <c r="B228" s="785" t="n"/>
      <c r="C228" s="785" t="n"/>
      <c r="D228" s="785" t="n"/>
      <c r="E228" s="785" t="n"/>
      <c r="F228" s="785" t="n"/>
      <c r="G228" s="785" t="n"/>
      <c r="H228" s="785" t="n"/>
      <c r="I228" s="785" t="n"/>
      <c r="J228" s="785" t="n"/>
      <c r="K228" s="785" t="n"/>
      <c r="L228" s="785" t="n"/>
      <c r="M228" s="785" t="n"/>
      <c r="N228" s="785" t="n"/>
      <c r="O228" s="785" t="n"/>
      <c r="P228" s="785" t="n"/>
      <c r="Q228" s="785" t="n"/>
      <c r="R228" s="785" t="n"/>
      <c r="S228" s="785" t="n"/>
      <c r="T228" s="785" t="n"/>
      <c r="U228" s="785" t="n"/>
      <c r="V228" s="785" t="n"/>
      <c r="W228" s="785" t="n"/>
      <c r="X228" s="785" t="n"/>
      <c r="Y228" s="785" t="n"/>
      <c r="Z228" s="456" t="n"/>
      <c r="AA228" s="456" t="n"/>
    </row>
    <row r="229" ht="14.25" customHeight="1">
      <c r="A229" s="457" t="inlineStr">
        <is>
          <t>Вареные колбасы</t>
        </is>
      </c>
      <c r="B229" s="785" t="n"/>
      <c r="C229" s="785" t="n"/>
      <c r="D229" s="785" t="n"/>
      <c r="E229" s="785" t="n"/>
      <c r="F229" s="785" t="n"/>
      <c r="G229" s="785" t="n"/>
      <c r="H229" s="785" t="n"/>
      <c r="I229" s="785" t="n"/>
      <c r="J229" s="785" t="n"/>
      <c r="K229" s="785" t="n"/>
      <c r="L229" s="785" t="n"/>
      <c r="M229" s="785" t="n"/>
      <c r="N229" s="785" t="n"/>
      <c r="O229" s="785" t="n"/>
      <c r="P229" s="785" t="n"/>
      <c r="Q229" s="785" t="n"/>
      <c r="R229" s="785" t="n"/>
      <c r="S229" s="785" t="n"/>
      <c r="T229" s="785" t="n"/>
      <c r="U229" s="785" t="n"/>
      <c r="V229" s="785" t="n"/>
      <c r="W229" s="785" t="n"/>
      <c r="X229" s="785" t="n"/>
      <c r="Y229" s="785" t="n"/>
      <c r="Z229" s="457" t="n"/>
      <c r="AA229" s="457" t="n"/>
    </row>
    <row r="230" ht="27" customHeight="1">
      <c r="A230" s="64" t="inlineStr">
        <is>
          <t>SU003273</t>
        </is>
      </c>
      <c r="B230" s="64" t="inlineStr">
        <is>
          <t>P004070</t>
        </is>
      </c>
      <c r="C230" s="37" t="n">
        <v>4301011826</v>
      </c>
      <c r="D230" s="458" t="n">
        <v>4680115884137</v>
      </c>
      <c r="E230" s="798" t="n"/>
      <c r="F230" s="831" t="n">
        <v>1.45</v>
      </c>
      <c r="G230" s="38" t="n">
        <v>8</v>
      </c>
      <c r="H230" s="831" t="n">
        <v>11.6</v>
      </c>
      <c r="I230" s="831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73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0" s="833" t="n"/>
      <c r="Q230" s="833" t="n"/>
      <c r="R230" s="833" t="n"/>
      <c r="S230" s="798" t="n"/>
      <c r="T230" s="40" t="inlineStr"/>
      <c r="U230" s="40" t="inlineStr"/>
      <c r="V230" s="41" t="inlineStr">
        <is>
          <t>кг</t>
        </is>
      </c>
      <c r="W230" s="834" t="n">
        <v>0</v>
      </c>
      <c r="X230" s="835">
        <f>IFERROR(IF(W230="",0,CEILING((W230/$H230),1)*$H230),"")</f>
        <v/>
      </c>
      <c r="Y230" s="42">
        <f>IFERROR(IF(X230=0,"",ROUNDUP(X230/H230,0)*0.02175),"")</f>
        <v/>
      </c>
      <c r="Z230" s="69" t="inlineStr"/>
      <c r="AA230" s="70" t="inlineStr"/>
      <c r="AE230" s="80" t="n"/>
      <c r="BB230" s="215" t="inlineStr">
        <is>
          <t>КИ</t>
        </is>
      </c>
      <c r="BL230" s="80">
        <f>IFERROR(W230*I230/H230,"0")</f>
        <v/>
      </c>
      <c r="BM230" s="80">
        <f>IFERROR(X230*I230/H230,"0")</f>
        <v/>
      </c>
      <c r="BN230" s="80">
        <f>IFERROR(1/J230*(W230/H230),"0")</f>
        <v/>
      </c>
      <c r="BO230" s="80">
        <f>IFERROR(1/J230*(X230/H230),"0")</f>
        <v/>
      </c>
    </row>
    <row r="231" ht="27" customHeight="1">
      <c r="A231" s="64" t="inlineStr">
        <is>
          <t>SU003275</t>
        </is>
      </c>
      <c r="B231" s="64" t="inlineStr">
        <is>
          <t>P003950</t>
        </is>
      </c>
      <c r="C231" s="37" t="n">
        <v>4301011724</v>
      </c>
      <c r="D231" s="458" t="n">
        <v>4680115884236</v>
      </c>
      <c r="E231" s="798" t="n"/>
      <c r="F231" s="831" t="n">
        <v>1.45</v>
      </c>
      <c r="G231" s="38" t="n">
        <v>8</v>
      </c>
      <c r="H231" s="831" t="n">
        <v>11.6</v>
      </c>
      <c r="I231" s="831" t="n">
        <v>12.08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9" t="n"/>
      <c r="N231" s="38" t="n">
        <v>55</v>
      </c>
      <c r="O231" s="97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1" s="833" t="n"/>
      <c r="Q231" s="833" t="n"/>
      <c r="R231" s="833" t="n"/>
      <c r="S231" s="798" t="n"/>
      <c r="T231" s="40" t="inlineStr"/>
      <c r="U231" s="40" t="inlineStr"/>
      <c r="V231" s="41" t="inlineStr">
        <is>
          <t>кг</t>
        </is>
      </c>
      <c r="W231" s="834" t="n">
        <v>0</v>
      </c>
      <c r="X231" s="835">
        <f>IFERROR(IF(W231="",0,CEILING((W231/$H231),1)*$H231),"")</f>
        <v/>
      </c>
      <c r="Y231" s="42">
        <f>IFERROR(IF(X231=0,"",ROUNDUP(X231/H231,0)*0.02175),"")</f>
        <v/>
      </c>
      <c r="Z231" s="69" t="inlineStr"/>
      <c r="AA231" s="70" t="inlineStr"/>
      <c r="AE231" s="80" t="n"/>
      <c r="BB231" s="216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SU003271</t>
        </is>
      </c>
      <c r="B232" s="64" t="inlineStr">
        <is>
          <t>P003945</t>
        </is>
      </c>
      <c r="C232" s="37" t="n">
        <v>4301011721</v>
      </c>
      <c r="D232" s="458" t="n">
        <v>4680115884175</v>
      </c>
      <c r="E232" s="798" t="n"/>
      <c r="F232" s="831" t="n">
        <v>1.45</v>
      </c>
      <c r="G232" s="38" t="n">
        <v>8</v>
      </c>
      <c r="H232" s="831" t="n">
        <v>11.6</v>
      </c>
      <c r="I232" s="831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7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2" s="833" t="n"/>
      <c r="Q232" s="833" t="n"/>
      <c r="R232" s="833" t="n"/>
      <c r="S232" s="798" t="n"/>
      <c r="T232" s="40" t="inlineStr"/>
      <c r="U232" s="40" t="inlineStr"/>
      <c r="V232" s="41" t="inlineStr">
        <is>
          <t>кг</t>
        </is>
      </c>
      <c r="W232" s="834" t="n">
        <v>0</v>
      </c>
      <c r="X232" s="835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7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SU003274</t>
        </is>
      </c>
      <c r="B233" s="64" t="inlineStr">
        <is>
          <t>P004067</t>
        </is>
      </c>
      <c r="C233" s="37" t="n">
        <v>4301011824</v>
      </c>
      <c r="D233" s="458" t="n">
        <v>4680115884144</v>
      </c>
      <c r="E233" s="798" t="n"/>
      <c r="F233" s="831" t="n">
        <v>0.4</v>
      </c>
      <c r="G233" s="38" t="n">
        <v>10</v>
      </c>
      <c r="H233" s="831" t="n">
        <v>4</v>
      </c>
      <c r="I233" s="831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9" t="n"/>
      <c r="N233" s="38" t="n">
        <v>55</v>
      </c>
      <c r="O233" s="97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3" s="833" t="n"/>
      <c r="Q233" s="833" t="n"/>
      <c r="R233" s="833" t="n"/>
      <c r="S233" s="798" t="n"/>
      <c r="T233" s="40" t="inlineStr"/>
      <c r="U233" s="40" t="inlineStr"/>
      <c r="V233" s="41" t="inlineStr">
        <is>
          <t>кг</t>
        </is>
      </c>
      <c r="W233" s="834" t="n">
        <v>0</v>
      </c>
      <c r="X233" s="835">
        <f>IFERROR(IF(W233="",0,CEILING((W233/$H233),1)*$H233),"")</f>
        <v/>
      </c>
      <c r="Y233" s="42">
        <f>IFERROR(IF(X233=0,"",ROUNDUP(X233/H233,0)*0.00937),"")</f>
        <v/>
      </c>
      <c r="Z233" s="69" t="inlineStr"/>
      <c r="AA233" s="70" t="inlineStr"/>
      <c r="AE233" s="80" t="n"/>
      <c r="BB233" s="218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SU003276</t>
        </is>
      </c>
      <c r="B234" s="64" t="inlineStr">
        <is>
          <t>P003956</t>
        </is>
      </c>
      <c r="C234" s="37" t="n">
        <v>4301011726</v>
      </c>
      <c r="D234" s="458" t="n">
        <v>4680115884182</v>
      </c>
      <c r="E234" s="798" t="n"/>
      <c r="F234" s="831" t="n">
        <v>0.37</v>
      </c>
      <c r="G234" s="38" t="n">
        <v>10</v>
      </c>
      <c r="H234" s="831" t="n">
        <v>3.7</v>
      </c>
      <c r="I234" s="831" t="n">
        <v>3.94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9" t="n"/>
      <c r="N234" s="38" t="n">
        <v>55</v>
      </c>
      <c r="O234" s="97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4" s="833" t="n"/>
      <c r="Q234" s="833" t="n"/>
      <c r="R234" s="833" t="n"/>
      <c r="S234" s="798" t="n"/>
      <c r="T234" s="40" t="inlineStr"/>
      <c r="U234" s="40" t="inlineStr"/>
      <c r="V234" s="41" t="inlineStr">
        <is>
          <t>кг</t>
        </is>
      </c>
      <c r="W234" s="834" t="n">
        <v>0</v>
      </c>
      <c r="X234" s="835">
        <f>IFERROR(IF(W234="",0,CEILING((W234/$H234),1)*$H234),"")</f>
        <v/>
      </c>
      <c r="Y234" s="42">
        <f>IFERROR(IF(X234=0,"",ROUNDUP(X234/H234,0)*0.00937),"")</f>
        <v/>
      </c>
      <c r="Z234" s="69" t="inlineStr"/>
      <c r="AA234" s="70" t="inlineStr"/>
      <c r="AE234" s="80" t="n"/>
      <c r="BB234" s="219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SU003272</t>
        </is>
      </c>
      <c r="B235" s="64" t="inlineStr">
        <is>
          <t>P003947</t>
        </is>
      </c>
      <c r="C235" s="37" t="n">
        <v>4301011722</v>
      </c>
      <c r="D235" s="458" t="n">
        <v>4680115884205</v>
      </c>
      <c r="E235" s="798" t="n"/>
      <c r="F235" s="831" t="n">
        <v>0.4</v>
      </c>
      <c r="G235" s="38" t="n">
        <v>10</v>
      </c>
      <c r="H235" s="831" t="n">
        <v>4</v>
      </c>
      <c r="I235" s="831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9" t="n"/>
      <c r="N235" s="38" t="n">
        <v>55</v>
      </c>
      <c r="O235" s="97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5" s="833" t="n"/>
      <c r="Q235" s="833" t="n"/>
      <c r="R235" s="833" t="n"/>
      <c r="S235" s="798" t="n"/>
      <c r="T235" s="40" t="inlineStr"/>
      <c r="U235" s="40" t="inlineStr"/>
      <c r="V235" s="41" t="inlineStr">
        <is>
          <t>кг</t>
        </is>
      </c>
      <c r="W235" s="834" t="n">
        <v>0</v>
      </c>
      <c r="X235" s="835">
        <f>IFERROR(IF(W235="",0,CEILING((W235/$H235),1)*$H235),"")</f>
        <v/>
      </c>
      <c r="Y235" s="42">
        <f>IFERROR(IF(X235=0,"",ROUNDUP(X235/H235,0)*0.00937),"")</f>
        <v/>
      </c>
      <c r="Z235" s="69" t="inlineStr"/>
      <c r="AA235" s="70" t="inlineStr"/>
      <c r="AE235" s="80" t="n"/>
      <c r="BB235" s="220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>
      <c r="A236" s="467" t="n"/>
      <c r="B236" s="785" t="n"/>
      <c r="C236" s="785" t="n"/>
      <c r="D236" s="785" t="n"/>
      <c r="E236" s="785" t="n"/>
      <c r="F236" s="785" t="n"/>
      <c r="G236" s="785" t="n"/>
      <c r="H236" s="785" t="n"/>
      <c r="I236" s="785" t="n"/>
      <c r="J236" s="785" t="n"/>
      <c r="K236" s="785" t="n"/>
      <c r="L236" s="785" t="n"/>
      <c r="M236" s="785" t="n"/>
      <c r="N236" s="837" t="n"/>
      <c r="O236" s="838" t="inlineStr">
        <is>
          <t>Итого</t>
        </is>
      </c>
      <c r="P236" s="805" t="n"/>
      <c r="Q236" s="805" t="n"/>
      <c r="R236" s="805" t="n"/>
      <c r="S236" s="805" t="n"/>
      <c r="T236" s="805" t="n"/>
      <c r="U236" s="806" t="n"/>
      <c r="V236" s="43" t="inlineStr">
        <is>
          <t>кор</t>
        </is>
      </c>
      <c r="W236" s="839">
        <f>IFERROR(W230/H230,"0")+IFERROR(W231/H231,"0")+IFERROR(W232/H232,"0")+IFERROR(W233/H233,"0")+IFERROR(W234/H234,"0")+IFERROR(W235/H235,"0")</f>
        <v/>
      </c>
      <c r="X236" s="839">
        <f>IFERROR(X230/H230,"0")+IFERROR(X231/H231,"0")+IFERROR(X232/H232,"0")+IFERROR(X233/H233,"0")+IFERROR(X234/H234,"0")+IFERROR(X235/H235,"0")</f>
        <v/>
      </c>
      <c r="Y236" s="839">
        <f>IFERROR(IF(Y230="",0,Y230),"0")+IFERROR(IF(Y231="",0,Y231),"0")+IFERROR(IF(Y232="",0,Y232),"0")+IFERROR(IF(Y233="",0,Y233),"0")+IFERROR(IF(Y234="",0,Y234),"0")+IFERROR(IF(Y235="",0,Y235),"0")</f>
        <v/>
      </c>
      <c r="Z236" s="840" t="n"/>
      <c r="AA236" s="840" t="n"/>
    </row>
    <row r="237">
      <c r="A237" s="785" t="n"/>
      <c r="B237" s="785" t="n"/>
      <c r="C237" s="785" t="n"/>
      <c r="D237" s="785" t="n"/>
      <c r="E237" s="785" t="n"/>
      <c r="F237" s="785" t="n"/>
      <c r="G237" s="785" t="n"/>
      <c r="H237" s="785" t="n"/>
      <c r="I237" s="785" t="n"/>
      <c r="J237" s="785" t="n"/>
      <c r="K237" s="785" t="n"/>
      <c r="L237" s="785" t="n"/>
      <c r="M237" s="785" t="n"/>
      <c r="N237" s="837" t="n"/>
      <c r="O237" s="838" t="inlineStr">
        <is>
          <t>Итого</t>
        </is>
      </c>
      <c r="P237" s="805" t="n"/>
      <c r="Q237" s="805" t="n"/>
      <c r="R237" s="805" t="n"/>
      <c r="S237" s="805" t="n"/>
      <c r="T237" s="805" t="n"/>
      <c r="U237" s="806" t="n"/>
      <c r="V237" s="43" t="inlineStr">
        <is>
          <t>кг</t>
        </is>
      </c>
      <c r="W237" s="839">
        <f>IFERROR(SUM(W230:W235),"0")</f>
        <v/>
      </c>
      <c r="X237" s="839">
        <f>IFERROR(SUM(X230:X235),"0")</f>
        <v/>
      </c>
      <c r="Y237" s="43" t="n"/>
      <c r="Z237" s="840" t="n"/>
      <c r="AA237" s="840" t="n"/>
    </row>
    <row r="238" ht="16.5" customHeight="1">
      <c r="A238" s="456" t="inlineStr">
        <is>
          <t>Бордо</t>
        </is>
      </c>
      <c r="B238" s="785" t="n"/>
      <c r="C238" s="785" t="n"/>
      <c r="D238" s="785" t="n"/>
      <c r="E238" s="785" t="n"/>
      <c r="F238" s="785" t="n"/>
      <c r="G238" s="785" t="n"/>
      <c r="H238" s="785" t="n"/>
      <c r="I238" s="785" t="n"/>
      <c r="J238" s="785" t="n"/>
      <c r="K238" s="785" t="n"/>
      <c r="L238" s="785" t="n"/>
      <c r="M238" s="785" t="n"/>
      <c r="N238" s="785" t="n"/>
      <c r="O238" s="785" t="n"/>
      <c r="P238" s="785" t="n"/>
      <c r="Q238" s="785" t="n"/>
      <c r="R238" s="785" t="n"/>
      <c r="S238" s="785" t="n"/>
      <c r="T238" s="785" t="n"/>
      <c r="U238" s="785" t="n"/>
      <c r="V238" s="785" t="n"/>
      <c r="W238" s="785" t="n"/>
      <c r="X238" s="785" t="n"/>
      <c r="Y238" s="785" t="n"/>
      <c r="Z238" s="456" t="n"/>
      <c r="AA238" s="456" t="n"/>
    </row>
    <row r="239" ht="14.25" customHeight="1">
      <c r="A239" s="457" t="inlineStr">
        <is>
          <t>Вареные колбасы</t>
        </is>
      </c>
      <c r="B239" s="785" t="n"/>
      <c r="C239" s="785" t="n"/>
      <c r="D239" s="785" t="n"/>
      <c r="E239" s="785" t="n"/>
      <c r="F239" s="785" t="n"/>
      <c r="G239" s="785" t="n"/>
      <c r="H239" s="785" t="n"/>
      <c r="I239" s="785" t="n"/>
      <c r="J239" s="785" t="n"/>
      <c r="K239" s="785" t="n"/>
      <c r="L239" s="785" t="n"/>
      <c r="M239" s="785" t="n"/>
      <c r="N239" s="785" t="n"/>
      <c r="O239" s="785" t="n"/>
      <c r="P239" s="785" t="n"/>
      <c r="Q239" s="785" t="n"/>
      <c r="R239" s="785" t="n"/>
      <c r="S239" s="785" t="n"/>
      <c r="T239" s="785" t="n"/>
      <c r="U239" s="785" t="n"/>
      <c r="V239" s="785" t="n"/>
      <c r="W239" s="785" t="n"/>
      <c r="X239" s="785" t="n"/>
      <c r="Y239" s="785" t="n"/>
      <c r="Z239" s="457" t="n"/>
      <c r="AA239" s="457" t="n"/>
    </row>
    <row r="240" ht="27" customHeight="1">
      <c r="A240" s="64" t="inlineStr">
        <is>
          <t>SU000057</t>
        </is>
      </c>
      <c r="B240" s="64" t="inlineStr">
        <is>
          <t>P002047</t>
        </is>
      </c>
      <c r="C240" s="37" t="n">
        <v>4301011346</v>
      </c>
      <c r="D240" s="458" t="n">
        <v>4607091387445</v>
      </c>
      <c r="E240" s="798" t="n"/>
      <c r="F240" s="831" t="n">
        <v>0.9</v>
      </c>
      <c r="G240" s="38" t="n">
        <v>10</v>
      </c>
      <c r="H240" s="831" t="n">
        <v>9</v>
      </c>
      <c r="I240" s="831" t="n">
        <v>9.630000000000001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31</v>
      </c>
      <c r="O240" s="9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40" s="833" t="n"/>
      <c r="Q240" s="833" t="n"/>
      <c r="R240" s="833" t="n"/>
      <c r="S240" s="798" t="n"/>
      <c r="T240" s="40" t="inlineStr"/>
      <c r="U240" s="40" t="inlineStr"/>
      <c r="V240" s="41" t="inlineStr">
        <is>
          <t>кг</t>
        </is>
      </c>
      <c r="W240" s="834" t="n">
        <v>0</v>
      </c>
      <c r="X240" s="835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21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SU001777</t>
        </is>
      </c>
      <c r="B241" s="64" t="inlineStr">
        <is>
          <t>P001777</t>
        </is>
      </c>
      <c r="C241" s="37" t="n">
        <v>4301011308</v>
      </c>
      <c r="D241" s="458" t="n">
        <v>4607091386004</v>
      </c>
      <c r="E241" s="798" t="n"/>
      <c r="F241" s="831" t="n">
        <v>1.35</v>
      </c>
      <c r="G241" s="38" t="n">
        <v>8</v>
      </c>
      <c r="H241" s="831" t="n">
        <v>10.8</v>
      </c>
      <c r="I241" s="831" t="n">
        <v>11.28</v>
      </c>
      <c r="J241" s="38" t="n">
        <v>56</v>
      </c>
      <c r="K241" s="38" t="inlineStr">
        <is>
          <t>8</t>
        </is>
      </c>
      <c r="L241" s="39" t="inlineStr">
        <is>
          <t>СК1</t>
        </is>
      </c>
      <c r="M241" s="39" t="n"/>
      <c r="N241" s="38" t="n">
        <v>55</v>
      </c>
      <c r="O241" s="9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41" s="833" t="n"/>
      <c r="Q241" s="833" t="n"/>
      <c r="R241" s="833" t="n"/>
      <c r="S241" s="798" t="n"/>
      <c r="T241" s="40" t="inlineStr"/>
      <c r="U241" s="40" t="inlineStr"/>
      <c r="V241" s="41" t="inlineStr">
        <is>
          <t>кг</t>
        </is>
      </c>
      <c r="W241" s="834" t="n">
        <v>0</v>
      </c>
      <c r="X241" s="835">
        <f>IFERROR(IF(W241="",0,CEILING((W241/$H241),1)*$H241),"")</f>
        <v/>
      </c>
      <c r="Y241" s="42">
        <f>IFERROR(IF(X241=0,"",ROUNDUP(X241/H241,0)*0.02175),"")</f>
        <v/>
      </c>
      <c r="Z241" s="69" t="inlineStr"/>
      <c r="AA241" s="70" t="inlineStr"/>
      <c r="AE241" s="80" t="n"/>
      <c r="BB241" s="222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SU001777</t>
        </is>
      </c>
      <c r="B242" s="64" t="inlineStr">
        <is>
          <t>P002226</t>
        </is>
      </c>
      <c r="C242" s="37" t="n">
        <v>4301011362</v>
      </c>
      <c r="D242" s="458" t="n">
        <v>4607091386004</v>
      </c>
      <c r="E242" s="798" t="n"/>
      <c r="F242" s="831" t="n">
        <v>1.35</v>
      </c>
      <c r="G242" s="38" t="n">
        <v>8</v>
      </c>
      <c r="H242" s="831" t="n">
        <v>10.8</v>
      </c>
      <c r="I242" s="831" t="n">
        <v>11.28</v>
      </c>
      <c r="J242" s="38" t="n">
        <v>48</v>
      </c>
      <c r="K242" s="38" t="inlineStr">
        <is>
          <t>8</t>
        </is>
      </c>
      <c r="L242" s="39" t="inlineStr">
        <is>
          <t>ВЗ</t>
        </is>
      </c>
      <c r="M242" s="39" t="n"/>
      <c r="N242" s="38" t="n">
        <v>55</v>
      </c>
      <c r="O242" s="9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42" s="833" t="n"/>
      <c r="Q242" s="833" t="n"/>
      <c r="R242" s="833" t="n"/>
      <c r="S242" s="798" t="n"/>
      <c r="T242" s="40" t="inlineStr"/>
      <c r="U242" s="40" t="inlineStr"/>
      <c r="V242" s="41" t="inlineStr">
        <is>
          <t>кг</t>
        </is>
      </c>
      <c r="W242" s="834" t="n">
        <v>0</v>
      </c>
      <c r="X242" s="835">
        <f>IFERROR(IF(W242="",0,CEILING((W242/$H242),1)*$H242),"")</f>
        <v/>
      </c>
      <c r="Y242" s="42">
        <f>IFERROR(IF(X242=0,"",ROUNDUP(X242/H242,0)*0.02039),"")</f>
        <v/>
      </c>
      <c r="Z242" s="69" t="inlineStr"/>
      <c r="AA242" s="70" t="inlineStr"/>
      <c r="AE242" s="80" t="n"/>
      <c r="BB242" s="223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SU000058</t>
        </is>
      </c>
      <c r="B243" s="64" t="inlineStr">
        <is>
          <t>P002048</t>
        </is>
      </c>
      <c r="C243" s="37" t="n">
        <v>4301011347</v>
      </c>
      <c r="D243" s="458" t="n">
        <v>4607091386073</v>
      </c>
      <c r="E243" s="798" t="n"/>
      <c r="F243" s="831" t="n">
        <v>0.9</v>
      </c>
      <c r="G243" s="38" t="n">
        <v>10</v>
      </c>
      <c r="H243" s="831" t="n">
        <v>9</v>
      </c>
      <c r="I243" s="831" t="n">
        <v>9.630000000000001</v>
      </c>
      <c r="J243" s="38" t="n">
        <v>56</v>
      </c>
      <c r="K243" s="38" t="inlineStr">
        <is>
          <t>8</t>
        </is>
      </c>
      <c r="L243" s="39" t="inlineStr">
        <is>
          <t>СК1</t>
        </is>
      </c>
      <c r="M243" s="39" t="n"/>
      <c r="N243" s="38" t="n">
        <v>31</v>
      </c>
      <c r="O243" s="9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43" s="833" t="n"/>
      <c r="Q243" s="833" t="n"/>
      <c r="R243" s="833" t="n"/>
      <c r="S243" s="798" t="n"/>
      <c r="T243" s="40" t="inlineStr"/>
      <c r="U243" s="40" t="inlineStr"/>
      <c r="V243" s="41" t="inlineStr">
        <is>
          <t>кг</t>
        </is>
      </c>
      <c r="W243" s="834" t="n">
        <v>0</v>
      </c>
      <c r="X243" s="835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/>
      <c r="AE243" s="80" t="n"/>
      <c r="BB243" s="224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SU001780</t>
        </is>
      </c>
      <c r="B244" s="64" t="inlineStr">
        <is>
          <t>P001780</t>
        </is>
      </c>
      <c r="C244" s="37" t="n">
        <v>4301010928</v>
      </c>
      <c r="D244" s="458" t="n">
        <v>4607091387322</v>
      </c>
      <c r="E244" s="798" t="n"/>
      <c r="F244" s="831" t="n">
        <v>1.35</v>
      </c>
      <c r="G244" s="38" t="n">
        <v>8</v>
      </c>
      <c r="H244" s="831" t="n">
        <v>10.8</v>
      </c>
      <c r="I244" s="831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44" s="833" t="n"/>
      <c r="Q244" s="833" t="n"/>
      <c r="R244" s="833" t="n"/>
      <c r="S244" s="798" t="n"/>
      <c r="T244" s="40" t="inlineStr"/>
      <c r="U244" s="40" t="inlineStr"/>
      <c r="V244" s="41" t="inlineStr">
        <is>
          <t>кг</t>
        </is>
      </c>
      <c r="W244" s="834" t="n">
        <v>0</v>
      </c>
      <c r="X244" s="835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/>
      <c r="AE244" s="80" t="n"/>
      <c r="BB244" s="225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SU001778</t>
        </is>
      </c>
      <c r="B245" s="64" t="inlineStr">
        <is>
          <t>P001778</t>
        </is>
      </c>
      <c r="C245" s="37" t="n">
        <v>4301011311</v>
      </c>
      <c r="D245" s="458" t="n">
        <v>4607091387377</v>
      </c>
      <c r="E245" s="798" t="n"/>
      <c r="F245" s="831" t="n">
        <v>1.35</v>
      </c>
      <c r="G245" s="38" t="n">
        <v>8</v>
      </c>
      <c r="H245" s="831" t="n">
        <v>10.8</v>
      </c>
      <c r="I245" s="831" t="n">
        <v>11.28</v>
      </c>
      <c r="J245" s="38" t="n">
        <v>56</v>
      </c>
      <c r="K245" s="38" t="inlineStr">
        <is>
          <t>8</t>
        </is>
      </c>
      <c r="L245" s="39" t="inlineStr">
        <is>
          <t>СК1</t>
        </is>
      </c>
      <c r="M245" s="39" t="n"/>
      <c r="N245" s="38" t="n">
        <v>55</v>
      </c>
      <c r="O245" s="9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45" s="833" t="n"/>
      <c r="Q245" s="833" t="n"/>
      <c r="R245" s="833" t="n"/>
      <c r="S245" s="798" t="n"/>
      <c r="T245" s="40" t="inlineStr"/>
      <c r="U245" s="40" t="inlineStr"/>
      <c r="V245" s="41" t="inlineStr">
        <is>
          <t>кг</t>
        </is>
      </c>
      <c r="W245" s="834" t="n">
        <v>0</v>
      </c>
      <c r="X245" s="835">
        <f>IFERROR(IF(W245="",0,CEILING((W245/$H245),1)*$H245),"")</f>
        <v/>
      </c>
      <c r="Y245" s="42">
        <f>IFERROR(IF(X245=0,"",ROUNDUP(X245/H245,0)*0.02175),"")</f>
        <v/>
      </c>
      <c r="Z245" s="69" t="inlineStr"/>
      <c r="AA245" s="70" t="inlineStr"/>
      <c r="AE245" s="80" t="n"/>
      <c r="BB245" s="226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SU000043</t>
        </is>
      </c>
      <c r="B246" s="64" t="inlineStr">
        <is>
          <t>P001807</t>
        </is>
      </c>
      <c r="C246" s="37" t="n">
        <v>4301010945</v>
      </c>
      <c r="D246" s="458" t="n">
        <v>4607091387353</v>
      </c>
      <c r="E246" s="798" t="n"/>
      <c r="F246" s="831" t="n">
        <v>1.35</v>
      </c>
      <c r="G246" s="38" t="n">
        <v>8</v>
      </c>
      <c r="H246" s="831" t="n">
        <v>10.8</v>
      </c>
      <c r="I246" s="831" t="n">
        <v>11.28</v>
      </c>
      <c r="J246" s="38" t="n">
        <v>56</v>
      </c>
      <c r="K246" s="38" t="inlineStr">
        <is>
          <t>8</t>
        </is>
      </c>
      <c r="L246" s="39" t="inlineStr">
        <is>
          <t>СК1</t>
        </is>
      </c>
      <c r="M246" s="39" t="n"/>
      <c r="N246" s="38" t="n">
        <v>55</v>
      </c>
      <c r="O246" s="9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6" s="833" t="n"/>
      <c r="Q246" s="833" t="n"/>
      <c r="R246" s="833" t="n"/>
      <c r="S246" s="798" t="n"/>
      <c r="T246" s="40" t="inlineStr"/>
      <c r="U246" s="40" t="inlineStr"/>
      <c r="V246" s="41" t="inlineStr">
        <is>
          <t>кг</t>
        </is>
      </c>
      <c r="W246" s="834" t="n">
        <v>0</v>
      </c>
      <c r="X246" s="835">
        <f>IFERROR(IF(W246="",0,CEILING((W246/$H246),1)*$H246),"")</f>
        <v/>
      </c>
      <c r="Y246" s="42">
        <f>IFERROR(IF(X246=0,"",ROUNDUP(X246/H246,0)*0.02175),"")</f>
        <v/>
      </c>
      <c r="Z246" s="69" t="inlineStr"/>
      <c r="AA246" s="70" t="inlineStr"/>
      <c r="AE246" s="80" t="n"/>
      <c r="BB246" s="227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SU001800</t>
        </is>
      </c>
      <c r="B247" s="64" t="inlineStr">
        <is>
          <t>P001800</t>
        </is>
      </c>
      <c r="C247" s="37" t="n">
        <v>4301011328</v>
      </c>
      <c r="D247" s="458" t="n">
        <v>4607091386011</v>
      </c>
      <c r="E247" s="798" t="n"/>
      <c r="F247" s="831" t="n">
        <v>0.5</v>
      </c>
      <c r="G247" s="38" t="n">
        <v>10</v>
      </c>
      <c r="H247" s="831" t="n">
        <v>5</v>
      </c>
      <c r="I247" s="831" t="n">
        <v>5.21</v>
      </c>
      <c r="J247" s="38" t="n">
        <v>120</v>
      </c>
      <c r="K247" s="38" t="inlineStr">
        <is>
          <t>12</t>
        </is>
      </c>
      <c r="L247" s="39" t="inlineStr">
        <is>
          <t>СК2</t>
        </is>
      </c>
      <c r="M247" s="39" t="n"/>
      <c r="N247" s="38" t="n">
        <v>55</v>
      </c>
      <c r="O247" s="9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7" s="833" t="n"/>
      <c r="Q247" s="833" t="n"/>
      <c r="R247" s="833" t="n"/>
      <c r="S247" s="798" t="n"/>
      <c r="T247" s="40" t="inlineStr"/>
      <c r="U247" s="40" t="inlineStr"/>
      <c r="V247" s="41" t="inlineStr">
        <is>
          <t>кг</t>
        </is>
      </c>
      <c r="W247" s="834" t="n">
        <v>0</v>
      </c>
      <c r="X247" s="835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8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SU001805</t>
        </is>
      </c>
      <c r="B248" s="64" t="inlineStr">
        <is>
          <t>P001805</t>
        </is>
      </c>
      <c r="C248" s="37" t="n">
        <v>4301011329</v>
      </c>
      <c r="D248" s="458" t="n">
        <v>4607091387308</v>
      </c>
      <c r="E248" s="798" t="n"/>
      <c r="F248" s="831" t="n">
        <v>0.5</v>
      </c>
      <c r="G248" s="38" t="n">
        <v>10</v>
      </c>
      <c r="H248" s="831" t="n">
        <v>5</v>
      </c>
      <c r="I248" s="831" t="n">
        <v>5.21</v>
      </c>
      <c r="J248" s="38" t="n">
        <v>120</v>
      </c>
      <c r="K248" s="38" t="inlineStr">
        <is>
          <t>12</t>
        </is>
      </c>
      <c r="L248" s="39" t="inlineStr">
        <is>
          <t>СК2</t>
        </is>
      </c>
      <c r="M248" s="39" t="n"/>
      <c r="N248" s="38" t="n">
        <v>55</v>
      </c>
      <c r="O248" s="9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8" s="833" t="n"/>
      <c r="Q248" s="833" t="n"/>
      <c r="R248" s="833" t="n"/>
      <c r="S248" s="798" t="n"/>
      <c r="T248" s="40" t="inlineStr"/>
      <c r="U248" s="40" t="inlineStr"/>
      <c r="V248" s="41" t="inlineStr">
        <is>
          <t>кг</t>
        </is>
      </c>
      <c r="W248" s="834" t="n">
        <v>0</v>
      </c>
      <c r="X248" s="835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9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SU001829</t>
        </is>
      </c>
      <c r="B249" s="64" t="inlineStr">
        <is>
          <t>P001829</t>
        </is>
      </c>
      <c r="C249" s="37" t="n">
        <v>4301011049</v>
      </c>
      <c r="D249" s="458" t="n">
        <v>4607091387339</v>
      </c>
      <c r="E249" s="798" t="n"/>
      <c r="F249" s="831" t="n">
        <v>0.5</v>
      </c>
      <c r="G249" s="38" t="n">
        <v>10</v>
      </c>
      <c r="H249" s="831" t="n">
        <v>5</v>
      </c>
      <c r="I249" s="831" t="n">
        <v>5.24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55</v>
      </c>
      <c r="O249" s="9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9" s="833" t="n"/>
      <c r="Q249" s="833" t="n"/>
      <c r="R249" s="833" t="n"/>
      <c r="S249" s="798" t="n"/>
      <c r="T249" s="40" t="inlineStr"/>
      <c r="U249" s="40" t="inlineStr"/>
      <c r="V249" s="41" t="inlineStr">
        <is>
          <t>кг</t>
        </is>
      </c>
      <c r="W249" s="834" t="n">
        <v>0</v>
      </c>
      <c r="X249" s="835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30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 ht="27" customHeight="1">
      <c r="A250" s="64" t="inlineStr">
        <is>
          <t>SU002894</t>
        </is>
      </c>
      <c r="B250" s="64" t="inlineStr">
        <is>
          <t>P003314</t>
        </is>
      </c>
      <c r="C250" s="37" t="n">
        <v>4301011573</v>
      </c>
      <c r="D250" s="458" t="n">
        <v>4680115881938</v>
      </c>
      <c r="E250" s="798" t="n"/>
      <c r="F250" s="831" t="n">
        <v>0.4</v>
      </c>
      <c r="G250" s="38" t="n">
        <v>10</v>
      </c>
      <c r="H250" s="831" t="n">
        <v>4</v>
      </c>
      <c r="I250" s="83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9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50" s="833" t="n"/>
      <c r="Q250" s="833" t="n"/>
      <c r="R250" s="833" t="n"/>
      <c r="S250" s="798" t="n"/>
      <c r="T250" s="40" t="inlineStr"/>
      <c r="U250" s="40" t="inlineStr"/>
      <c r="V250" s="41" t="inlineStr">
        <is>
          <t>кг</t>
        </is>
      </c>
      <c r="W250" s="834" t="n">
        <v>0</v>
      </c>
      <c r="X250" s="835">
        <f>IFERROR(IF(W250="",0,CEILING((W250/$H250),1)*$H250),"")</f>
        <v/>
      </c>
      <c r="Y250" s="42">
        <f>IFERROR(IF(X250=0,"",ROUNDUP(X250/H250,0)*0.00937),"")</f>
        <v/>
      </c>
      <c r="Z250" s="69" t="inlineStr"/>
      <c r="AA250" s="70" t="inlineStr"/>
      <c r="AE250" s="80" t="n"/>
      <c r="BB250" s="231" t="inlineStr">
        <is>
          <t>КИ</t>
        </is>
      </c>
      <c r="BL250" s="80">
        <f>IFERROR(W250*I250/H250,"0")</f>
        <v/>
      </c>
      <c r="BM250" s="80">
        <f>IFERROR(X250*I250/H250,"0")</f>
        <v/>
      </c>
      <c r="BN250" s="80">
        <f>IFERROR(1/J250*(W250/H250),"0")</f>
        <v/>
      </c>
      <c r="BO250" s="80">
        <f>IFERROR(1/J250*(X250/H250),"0")</f>
        <v/>
      </c>
    </row>
    <row r="251" ht="27" customHeight="1">
      <c r="A251" s="64" t="inlineStr">
        <is>
          <t>SU000078</t>
        </is>
      </c>
      <c r="B251" s="64" t="inlineStr">
        <is>
          <t>P001806</t>
        </is>
      </c>
      <c r="C251" s="37" t="n">
        <v>4301010944</v>
      </c>
      <c r="D251" s="458" t="n">
        <v>4607091387346</v>
      </c>
      <c r="E251" s="798" t="n"/>
      <c r="F251" s="831" t="n">
        <v>0.4</v>
      </c>
      <c r="G251" s="38" t="n">
        <v>10</v>
      </c>
      <c r="H251" s="831" t="n">
        <v>4</v>
      </c>
      <c r="I251" s="831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55</v>
      </c>
      <c r="O251" s="9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51" s="833" t="n"/>
      <c r="Q251" s="833" t="n"/>
      <c r="R251" s="833" t="n"/>
      <c r="S251" s="798" t="n"/>
      <c r="T251" s="40" t="inlineStr"/>
      <c r="U251" s="40" t="inlineStr"/>
      <c r="V251" s="41" t="inlineStr">
        <is>
          <t>кг</t>
        </is>
      </c>
      <c r="W251" s="834" t="n">
        <v>0</v>
      </c>
      <c r="X251" s="835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32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 ht="27" customHeight="1">
      <c r="A252" s="64" t="inlineStr">
        <is>
          <t>SU002616</t>
        </is>
      </c>
      <c r="B252" s="64" t="inlineStr">
        <is>
          <t>P002950</t>
        </is>
      </c>
      <c r="C252" s="37" t="n">
        <v>4301011353</v>
      </c>
      <c r="D252" s="458" t="n">
        <v>4607091389807</v>
      </c>
      <c r="E252" s="798" t="n"/>
      <c r="F252" s="831" t="n">
        <v>0.4</v>
      </c>
      <c r="G252" s="38" t="n">
        <v>10</v>
      </c>
      <c r="H252" s="831" t="n">
        <v>4</v>
      </c>
      <c r="I252" s="831" t="n">
        <v>4.24</v>
      </c>
      <c r="J252" s="38" t="n">
        <v>120</v>
      </c>
      <c r="K252" s="38" t="inlineStr">
        <is>
          <t>12</t>
        </is>
      </c>
      <c r="L252" s="39" t="inlineStr">
        <is>
          <t>СК1</t>
        </is>
      </c>
      <c r="M252" s="39" t="n"/>
      <c r="N252" s="38" t="n">
        <v>55</v>
      </c>
      <c r="O252" s="9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2" s="833" t="n"/>
      <c r="Q252" s="833" t="n"/>
      <c r="R252" s="833" t="n"/>
      <c r="S252" s="798" t="n"/>
      <c r="T252" s="40" t="inlineStr"/>
      <c r="U252" s="40" t="inlineStr"/>
      <c r="V252" s="41" t="inlineStr">
        <is>
          <t>кг</t>
        </is>
      </c>
      <c r="W252" s="834" t="n">
        <v>0</v>
      </c>
      <c r="X252" s="835">
        <f>IFERROR(IF(W252="",0,CEILING((W252/$H252),1)*$H252),"")</f>
        <v/>
      </c>
      <c r="Y252" s="42">
        <f>IFERROR(IF(X252=0,"",ROUNDUP(X252/H252,0)*0.00937),"")</f>
        <v/>
      </c>
      <c r="Z252" s="69" t="inlineStr"/>
      <c r="AA252" s="70" t="inlineStr"/>
      <c r="AE252" s="80" t="n"/>
      <c r="BB252" s="233" t="inlineStr">
        <is>
          <t>КИ</t>
        </is>
      </c>
      <c r="BL252" s="80">
        <f>IFERROR(W252*I252/H252,"0")</f>
        <v/>
      </c>
      <c r="BM252" s="80">
        <f>IFERROR(X252*I252/H252,"0")</f>
        <v/>
      </c>
      <c r="BN252" s="80">
        <f>IFERROR(1/J252*(W252/H252),"0")</f>
        <v/>
      </c>
      <c r="BO252" s="80">
        <f>IFERROR(1/J252*(X252/H252),"0")</f>
        <v/>
      </c>
    </row>
    <row r="253">
      <c r="A253" s="467" t="n"/>
      <c r="B253" s="785" t="n"/>
      <c r="C253" s="785" t="n"/>
      <c r="D253" s="785" t="n"/>
      <c r="E253" s="785" t="n"/>
      <c r="F253" s="785" t="n"/>
      <c r="G253" s="785" t="n"/>
      <c r="H253" s="785" t="n"/>
      <c r="I253" s="785" t="n"/>
      <c r="J253" s="785" t="n"/>
      <c r="K253" s="785" t="n"/>
      <c r="L253" s="785" t="n"/>
      <c r="M253" s="785" t="n"/>
      <c r="N253" s="837" t="n"/>
      <c r="O253" s="838" t="inlineStr">
        <is>
          <t>Итого</t>
        </is>
      </c>
      <c r="P253" s="805" t="n"/>
      <c r="Q253" s="805" t="n"/>
      <c r="R253" s="805" t="n"/>
      <c r="S253" s="805" t="n"/>
      <c r="T253" s="805" t="n"/>
      <c r="U253" s="806" t="n"/>
      <c r="V253" s="43" t="inlineStr">
        <is>
          <t>кор</t>
        </is>
      </c>
      <c r="W253" s="839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/>
      </c>
      <c r="X253" s="839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/>
      </c>
      <c r="Y253" s="839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/>
      </c>
      <c r="Z253" s="840" t="n"/>
      <c r="AA253" s="840" t="n"/>
    </row>
    <row r="254">
      <c r="A254" s="785" t="n"/>
      <c r="B254" s="785" t="n"/>
      <c r="C254" s="785" t="n"/>
      <c r="D254" s="785" t="n"/>
      <c r="E254" s="785" t="n"/>
      <c r="F254" s="785" t="n"/>
      <c r="G254" s="785" t="n"/>
      <c r="H254" s="785" t="n"/>
      <c r="I254" s="785" t="n"/>
      <c r="J254" s="785" t="n"/>
      <c r="K254" s="785" t="n"/>
      <c r="L254" s="785" t="n"/>
      <c r="M254" s="785" t="n"/>
      <c r="N254" s="837" t="n"/>
      <c r="O254" s="838" t="inlineStr">
        <is>
          <t>Итого</t>
        </is>
      </c>
      <c r="P254" s="805" t="n"/>
      <c r="Q254" s="805" t="n"/>
      <c r="R254" s="805" t="n"/>
      <c r="S254" s="805" t="n"/>
      <c r="T254" s="805" t="n"/>
      <c r="U254" s="806" t="n"/>
      <c r="V254" s="43" t="inlineStr">
        <is>
          <t>кг</t>
        </is>
      </c>
      <c r="W254" s="839">
        <f>IFERROR(SUM(W240:W252),"0")</f>
        <v/>
      </c>
      <c r="X254" s="839">
        <f>IFERROR(SUM(X240:X252),"0")</f>
        <v/>
      </c>
      <c r="Y254" s="43" t="n"/>
      <c r="Z254" s="840" t="n"/>
      <c r="AA254" s="840" t="n"/>
    </row>
    <row r="255" ht="14.25" customHeight="1">
      <c r="A255" s="457" t="inlineStr">
        <is>
          <t>Копченые колбасы</t>
        </is>
      </c>
      <c r="B255" s="785" t="n"/>
      <c r="C255" s="785" t="n"/>
      <c r="D255" s="785" t="n"/>
      <c r="E255" s="785" t="n"/>
      <c r="F255" s="785" t="n"/>
      <c r="G255" s="785" t="n"/>
      <c r="H255" s="785" t="n"/>
      <c r="I255" s="785" t="n"/>
      <c r="J255" s="785" t="n"/>
      <c r="K255" s="785" t="n"/>
      <c r="L255" s="785" t="n"/>
      <c r="M255" s="785" t="n"/>
      <c r="N255" s="785" t="n"/>
      <c r="O255" s="785" t="n"/>
      <c r="P255" s="785" t="n"/>
      <c r="Q255" s="785" t="n"/>
      <c r="R255" s="785" t="n"/>
      <c r="S255" s="785" t="n"/>
      <c r="T255" s="785" t="n"/>
      <c r="U255" s="785" t="n"/>
      <c r="V255" s="785" t="n"/>
      <c r="W255" s="785" t="n"/>
      <c r="X255" s="785" t="n"/>
      <c r="Y255" s="785" t="n"/>
      <c r="Z255" s="457" t="n"/>
      <c r="AA255" s="457" t="n"/>
    </row>
    <row r="256" ht="27" customHeight="1">
      <c r="A256" s="64" t="inlineStr">
        <is>
          <t>SU001820</t>
        </is>
      </c>
      <c r="B256" s="64" t="inlineStr">
        <is>
          <t>P001820</t>
        </is>
      </c>
      <c r="C256" s="37" t="n">
        <v>4301030878</v>
      </c>
      <c r="D256" s="458" t="n">
        <v>4607091387193</v>
      </c>
      <c r="E256" s="798" t="n"/>
      <c r="F256" s="831" t="n">
        <v>0.7</v>
      </c>
      <c r="G256" s="38" t="n">
        <v>6</v>
      </c>
      <c r="H256" s="831" t="n">
        <v>4.2</v>
      </c>
      <c r="I256" s="831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35</v>
      </c>
      <c r="O256" s="9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6" s="833" t="n"/>
      <c r="Q256" s="833" t="n"/>
      <c r="R256" s="833" t="n"/>
      <c r="S256" s="798" t="n"/>
      <c r="T256" s="40" t="inlineStr"/>
      <c r="U256" s="40" t="inlineStr"/>
      <c r="V256" s="41" t="inlineStr">
        <is>
          <t>кг</t>
        </is>
      </c>
      <c r="W256" s="834" t="n">
        <v>0</v>
      </c>
      <c r="X256" s="835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34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SU001822</t>
        </is>
      </c>
      <c r="B257" s="64" t="inlineStr">
        <is>
          <t>P003013</t>
        </is>
      </c>
      <c r="C257" s="37" t="n">
        <v>4301031153</v>
      </c>
      <c r="D257" s="458" t="n">
        <v>4607091387230</v>
      </c>
      <c r="E257" s="798" t="n"/>
      <c r="F257" s="831" t="n">
        <v>0.7</v>
      </c>
      <c r="G257" s="38" t="n">
        <v>6</v>
      </c>
      <c r="H257" s="831" t="n">
        <v>4.2</v>
      </c>
      <c r="I257" s="831" t="n">
        <v>4.46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9" t="n"/>
      <c r="N257" s="38" t="n">
        <v>40</v>
      </c>
      <c r="O257" s="9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7" s="833" t="n"/>
      <c r="Q257" s="833" t="n"/>
      <c r="R257" s="833" t="n"/>
      <c r="S257" s="798" t="n"/>
      <c r="T257" s="40" t="inlineStr"/>
      <c r="U257" s="40" t="inlineStr"/>
      <c r="V257" s="41" t="inlineStr">
        <is>
          <t>кг</t>
        </is>
      </c>
      <c r="W257" s="834" t="n">
        <v>0</v>
      </c>
      <c r="X257" s="835">
        <f>IFERROR(IF(W257="",0,CEILING((W257/$H257),1)*$H257),"")</f>
        <v/>
      </c>
      <c r="Y257" s="42">
        <f>IFERROR(IF(X257=0,"",ROUNDUP(X257/H257,0)*0.00753),"")</f>
        <v/>
      </c>
      <c r="Z257" s="69" t="inlineStr"/>
      <c r="AA257" s="70" t="inlineStr"/>
      <c r="AE257" s="80" t="n"/>
      <c r="BB257" s="235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SU002579</t>
        </is>
      </c>
      <c r="B258" s="64" t="inlineStr">
        <is>
          <t>P003012</t>
        </is>
      </c>
      <c r="C258" s="37" t="n">
        <v>4301031152</v>
      </c>
      <c r="D258" s="458" t="n">
        <v>4607091387285</v>
      </c>
      <c r="E258" s="798" t="n"/>
      <c r="F258" s="831" t="n">
        <v>0.35</v>
      </c>
      <c r="G258" s="38" t="n">
        <v>6</v>
      </c>
      <c r="H258" s="831" t="n">
        <v>2.1</v>
      </c>
      <c r="I258" s="831" t="n">
        <v>2.23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8" s="833" t="n"/>
      <c r="Q258" s="833" t="n"/>
      <c r="R258" s="833" t="n"/>
      <c r="S258" s="798" t="n"/>
      <c r="T258" s="40" t="inlineStr"/>
      <c r="U258" s="40" t="inlineStr"/>
      <c r="V258" s="41" t="inlineStr">
        <is>
          <t>кг</t>
        </is>
      </c>
      <c r="W258" s="834" t="n">
        <v>0</v>
      </c>
      <c r="X258" s="835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6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 ht="27" customHeight="1">
      <c r="A259" s="64" t="inlineStr">
        <is>
          <t>SU002699</t>
        </is>
      </c>
      <c r="B259" s="64" t="inlineStr">
        <is>
          <t>P003073</t>
        </is>
      </c>
      <c r="C259" s="37" t="n">
        <v>4301031164</v>
      </c>
      <c r="D259" s="458" t="n">
        <v>4680115880481</v>
      </c>
      <c r="E259" s="798" t="n"/>
      <c r="F259" s="831" t="n">
        <v>0.28</v>
      </c>
      <c r="G259" s="38" t="n">
        <v>6</v>
      </c>
      <c r="H259" s="831" t="n">
        <v>1.68</v>
      </c>
      <c r="I259" s="831" t="n">
        <v>1.78</v>
      </c>
      <c r="J259" s="38" t="n">
        <v>234</v>
      </c>
      <c r="K259" s="38" t="inlineStr">
        <is>
          <t>18</t>
        </is>
      </c>
      <c r="L259" s="39" t="inlineStr">
        <is>
          <t>СК2</t>
        </is>
      </c>
      <c r="M259" s="39" t="n"/>
      <c r="N259" s="38" t="n">
        <v>40</v>
      </c>
      <c r="O259" s="99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9" s="833" t="n"/>
      <c r="Q259" s="833" t="n"/>
      <c r="R259" s="833" t="n"/>
      <c r="S259" s="798" t="n"/>
      <c r="T259" s="40" t="inlineStr"/>
      <c r="U259" s="40" t="inlineStr"/>
      <c r="V259" s="41" t="inlineStr">
        <is>
          <t>кг</t>
        </is>
      </c>
      <c r="W259" s="834" t="n">
        <v>0</v>
      </c>
      <c r="X259" s="835">
        <f>IFERROR(IF(W259="",0,CEILING((W259/$H259),1)*$H259),"")</f>
        <v/>
      </c>
      <c r="Y259" s="42">
        <f>IFERROR(IF(X259=0,"",ROUNDUP(X259/H259,0)*0.00502),"")</f>
        <v/>
      </c>
      <c r="Z259" s="69" t="inlineStr"/>
      <c r="AA259" s="70" t="inlineStr"/>
      <c r="AE259" s="80" t="n"/>
      <c r="BB259" s="237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>
      <c r="A260" s="467" t="n"/>
      <c r="B260" s="785" t="n"/>
      <c r="C260" s="785" t="n"/>
      <c r="D260" s="785" t="n"/>
      <c r="E260" s="785" t="n"/>
      <c r="F260" s="785" t="n"/>
      <c r="G260" s="785" t="n"/>
      <c r="H260" s="785" t="n"/>
      <c r="I260" s="785" t="n"/>
      <c r="J260" s="785" t="n"/>
      <c r="K260" s="785" t="n"/>
      <c r="L260" s="785" t="n"/>
      <c r="M260" s="785" t="n"/>
      <c r="N260" s="837" t="n"/>
      <c r="O260" s="838" t="inlineStr">
        <is>
          <t>Итого</t>
        </is>
      </c>
      <c r="P260" s="805" t="n"/>
      <c r="Q260" s="805" t="n"/>
      <c r="R260" s="805" t="n"/>
      <c r="S260" s="805" t="n"/>
      <c r="T260" s="805" t="n"/>
      <c r="U260" s="806" t="n"/>
      <c r="V260" s="43" t="inlineStr">
        <is>
          <t>кор</t>
        </is>
      </c>
      <c r="W260" s="839">
        <f>IFERROR(W256/H256,"0")+IFERROR(W257/H257,"0")+IFERROR(W258/H258,"0")+IFERROR(W259/H259,"0")</f>
        <v/>
      </c>
      <c r="X260" s="839">
        <f>IFERROR(X256/H256,"0")+IFERROR(X257/H257,"0")+IFERROR(X258/H258,"0")+IFERROR(X259/H259,"0")</f>
        <v/>
      </c>
      <c r="Y260" s="839">
        <f>IFERROR(IF(Y256="",0,Y256),"0")+IFERROR(IF(Y257="",0,Y257),"0")+IFERROR(IF(Y258="",0,Y258),"0")+IFERROR(IF(Y259="",0,Y259),"0")</f>
        <v/>
      </c>
      <c r="Z260" s="840" t="n"/>
      <c r="AA260" s="840" t="n"/>
    </row>
    <row r="261">
      <c r="A261" s="785" t="n"/>
      <c r="B261" s="785" t="n"/>
      <c r="C261" s="785" t="n"/>
      <c r="D261" s="785" t="n"/>
      <c r="E261" s="785" t="n"/>
      <c r="F261" s="785" t="n"/>
      <c r="G261" s="785" t="n"/>
      <c r="H261" s="785" t="n"/>
      <c r="I261" s="785" t="n"/>
      <c r="J261" s="785" t="n"/>
      <c r="K261" s="785" t="n"/>
      <c r="L261" s="785" t="n"/>
      <c r="M261" s="785" t="n"/>
      <c r="N261" s="837" t="n"/>
      <c r="O261" s="838" t="inlineStr">
        <is>
          <t>Итого</t>
        </is>
      </c>
      <c r="P261" s="805" t="n"/>
      <c r="Q261" s="805" t="n"/>
      <c r="R261" s="805" t="n"/>
      <c r="S261" s="805" t="n"/>
      <c r="T261" s="805" t="n"/>
      <c r="U261" s="806" t="n"/>
      <c r="V261" s="43" t="inlineStr">
        <is>
          <t>кг</t>
        </is>
      </c>
      <c r="W261" s="839">
        <f>IFERROR(SUM(W256:W259),"0")</f>
        <v/>
      </c>
      <c r="X261" s="839">
        <f>IFERROR(SUM(X256:X259),"0")</f>
        <v/>
      </c>
      <c r="Y261" s="43" t="n"/>
      <c r="Z261" s="840" t="n"/>
      <c r="AA261" s="840" t="n"/>
    </row>
    <row r="262" ht="14.25" customHeight="1">
      <c r="A262" s="457" t="inlineStr">
        <is>
          <t>Сосиски</t>
        </is>
      </c>
      <c r="B262" s="785" t="n"/>
      <c r="C262" s="785" t="n"/>
      <c r="D262" s="785" t="n"/>
      <c r="E262" s="785" t="n"/>
      <c r="F262" s="785" t="n"/>
      <c r="G262" s="785" t="n"/>
      <c r="H262" s="785" t="n"/>
      <c r="I262" s="785" t="n"/>
      <c r="J262" s="785" t="n"/>
      <c r="K262" s="785" t="n"/>
      <c r="L262" s="785" t="n"/>
      <c r="M262" s="785" t="n"/>
      <c r="N262" s="785" t="n"/>
      <c r="O262" s="785" t="n"/>
      <c r="P262" s="785" t="n"/>
      <c r="Q262" s="785" t="n"/>
      <c r="R262" s="785" t="n"/>
      <c r="S262" s="785" t="n"/>
      <c r="T262" s="785" t="n"/>
      <c r="U262" s="785" t="n"/>
      <c r="V262" s="785" t="n"/>
      <c r="W262" s="785" t="n"/>
      <c r="X262" s="785" t="n"/>
      <c r="Y262" s="785" t="n"/>
      <c r="Z262" s="457" t="n"/>
      <c r="AA262" s="457" t="n"/>
    </row>
    <row r="263" ht="16.5" customHeight="1">
      <c r="A263" s="64" t="inlineStr">
        <is>
          <t>SU001340</t>
        </is>
      </c>
      <c r="B263" s="64" t="inlineStr">
        <is>
          <t>P002209</t>
        </is>
      </c>
      <c r="C263" s="37" t="n">
        <v>4301051100</v>
      </c>
      <c r="D263" s="458" t="n">
        <v>4607091387766</v>
      </c>
      <c r="E263" s="798" t="n"/>
      <c r="F263" s="831" t="n">
        <v>1.3</v>
      </c>
      <c r="G263" s="38" t="n">
        <v>7.8</v>
      </c>
      <c r="H263" s="831" t="n">
        <v>10.14</v>
      </c>
      <c r="I263" s="831" t="n">
        <v>10.7214</v>
      </c>
      <c r="J263" s="38" t="n">
        <v>56</v>
      </c>
      <c r="K263" s="38" t="inlineStr">
        <is>
          <t>8</t>
        </is>
      </c>
      <c r="L263" s="39" t="inlineStr">
        <is>
          <t>СК3</t>
        </is>
      </c>
      <c r="M263" s="39" t="n"/>
      <c r="N263" s="38" t="n">
        <v>40</v>
      </c>
      <c r="O263" s="996">
        <f>HYPERLINK("https://abi.ru/products/Охлажденные/Стародворье/Бордо/Сосиски/P002209/","Сосиски Ганноверские Бордо Весовые П/а мгс Баварушка")</f>
        <v/>
      </c>
      <c r="P263" s="833" t="n"/>
      <c r="Q263" s="833" t="n"/>
      <c r="R263" s="833" t="n"/>
      <c r="S263" s="798" t="n"/>
      <c r="T263" s="40" t="inlineStr"/>
      <c r="U263" s="40" t="inlineStr"/>
      <c r="V263" s="41" t="inlineStr">
        <is>
          <t>кг</t>
        </is>
      </c>
      <c r="W263" s="834" t="n">
        <v>0</v>
      </c>
      <c r="X263" s="835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8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SU001727</t>
        </is>
      </c>
      <c r="B264" s="64" t="inlineStr">
        <is>
          <t>P002205</t>
        </is>
      </c>
      <c r="C264" s="37" t="n">
        <v>4301051116</v>
      </c>
      <c r="D264" s="458" t="n">
        <v>4607091387957</v>
      </c>
      <c r="E264" s="798" t="n"/>
      <c r="F264" s="831" t="n">
        <v>1.3</v>
      </c>
      <c r="G264" s="38" t="n">
        <v>6</v>
      </c>
      <c r="H264" s="831" t="n">
        <v>7.8</v>
      </c>
      <c r="I264" s="831" t="n">
        <v>8.364000000000001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4" s="833" t="n"/>
      <c r="Q264" s="833" t="n"/>
      <c r="R264" s="833" t="n"/>
      <c r="S264" s="798" t="n"/>
      <c r="T264" s="40" t="inlineStr"/>
      <c r="U264" s="40" t="inlineStr"/>
      <c r="V264" s="41" t="inlineStr">
        <is>
          <t>кг</t>
        </is>
      </c>
      <c r="W264" s="834" t="n">
        <v>0</v>
      </c>
      <c r="X264" s="835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9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27" customHeight="1">
      <c r="A265" s="64" t="inlineStr">
        <is>
          <t>SU001728</t>
        </is>
      </c>
      <c r="B265" s="64" t="inlineStr">
        <is>
          <t>P002207</t>
        </is>
      </c>
      <c r="C265" s="37" t="n">
        <v>4301051115</v>
      </c>
      <c r="D265" s="458" t="n">
        <v>4607091387964</v>
      </c>
      <c r="E265" s="798" t="n"/>
      <c r="F265" s="831" t="n">
        <v>1.35</v>
      </c>
      <c r="G265" s="38" t="n">
        <v>6</v>
      </c>
      <c r="H265" s="831" t="n">
        <v>8.1</v>
      </c>
      <c r="I265" s="831" t="n">
        <v>8.646000000000001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9" t="n"/>
      <c r="N265" s="38" t="n">
        <v>40</v>
      </c>
      <c r="O265" s="9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5" s="833" t="n"/>
      <c r="Q265" s="833" t="n"/>
      <c r="R265" s="833" t="n"/>
      <c r="S265" s="798" t="n"/>
      <c r="T265" s="40" t="inlineStr"/>
      <c r="U265" s="40" t="inlineStr"/>
      <c r="V265" s="41" t="inlineStr">
        <is>
          <t>кг</t>
        </is>
      </c>
      <c r="W265" s="834" t="n">
        <v>0</v>
      </c>
      <c r="X265" s="835">
        <f>IFERROR(IF(W265="",0,CEILING((W265/$H265),1)*$H265),"")</f>
        <v/>
      </c>
      <c r="Y265" s="42">
        <f>IFERROR(IF(X265=0,"",ROUNDUP(X265/H265,0)*0.02175),"")</f>
        <v/>
      </c>
      <c r="Z265" s="69" t="inlineStr"/>
      <c r="AA265" s="70" t="inlineStr"/>
      <c r="AE265" s="80" t="n"/>
      <c r="BB265" s="240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16.5" customHeight="1">
      <c r="A266" s="64" t="inlineStr">
        <is>
          <t>SU003340</t>
        </is>
      </c>
      <c r="B266" s="64" t="inlineStr">
        <is>
          <t>P004090</t>
        </is>
      </c>
      <c r="C266" s="37" t="n">
        <v>4301051731</v>
      </c>
      <c r="D266" s="458" t="n">
        <v>4680115884618</v>
      </c>
      <c r="E266" s="798" t="n"/>
      <c r="F266" s="831" t="n">
        <v>0.6</v>
      </c>
      <c r="G266" s="38" t="n">
        <v>6</v>
      </c>
      <c r="H266" s="831" t="n">
        <v>3.6</v>
      </c>
      <c r="I266" s="831" t="n">
        <v>3.81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45</v>
      </c>
      <c r="O266" s="999">
        <f>HYPERLINK("https://abi.ru/products/Охлажденные/Стародворье/Бордо/Сосиски/P004090/","Сосиски «Венские» ф/в 0,6 п/а ТМ «Стародворье»")</f>
        <v/>
      </c>
      <c r="P266" s="833" t="n"/>
      <c r="Q266" s="833" t="n"/>
      <c r="R266" s="833" t="n"/>
      <c r="S266" s="798" t="n"/>
      <c r="T266" s="40" t="inlineStr"/>
      <c r="U266" s="40" t="inlineStr"/>
      <c r="V266" s="41" t="inlineStr">
        <is>
          <t>кг</t>
        </is>
      </c>
      <c r="W266" s="834" t="n">
        <v>0</v>
      </c>
      <c r="X266" s="835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41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SU001341</t>
        </is>
      </c>
      <c r="B267" s="64" t="inlineStr">
        <is>
          <t>P002204</t>
        </is>
      </c>
      <c r="C267" s="37" t="n">
        <v>4301051134</v>
      </c>
      <c r="D267" s="458" t="n">
        <v>4607091381672</v>
      </c>
      <c r="E267" s="798" t="n"/>
      <c r="F267" s="831" t="n">
        <v>0.6</v>
      </c>
      <c r="G267" s="38" t="n">
        <v>6</v>
      </c>
      <c r="H267" s="831" t="n">
        <v>3.6</v>
      </c>
      <c r="I267" s="831" t="n">
        <v>3.876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1000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7" s="833" t="n"/>
      <c r="Q267" s="833" t="n"/>
      <c r="R267" s="833" t="n"/>
      <c r="S267" s="798" t="n"/>
      <c r="T267" s="40" t="inlineStr"/>
      <c r="U267" s="40" t="inlineStr"/>
      <c r="V267" s="41" t="inlineStr">
        <is>
          <t>кг</t>
        </is>
      </c>
      <c r="W267" s="834" t="n">
        <v>0</v>
      </c>
      <c r="X267" s="835">
        <f>IFERROR(IF(W267="",0,CEILING((W267/$H267),1)*$H267),"")</f>
        <v/>
      </c>
      <c r="Y267" s="42">
        <f>IFERROR(IF(X267=0,"",ROUNDUP(X267/H267,0)*0.00937),"")</f>
        <v/>
      </c>
      <c r="Z267" s="69" t="inlineStr"/>
      <c r="AA267" s="70" t="inlineStr"/>
      <c r="AE267" s="80" t="n"/>
      <c r="BB267" s="242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SU001763</t>
        </is>
      </c>
      <c r="B268" s="64" t="inlineStr">
        <is>
          <t>P002206</t>
        </is>
      </c>
      <c r="C268" s="37" t="n">
        <v>4301051130</v>
      </c>
      <c r="D268" s="458" t="n">
        <v>4607091387537</v>
      </c>
      <c r="E268" s="798" t="n"/>
      <c r="F268" s="831" t="n">
        <v>0.45</v>
      </c>
      <c r="G268" s="38" t="n">
        <v>6</v>
      </c>
      <c r="H268" s="831" t="n">
        <v>2.7</v>
      </c>
      <c r="I268" s="831" t="n">
        <v>2.99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10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8" s="833" t="n"/>
      <c r="Q268" s="833" t="n"/>
      <c r="R268" s="833" t="n"/>
      <c r="S268" s="798" t="n"/>
      <c r="T268" s="40" t="inlineStr"/>
      <c r="U268" s="40" t="inlineStr"/>
      <c r="V268" s="41" t="inlineStr">
        <is>
          <t>кг</t>
        </is>
      </c>
      <c r="W268" s="834" t="n">
        <v>0</v>
      </c>
      <c r="X268" s="835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43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SU001762</t>
        </is>
      </c>
      <c r="B269" s="64" t="inlineStr">
        <is>
          <t>P002208</t>
        </is>
      </c>
      <c r="C269" s="37" t="n">
        <v>4301051132</v>
      </c>
      <c r="D269" s="458" t="n">
        <v>4607091387513</v>
      </c>
      <c r="E269" s="798" t="n"/>
      <c r="F269" s="831" t="n">
        <v>0.45</v>
      </c>
      <c r="G269" s="38" t="n">
        <v>6</v>
      </c>
      <c r="H269" s="831" t="n">
        <v>2.7</v>
      </c>
      <c r="I269" s="831" t="n">
        <v>2.978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9" t="n"/>
      <c r="N269" s="38" t="n">
        <v>40</v>
      </c>
      <c r="O269" s="10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9" s="833" t="n"/>
      <c r="Q269" s="833" t="n"/>
      <c r="R269" s="833" t="n"/>
      <c r="S269" s="798" t="n"/>
      <c r="T269" s="40" t="inlineStr"/>
      <c r="U269" s="40" t="inlineStr"/>
      <c r="V269" s="41" t="inlineStr">
        <is>
          <t>кг</t>
        </is>
      </c>
      <c r="W269" s="834" t="n">
        <v>0</v>
      </c>
      <c r="X269" s="835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44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SU002619</t>
        </is>
      </c>
      <c r="B270" s="64" t="inlineStr">
        <is>
          <t>P002953</t>
        </is>
      </c>
      <c r="C270" s="37" t="n">
        <v>4301051277</v>
      </c>
      <c r="D270" s="458" t="n">
        <v>4680115880511</v>
      </c>
      <c r="E270" s="798" t="n"/>
      <c r="F270" s="831" t="n">
        <v>0.33</v>
      </c>
      <c r="G270" s="38" t="n">
        <v>6</v>
      </c>
      <c r="H270" s="831" t="n">
        <v>1.98</v>
      </c>
      <c r="I270" s="831" t="n">
        <v>2.18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40</v>
      </c>
      <c r="O270" s="10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70" s="833" t="n"/>
      <c r="Q270" s="833" t="n"/>
      <c r="R270" s="833" t="n"/>
      <c r="S270" s="798" t="n"/>
      <c r="T270" s="40" t="inlineStr"/>
      <c r="U270" s="40" t="inlineStr"/>
      <c r="V270" s="41" t="inlineStr">
        <is>
          <t>кг</t>
        </is>
      </c>
      <c r="W270" s="834" t="n">
        <v>0</v>
      </c>
      <c r="X270" s="835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45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 ht="27" customHeight="1">
      <c r="A271" s="64" t="inlineStr">
        <is>
          <t>SU002723</t>
        </is>
      </c>
      <c r="B271" s="64" t="inlineStr">
        <is>
          <t>P003124</t>
        </is>
      </c>
      <c r="C271" s="37" t="n">
        <v>4301051344</v>
      </c>
      <c r="D271" s="458" t="n">
        <v>4680115880412</v>
      </c>
      <c r="E271" s="798" t="n"/>
      <c r="F271" s="831" t="n">
        <v>0.33</v>
      </c>
      <c r="G271" s="38" t="n">
        <v>6</v>
      </c>
      <c r="H271" s="831" t="n">
        <v>1.98</v>
      </c>
      <c r="I271" s="831" t="n">
        <v>2.246</v>
      </c>
      <c r="J271" s="38" t="n">
        <v>156</v>
      </c>
      <c r="K271" s="38" t="inlineStr">
        <is>
          <t>12</t>
        </is>
      </c>
      <c r="L271" s="39" t="inlineStr">
        <is>
          <t>СК3</t>
        </is>
      </c>
      <c r="M271" s="39" t="n"/>
      <c r="N271" s="38" t="n">
        <v>45</v>
      </c>
      <c r="O271" s="100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1" s="833" t="n"/>
      <c r="Q271" s="833" t="n"/>
      <c r="R271" s="833" t="n"/>
      <c r="S271" s="798" t="n"/>
      <c r="T271" s="40" t="inlineStr"/>
      <c r="U271" s="40" t="inlineStr"/>
      <c r="V271" s="41" t="inlineStr">
        <is>
          <t>кг</t>
        </is>
      </c>
      <c r="W271" s="834" t="n">
        <v>0</v>
      </c>
      <c r="X271" s="835">
        <f>IFERROR(IF(W271="",0,CEILING((W271/$H271),1)*$H271),"")</f>
        <v/>
      </c>
      <c r="Y271" s="42">
        <f>IFERROR(IF(X271=0,"",ROUNDUP(X271/H271,0)*0.00753),"")</f>
        <v/>
      </c>
      <c r="Z271" s="69" t="inlineStr"/>
      <c r="AA271" s="70" t="inlineStr"/>
      <c r="AE271" s="80" t="n"/>
      <c r="BB271" s="246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>
      <c r="A272" s="467" t="n"/>
      <c r="B272" s="785" t="n"/>
      <c r="C272" s="785" t="n"/>
      <c r="D272" s="785" t="n"/>
      <c r="E272" s="785" t="n"/>
      <c r="F272" s="785" t="n"/>
      <c r="G272" s="785" t="n"/>
      <c r="H272" s="785" t="n"/>
      <c r="I272" s="785" t="n"/>
      <c r="J272" s="785" t="n"/>
      <c r="K272" s="785" t="n"/>
      <c r="L272" s="785" t="n"/>
      <c r="M272" s="785" t="n"/>
      <c r="N272" s="837" t="n"/>
      <c r="O272" s="838" t="inlineStr">
        <is>
          <t>Итого</t>
        </is>
      </c>
      <c r="P272" s="805" t="n"/>
      <c r="Q272" s="805" t="n"/>
      <c r="R272" s="805" t="n"/>
      <c r="S272" s="805" t="n"/>
      <c r="T272" s="805" t="n"/>
      <c r="U272" s="806" t="n"/>
      <c r="V272" s="43" t="inlineStr">
        <is>
          <t>кор</t>
        </is>
      </c>
      <c r="W272" s="839">
        <f>IFERROR(W263/H263,"0")+IFERROR(W264/H264,"0")+IFERROR(W265/H265,"0")+IFERROR(W266/H266,"0")+IFERROR(W267/H267,"0")+IFERROR(W268/H268,"0")+IFERROR(W269/H269,"0")+IFERROR(W270/H270,"0")+IFERROR(W271/H271,"0")</f>
        <v/>
      </c>
      <c r="X272" s="839">
        <f>IFERROR(X263/H263,"0")+IFERROR(X264/H264,"0")+IFERROR(X265/H265,"0")+IFERROR(X266/H266,"0")+IFERROR(X267/H267,"0")+IFERROR(X268/H268,"0")+IFERROR(X269/H269,"0")+IFERROR(X270/H270,"0")+IFERROR(X271/H271,"0")</f>
        <v/>
      </c>
      <c r="Y272" s="839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/>
      </c>
      <c r="Z272" s="840" t="n"/>
      <c r="AA272" s="840" t="n"/>
    </row>
    <row r="273">
      <c r="A273" s="785" t="n"/>
      <c r="B273" s="785" t="n"/>
      <c r="C273" s="785" t="n"/>
      <c r="D273" s="785" t="n"/>
      <c r="E273" s="785" t="n"/>
      <c r="F273" s="785" t="n"/>
      <c r="G273" s="785" t="n"/>
      <c r="H273" s="785" t="n"/>
      <c r="I273" s="785" t="n"/>
      <c r="J273" s="785" t="n"/>
      <c r="K273" s="785" t="n"/>
      <c r="L273" s="785" t="n"/>
      <c r="M273" s="785" t="n"/>
      <c r="N273" s="837" t="n"/>
      <c r="O273" s="838" t="inlineStr">
        <is>
          <t>Итого</t>
        </is>
      </c>
      <c r="P273" s="805" t="n"/>
      <c r="Q273" s="805" t="n"/>
      <c r="R273" s="805" t="n"/>
      <c r="S273" s="805" t="n"/>
      <c r="T273" s="805" t="n"/>
      <c r="U273" s="806" t="n"/>
      <c r="V273" s="43" t="inlineStr">
        <is>
          <t>кг</t>
        </is>
      </c>
      <c r="W273" s="839">
        <f>IFERROR(SUM(W263:W271),"0")</f>
        <v/>
      </c>
      <c r="X273" s="839">
        <f>IFERROR(SUM(X263:X271),"0")</f>
        <v/>
      </c>
      <c r="Y273" s="43" t="n"/>
      <c r="Z273" s="840" t="n"/>
      <c r="AA273" s="840" t="n"/>
    </row>
    <row r="274" ht="14.25" customHeight="1">
      <c r="A274" s="457" t="inlineStr">
        <is>
          <t>Сардельки</t>
        </is>
      </c>
      <c r="B274" s="785" t="n"/>
      <c r="C274" s="785" t="n"/>
      <c r="D274" s="785" t="n"/>
      <c r="E274" s="785" t="n"/>
      <c r="F274" s="785" t="n"/>
      <c r="G274" s="785" t="n"/>
      <c r="H274" s="785" t="n"/>
      <c r="I274" s="785" t="n"/>
      <c r="J274" s="785" t="n"/>
      <c r="K274" s="785" t="n"/>
      <c r="L274" s="785" t="n"/>
      <c r="M274" s="785" t="n"/>
      <c r="N274" s="785" t="n"/>
      <c r="O274" s="785" t="n"/>
      <c r="P274" s="785" t="n"/>
      <c r="Q274" s="785" t="n"/>
      <c r="R274" s="785" t="n"/>
      <c r="S274" s="785" t="n"/>
      <c r="T274" s="785" t="n"/>
      <c r="U274" s="785" t="n"/>
      <c r="V274" s="785" t="n"/>
      <c r="W274" s="785" t="n"/>
      <c r="X274" s="785" t="n"/>
      <c r="Y274" s="785" t="n"/>
      <c r="Z274" s="457" t="n"/>
      <c r="AA274" s="457" t="n"/>
    </row>
    <row r="275" ht="16.5" customHeight="1">
      <c r="A275" s="64" t="inlineStr">
        <is>
          <t>SU001051</t>
        </is>
      </c>
      <c r="B275" s="64" t="inlineStr">
        <is>
          <t>P003997</t>
        </is>
      </c>
      <c r="C275" s="37" t="n">
        <v>4301060379</v>
      </c>
      <c r="D275" s="458" t="n">
        <v>4607091380880</v>
      </c>
      <c r="E275" s="798" t="n"/>
      <c r="F275" s="831" t="n">
        <v>1.4</v>
      </c>
      <c r="G275" s="38" t="n">
        <v>6</v>
      </c>
      <c r="H275" s="831" t="n">
        <v>8.4</v>
      </c>
      <c r="I275" s="83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1005" t="inlineStr">
        <is>
          <t>Сардельки «Нежные» Весовые н/о мгс ТМ «Стародворье»</t>
        </is>
      </c>
      <c r="P275" s="833" t="n"/>
      <c r="Q275" s="833" t="n"/>
      <c r="R275" s="833" t="n"/>
      <c r="S275" s="798" t="n"/>
      <c r="T275" s="40" t="inlineStr"/>
      <c r="U275" s="40" t="inlineStr"/>
      <c r="V275" s="41" t="inlineStr">
        <is>
          <t>кг</t>
        </is>
      </c>
      <c r="W275" s="834" t="n">
        <v>0</v>
      </c>
      <c r="X275" s="835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7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SU001051</t>
        </is>
      </c>
      <c r="B276" s="64" t="inlineStr">
        <is>
          <t>P002061</t>
        </is>
      </c>
      <c r="C276" s="37" t="n">
        <v>4301060326</v>
      </c>
      <c r="D276" s="458" t="n">
        <v>4607091380880</v>
      </c>
      <c r="E276" s="798" t="n"/>
      <c r="F276" s="831" t="n">
        <v>1.4</v>
      </c>
      <c r="G276" s="38" t="n">
        <v>6</v>
      </c>
      <c r="H276" s="831" t="n">
        <v>8.4</v>
      </c>
      <c r="I276" s="831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1006">
        <f>HYPERLINK("https://abi.ru/products/Охлажденные/Стародворье/Бордо/Сардельки/P002061/","Сардельки Нежные Бордо Весовые н/о мгс Стародворье")</f>
        <v/>
      </c>
      <c r="P276" s="833" t="n"/>
      <c r="Q276" s="833" t="n"/>
      <c r="R276" s="833" t="n"/>
      <c r="S276" s="798" t="n"/>
      <c r="T276" s="40" t="inlineStr"/>
      <c r="U276" s="40" t="inlineStr"/>
      <c r="V276" s="41" t="inlineStr">
        <is>
          <t>кг</t>
        </is>
      </c>
      <c r="W276" s="834" t="n">
        <v>0</v>
      </c>
      <c r="X276" s="835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8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SU000227</t>
        </is>
      </c>
      <c r="B277" s="64" t="inlineStr">
        <is>
          <t>P002536</t>
        </is>
      </c>
      <c r="C277" s="37" t="n">
        <v>4301060308</v>
      </c>
      <c r="D277" s="458" t="n">
        <v>4607091384482</v>
      </c>
      <c r="E277" s="798" t="n"/>
      <c r="F277" s="831" t="n">
        <v>1.3</v>
      </c>
      <c r="G277" s="38" t="n">
        <v>6</v>
      </c>
      <c r="H277" s="831" t="n">
        <v>7.8</v>
      </c>
      <c r="I277" s="831" t="n">
        <v>8.364000000000001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9" t="n"/>
      <c r="N277" s="38" t="n">
        <v>30</v>
      </c>
      <c r="O277" s="10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7" s="833" t="n"/>
      <c r="Q277" s="833" t="n"/>
      <c r="R277" s="833" t="n"/>
      <c r="S277" s="798" t="n"/>
      <c r="T277" s="40" t="inlineStr"/>
      <c r="U277" s="40" t="inlineStr"/>
      <c r="V277" s="41" t="inlineStr">
        <is>
          <t>кг</t>
        </is>
      </c>
      <c r="W277" s="834" t="n">
        <v>0</v>
      </c>
      <c r="X277" s="835">
        <f>IFERROR(IF(W277="",0,CEILING((W277/$H277),1)*$H277),"")</f>
        <v/>
      </c>
      <c r="Y277" s="42">
        <f>IFERROR(IF(X277=0,"",ROUNDUP(X277/H277,0)*0.02175),"")</f>
        <v/>
      </c>
      <c r="Z277" s="69" t="inlineStr"/>
      <c r="AA277" s="70" t="inlineStr"/>
      <c r="AE277" s="80" t="n"/>
      <c r="BB277" s="249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 ht="16.5" customHeight="1">
      <c r="A278" s="64" t="inlineStr">
        <is>
          <t>SU001430</t>
        </is>
      </c>
      <c r="B278" s="64" t="inlineStr">
        <is>
          <t>P002036</t>
        </is>
      </c>
      <c r="C278" s="37" t="n">
        <v>4301060325</v>
      </c>
      <c r="D278" s="458" t="n">
        <v>4607091380897</v>
      </c>
      <c r="E278" s="798" t="n"/>
      <c r="F278" s="831" t="n">
        <v>1.4</v>
      </c>
      <c r="G278" s="38" t="n">
        <v>6</v>
      </c>
      <c r="H278" s="831" t="n">
        <v>8.4</v>
      </c>
      <c r="I278" s="831" t="n">
        <v>8.964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9" t="n"/>
      <c r="N278" s="38" t="n">
        <v>30</v>
      </c>
      <c r="O278" s="1008">
        <f>HYPERLINK("https://abi.ru/products/Охлажденные/Стародворье/Бордо/Сардельки/P002036/","Сардельки Шпикачки Бордо Весовые NDX мгс Стародворье")</f>
        <v/>
      </c>
      <c r="P278" s="833" t="n"/>
      <c r="Q278" s="833" t="n"/>
      <c r="R278" s="833" t="n"/>
      <c r="S278" s="798" t="n"/>
      <c r="T278" s="40" t="inlineStr"/>
      <c r="U278" s="40" t="inlineStr"/>
      <c r="V278" s="41" t="inlineStr">
        <is>
          <t>кг</t>
        </is>
      </c>
      <c r="W278" s="834" t="n">
        <v>0</v>
      </c>
      <c r="X278" s="835">
        <f>IFERROR(IF(W278="",0,CEILING((W278/$H278),1)*$H278),"")</f>
        <v/>
      </c>
      <c r="Y278" s="42">
        <f>IFERROR(IF(X278=0,"",ROUNDUP(X278/H278,0)*0.02175),"")</f>
        <v/>
      </c>
      <c r="Z278" s="69" t="inlineStr"/>
      <c r="AA278" s="70" t="inlineStr"/>
      <c r="AE278" s="80" t="n"/>
      <c r="BB278" s="250" t="inlineStr">
        <is>
          <t>КИ</t>
        </is>
      </c>
      <c r="BL278" s="80">
        <f>IFERROR(W278*I278/H278,"0")</f>
        <v/>
      </c>
      <c r="BM278" s="80">
        <f>IFERROR(X278*I278/H278,"0")</f>
        <v/>
      </c>
      <c r="BN278" s="80">
        <f>IFERROR(1/J278*(W278/H278),"0")</f>
        <v/>
      </c>
      <c r="BO278" s="80">
        <f>IFERROR(1/J278*(X278/H278),"0")</f>
        <v/>
      </c>
    </row>
    <row r="279">
      <c r="A279" s="467" t="n"/>
      <c r="B279" s="785" t="n"/>
      <c r="C279" s="785" t="n"/>
      <c r="D279" s="785" t="n"/>
      <c r="E279" s="785" t="n"/>
      <c r="F279" s="785" t="n"/>
      <c r="G279" s="785" t="n"/>
      <c r="H279" s="785" t="n"/>
      <c r="I279" s="785" t="n"/>
      <c r="J279" s="785" t="n"/>
      <c r="K279" s="785" t="n"/>
      <c r="L279" s="785" t="n"/>
      <c r="M279" s="785" t="n"/>
      <c r="N279" s="837" t="n"/>
      <c r="O279" s="838" t="inlineStr">
        <is>
          <t>Итого</t>
        </is>
      </c>
      <c r="P279" s="805" t="n"/>
      <c r="Q279" s="805" t="n"/>
      <c r="R279" s="805" t="n"/>
      <c r="S279" s="805" t="n"/>
      <c r="T279" s="805" t="n"/>
      <c r="U279" s="806" t="n"/>
      <c r="V279" s="43" t="inlineStr">
        <is>
          <t>кор</t>
        </is>
      </c>
      <c r="W279" s="839">
        <f>IFERROR(W275/H275,"0")+IFERROR(W276/H276,"0")+IFERROR(W277/H277,"0")+IFERROR(W278/H278,"0")</f>
        <v/>
      </c>
      <c r="X279" s="839">
        <f>IFERROR(X275/H275,"0")+IFERROR(X276/H276,"0")+IFERROR(X277/H277,"0")+IFERROR(X278/H278,"0")</f>
        <v/>
      </c>
      <c r="Y279" s="839">
        <f>IFERROR(IF(Y275="",0,Y275),"0")+IFERROR(IF(Y276="",0,Y276),"0")+IFERROR(IF(Y277="",0,Y277),"0")+IFERROR(IF(Y278="",0,Y278),"0")</f>
        <v/>
      </c>
      <c r="Z279" s="840" t="n"/>
      <c r="AA279" s="840" t="n"/>
    </row>
    <row r="280">
      <c r="A280" s="785" t="n"/>
      <c r="B280" s="785" t="n"/>
      <c r="C280" s="785" t="n"/>
      <c r="D280" s="785" t="n"/>
      <c r="E280" s="785" t="n"/>
      <c r="F280" s="785" t="n"/>
      <c r="G280" s="785" t="n"/>
      <c r="H280" s="785" t="n"/>
      <c r="I280" s="785" t="n"/>
      <c r="J280" s="785" t="n"/>
      <c r="K280" s="785" t="n"/>
      <c r="L280" s="785" t="n"/>
      <c r="M280" s="785" t="n"/>
      <c r="N280" s="837" t="n"/>
      <c r="O280" s="838" t="inlineStr">
        <is>
          <t>Итого</t>
        </is>
      </c>
      <c r="P280" s="805" t="n"/>
      <c r="Q280" s="805" t="n"/>
      <c r="R280" s="805" t="n"/>
      <c r="S280" s="805" t="n"/>
      <c r="T280" s="805" t="n"/>
      <c r="U280" s="806" t="n"/>
      <c r="V280" s="43" t="inlineStr">
        <is>
          <t>кг</t>
        </is>
      </c>
      <c r="W280" s="839">
        <f>IFERROR(SUM(W275:W278),"0")</f>
        <v/>
      </c>
      <c r="X280" s="839">
        <f>IFERROR(SUM(X275:X278),"0")</f>
        <v/>
      </c>
      <c r="Y280" s="43" t="n"/>
      <c r="Z280" s="840" t="n"/>
      <c r="AA280" s="840" t="n"/>
    </row>
    <row r="281" ht="14.25" customHeight="1">
      <c r="A281" s="457" t="inlineStr">
        <is>
          <t>Сырокопченые колбасы</t>
        </is>
      </c>
      <c r="B281" s="785" t="n"/>
      <c r="C281" s="785" t="n"/>
      <c r="D281" s="785" t="n"/>
      <c r="E281" s="785" t="n"/>
      <c r="F281" s="785" t="n"/>
      <c r="G281" s="785" t="n"/>
      <c r="H281" s="785" t="n"/>
      <c r="I281" s="785" t="n"/>
      <c r="J281" s="785" t="n"/>
      <c r="K281" s="785" t="n"/>
      <c r="L281" s="785" t="n"/>
      <c r="M281" s="785" t="n"/>
      <c r="N281" s="785" t="n"/>
      <c r="O281" s="785" t="n"/>
      <c r="P281" s="785" t="n"/>
      <c r="Q281" s="785" t="n"/>
      <c r="R281" s="785" t="n"/>
      <c r="S281" s="785" t="n"/>
      <c r="T281" s="785" t="n"/>
      <c r="U281" s="785" t="n"/>
      <c r="V281" s="785" t="n"/>
      <c r="W281" s="785" t="n"/>
      <c r="X281" s="785" t="n"/>
      <c r="Y281" s="785" t="n"/>
      <c r="Z281" s="457" t="n"/>
      <c r="AA281" s="457" t="n"/>
    </row>
    <row r="282" ht="16.5" customHeight="1">
      <c r="A282" s="64" t="inlineStr">
        <is>
          <t>SU001920</t>
        </is>
      </c>
      <c r="B282" s="64" t="inlineStr">
        <is>
          <t>P001900</t>
        </is>
      </c>
      <c r="C282" s="37" t="n">
        <v>4301030232</v>
      </c>
      <c r="D282" s="458" t="n">
        <v>4607091388374</v>
      </c>
      <c r="E282" s="798" t="n"/>
      <c r="F282" s="831" t="n">
        <v>0.38</v>
      </c>
      <c r="G282" s="38" t="n">
        <v>8</v>
      </c>
      <c r="H282" s="831" t="n">
        <v>3.04</v>
      </c>
      <c r="I282" s="831" t="n">
        <v>3.28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1009" t="inlineStr">
        <is>
          <t>С/к колбасы Княжеская Бордо Весовые б/о терм/п Стародворье</t>
        </is>
      </c>
      <c r="P282" s="833" t="n"/>
      <c r="Q282" s="833" t="n"/>
      <c r="R282" s="833" t="n"/>
      <c r="S282" s="798" t="n"/>
      <c r="T282" s="40" t="inlineStr"/>
      <c r="U282" s="40" t="inlineStr"/>
      <c r="V282" s="41" t="inlineStr">
        <is>
          <t>кг</t>
        </is>
      </c>
      <c r="W282" s="834" t="n">
        <v>0</v>
      </c>
      <c r="X282" s="835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51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27" customHeight="1">
      <c r="A283" s="64" t="inlineStr">
        <is>
          <t>SU001921</t>
        </is>
      </c>
      <c r="B283" s="64" t="inlineStr">
        <is>
          <t>P001916</t>
        </is>
      </c>
      <c r="C283" s="37" t="n">
        <v>4301030235</v>
      </c>
      <c r="D283" s="458" t="n">
        <v>4607091388381</v>
      </c>
      <c r="E283" s="798" t="n"/>
      <c r="F283" s="831" t="n">
        <v>0.38</v>
      </c>
      <c r="G283" s="38" t="n">
        <v>8</v>
      </c>
      <c r="H283" s="831" t="n">
        <v>3.04</v>
      </c>
      <c r="I283" s="831" t="n">
        <v>3.32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9" t="n"/>
      <c r="N283" s="38" t="n">
        <v>180</v>
      </c>
      <c r="O283" s="1010" t="inlineStr">
        <is>
          <t>С/к колбасы Салями Охотничья Бордо Весовые б/о терм/п 180 Стародворье</t>
        </is>
      </c>
      <c r="P283" s="833" t="n"/>
      <c r="Q283" s="833" t="n"/>
      <c r="R283" s="833" t="n"/>
      <c r="S283" s="798" t="n"/>
      <c r="T283" s="40" t="inlineStr"/>
      <c r="U283" s="40" t="inlineStr"/>
      <c r="V283" s="41" t="inlineStr">
        <is>
          <t>кг</t>
        </is>
      </c>
      <c r="W283" s="834" t="n">
        <v>0</v>
      </c>
      <c r="X283" s="835">
        <f>IFERROR(IF(W283="",0,CEILING((W283/$H283),1)*$H283),"")</f>
        <v/>
      </c>
      <c r="Y283" s="42">
        <f>IFERROR(IF(X283=0,"",ROUNDUP(X283/H283,0)*0.00753),"")</f>
        <v/>
      </c>
      <c r="Z283" s="69" t="inlineStr"/>
      <c r="AA283" s="70" t="inlineStr"/>
      <c r="AE283" s="80" t="n"/>
      <c r="BB283" s="252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 ht="27" customHeight="1">
      <c r="A284" s="64" t="inlineStr">
        <is>
          <t>SU001869</t>
        </is>
      </c>
      <c r="B284" s="64" t="inlineStr">
        <is>
          <t>P001909</t>
        </is>
      </c>
      <c r="C284" s="37" t="n">
        <v>4301030233</v>
      </c>
      <c r="D284" s="458" t="n">
        <v>4607091388404</v>
      </c>
      <c r="E284" s="798" t="n"/>
      <c r="F284" s="831" t="n">
        <v>0.17</v>
      </c>
      <c r="G284" s="38" t="n">
        <v>15</v>
      </c>
      <c r="H284" s="831" t="n">
        <v>2.55</v>
      </c>
      <c r="I284" s="831" t="n">
        <v>2.9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9" t="n"/>
      <c r="N284" s="38" t="n">
        <v>180</v>
      </c>
      <c r="O284" s="10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4" s="833" t="n"/>
      <c r="Q284" s="833" t="n"/>
      <c r="R284" s="833" t="n"/>
      <c r="S284" s="798" t="n"/>
      <c r="T284" s="40" t="inlineStr"/>
      <c r="U284" s="40" t="inlineStr"/>
      <c r="V284" s="41" t="inlineStr">
        <is>
          <t>кг</t>
        </is>
      </c>
      <c r="W284" s="834" t="n">
        <v>0</v>
      </c>
      <c r="X284" s="835">
        <f>IFERROR(IF(W284="",0,CEILING((W284/$H284),1)*$H284),"")</f>
        <v/>
      </c>
      <c r="Y284" s="42">
        <f>IFERROR(IF(X284=0,"",ROUNDUP(X284/H284,0)*0.00753),"")</f>
        <v/>
      </c>
      <c r="Z284" s="69" t="inlineStr"/>
      <c r="AA284" s="70" t="inlineStr"/>
      <c r="AE284" s="80" t="n"/>
      <c r="BB284" s="253" t="inlineStr">
        <is>
          <t>КИ</t>
        </is>
      </c>
      <c r="BL284" s="80">
        <f>IFERROR(W284*I284/H284,"0")</f>
        <v/>
      </c>
      <c r="BM284" s="80">
        <f>IFERROR(X284*I284/H284,"0")</f>
        <v/>
      </c>
      <c r="BN284" s="80">
        <f>IFERROR(1/J284*(W284/H284),"0")</f>
        <v/>
      </c>
      <c r="BO284" s="80">
        <f>IFERROR(1/J284*(X284/H284),"0")</f>
        <v/>
      </c>
    </row>
    <row r="285">
      <c r="A285" s="467" t="n"/>
      <c r="B285" s="785" t="n"/>
      <c r="C285" s="785" t="n"/>
      <c r="D285" s="785" t="n"/>
      <c r="E285" s="785" t="n"/>
      <c r="F285" s="785" t="n"/>
      <c r="G285" s="785" t="n"/>
      <c r="H285" s="785" t="n"/>
      <c r="I285" s="785" t="n"/>
      <c r="J285" s="785" t="n"/>
      <c r="K285" s="785" t="n"/>
      <c r="L285" s="785" t="n"/>
      <c r="M285" s="785" t="n"/>
      <c r="N285" s="837" t="n"/>
      <c r="O285" s="838" t="inlineStr">
        <is>
          <t>Итого</t>
        </is>
      </c>
      <c r="P285" s="805" t="n"/>
      <c r="Q285" s="805" t="n"/>
      <c r="R285" s="805" t="n"/>
      <c r="S285" s="805" t="n"/>
      <c r="T285" s="805" t="n"/>
      <c r="U285" s="806" t="n"/>
      <c r="V285" s="43" t="inlineStr">
        <is>
          <t>кор</t>
        </is>
      </c>
      <c r="W285" s="839">
        <f>IFERROR(W282/H282,"0")+IFERROR(W283/H283,"0")+IFERROR(W284/H284,"0")</f>
        <v/>
      </c>
      <c r="X285" s="839">
        <f>IFERROR(X282/H282,"0")+IFERROR(X283/H283,"0")+IFERROR(X284/H284,"0")</f>
        <v/>
      </c>
      <c r="Y285" s="839">
        <f>IFERROR(IF(Y282="",0,Y282),"0")+IFERROR(IF(Y283="",0,Y283),"0")+IFERROR(IF(Y284="",0,Y284),"0")</f>
        <v/>
      </c>
      <c r="Z285" s="840" t="n"/>
      <c r="AA285" s="840" t="n"/>
    </row>
    <row r="286">
      <c r="A286" s="785" t="n"/>
      <c r="B286" s="785" t="n"/>
      <c r="C286" s="785" t="n"/>
      <c r="D286" s="785" t="n"/>
      <c r="E286" s="785" t="n"/>
      <c r="F286" s="785" t="n"/>
      <c r="G286" s="785" t="n"/>
      <c r="H286" s="785" t="n"/>
      <c r="I286" s="785" t="n"/>
      <c r="J286" s="785" t="n"/>
      <c r="K286" s="785" t="n"/>
      <c r="L286" s="785" t="n"/>
      <c r="M286" s="785" t="n"/>
      <c r="N286" s="837" t="n"/>
      <c r="O286" s="838" t="inlineStr">
        <is>
          <t>Итого</t>
        </is>
      </c>
      <c r="P286" s="805" t="n"/>
      <c r="Q286" s="805" t="n"/>
      <c r="R286" s="805" t="n"/>
      <c r="S286" s="805" t="n"/>
      <c r="T286" s="805" t="n"/>
      <c r="U286" s="806" t="n"/>
      <c r="V286" s="43" t="inlineStr">
        <is>
          <t>кг</t>
        </is>
      </c>
      <c r="W286" s="839">
        <f>IFERROR(SUM(W282:W284),"0")</f>
        <v/>
      </c>
      <c r="X286" s="839">
        <f>IFERROR(SUM(X282:X284),"0")</f>
        <v/>
      </c>
      <c r="Y286" s="43" t="n"/>
      <c r="Z286" s="840" t="n"/>
      <c r="AA286" s="840" t="n"/>
    </row>
    <row r="287" ht="14.25" customHeight="1">
      <c r="A287" s="457" t="inlineStr">
        <is>
          <t>Паштеты</t>
        </is>
      </c>
      <c r="B287" s="785" t="n"/>
      <c r="C287" s="785" t="n"/>
      <c r="D287" s="785" t="n"/>
      <c r="E287" s="785" t="n"/>
      <c r="F287" s="785" t="n"/>
      <c r="G287" s="785" t="n"/>
      <c r="H287" s="785" t="n"/>
      <c r="I287" s="785" t="n"/>
      <c r="J287" s="785" t="n"/>
      <c r="K287" s="785" t="n"/>
      <c r="L287" s="785" t="n"/>
      <c r="M287" s="785" t="n"/>
      <c r="N287" s="785" t="n"/>
      <c r="O287" s="785" t="n"/>
      <c r="P287" s="785" t="n"/>
      <c r="Q287" s="785" t="n"/>
      <c r="R287" s="785" t="n"/>
      <c r="S287" s="785" t="n"/>
      <c r="T287" s="785" t="n"/>
      <c r="U287" s="785" t="n"/>
      <c r="V287" s="785" t="n"/>
      <c r="W287" s="785" t="n"/>
      <c r="X287" s="785" t="n"/>
      <c r="Y287" s="785" t="n"/>
      <c r="Z287" s="457" t="n"/>
      <c r="AA287" s="457" t="n"/>
    </row>
    <row r="288" ht="16.5" customHeight="1">
      <c r="A288" s="64" t="inlineStr">
        <is>
          <t>SU002841</t>
        </is>
      </c>
      <c r="B288" s="64" t="inlineStr">
        <is>
          <t>P003253</t>
        </is>
      </c>
      <c r="C288" s="37" t="n">
        <v>4301180007</v>
      </c>
      <c r="D288" s="458" t="n">
        <v>4680115881808</v>
      </c>
      <c r="E288" s="798" t="n"/>
      <c r="F288" s="831" t="n">
        <v>0.1</v>
      </c>
      <c r="G288" s="38" t="n">
        <v>20</v>
      </c>
      <c r="H288" s="831" t="n">
        <v>2</v>
      </c>
      <c r="I288" s="831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10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8" s="833" t="n"/>
      <c r="Q288" s="833" t="n"/>
      <c r="R288" s="833" t="n"/>
      <c r="S288" s="798" t="n"/>
      <c r="T288" s="40" t="inlineStr"/>
      <c r="U288" s="40" t="inlineStr"/>
      <c r="V288" s="41" t="inlineStr">
        <is>
          <t>кг</t>
        </is>
      </c>
      <c r="W288" s="834" t="n">
        <v>0</v>
      </c>
      <c r="X288" s="835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54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SU002840</t>
        </is>
      </c>
      <c r="B289" s="64" t="inlineStr">
        <is>
          <t>P003252</t>
        </is>
      </c>
      <c r="C289" s="37" t="n">
        <v>4301180006</v>
      </c>
      <c r="D289" s="458" t="n">
        <v>4680115881822</v>
      </c>
      <c r="E289" s="798" t="n"/>
      <c r="F289" s="831" t="n">
        <v>0.1</v>
      </c>
      <c r="G289" s="38" t="n">
        <v>20</v>
      </c>
      <c r="H289" s="831" t="n">
        <v>2</v>
      </c>
      <c r="I289" s="831" t="n">
        <v>2.24</v>
      </c>
      <c r="J289" s="38" t="n">
        <v>238</v>
      </c>
      <c r="K289" s="38" t="inlineStr">
        <is>
          <t>14</t>
        </is>
      </c>
      <c r="L289" s="39" t="inlineStr">
        <is>
          <t>РК</t>
        </is>
      </c>
      <c r="M289" s="39" t="n"/>
      <c r="N289" s="38" t="n">
        <v>730</v>
      </c>
      <c r="O289" s="10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9" s="833" t="n"/>
      <c r="Q289" s="833" t="n"/>
      <c r="R289" s="833" t="n"/>
      <c r="S289" s="798" t="n"/>
      <c r="T289" s="40" t="inlineStr"/>
      <c r="U289" s="40" t="inlineStr"/>
      <c r="V289" s="41" t="inlineStr">
        <is>
          <t>кг</t>
        </is>
      </c>
      <c r="W289" s="834" t="n">
        <v>0</v>
      </c>
      <c r="X289" s="835">
        <f>IFERROR(IF(W289="",0,CEILING((W289/$H289),1)*$H289),"")</f>
        <v/>
      </c>
      <c r="Y289" s="42">
        <f>IFERROR(IF(X289=0,"",ROUNDUP(X289/H289,0)*0.00474),"")</f>
        <v/>
      </c>
      <c r="Z289" s="69" t="inlineStr"/>
      <c r="AA289" s="70" t="inlineStr"/>
      <c r="AE289" s="80" t="n"/>
      <c r="BB289" s="255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 ht="27" customHeight="1">
      <c r="A290" s="64" t="inlineStr">
        <is>
          <t>SU002368</t>
        </is>
      </c>
      <c r="B290" s="64" t="inlineStr">
        <is>
          <t>P002648</t>
        </is>
      </c>
      <c r="C290" s="37" t="n">
        <v>4301180001</v>
      </c>
      <c r="D290" s="458" t="n">
        <v>4680115880016</v>
      </c>
      <c r="E290" s="798" t="n"/>
      <c r="F290" s="831" t="n">
        <v>0.1</v>
      </c>
      <c r="G290" s="38" t="n">
        <v>20</v>
      </c>
      <c r="H290" s="831" t="n">
        <v>2</v>
      </c>
      <c r="I290" s="831" t="n">
        <v>2.24</v>
      </c>
      <c r="J290" s="38" t="n">
        <v>238</v>
      </c>
      <c r="K290" s="38" t="inlineStr">
        <is>
          <t>14</t>
        </is>
      </c>
      <c r="L290" s="39" t="inlineStr">
        <is>
          <t>РК</t>
        </is>
      </c>
      <c r="M290" s="39" t="n"/>
      <c r="N290" s="38" t="n">
        <v>730</v>
      </c>
      <c r="O290" s="10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90" s="833" t="n"/>
      <c r="Q290" s="833" t="n"/>
      <c r="R290" s="833" t="n"/>
      <c r="S290" s="798" t="n"/>
      <c r="T290" s="40" t="inlineStr"/>
      <c r="U290" s="40" t="inlineStr"/>
      <c r="V290" s="41" t="inlineStr">
        <is>
          <t>кг</t>
        </is>
      </c>
      <c r="W290" s="834" t="n">
        <v>0</v>
      </c>
      <c r="X290" s="835">
        <f>IFERROR(IF(W290="",0,CEILING((W290/$H290),1)*$H290),"")</f>
        <v/>
      </c>
      <c r="Y290" s="42">
        <f>IFERROR(IF(X290=0,"",ROUNDUP(X290/H290,0)*0.00474),"")</f>
        <v/>
      </c>
      <c r="Z290" s="69" t="inlineStr"/>
      <c r="AA290" s="70" t="inlineStr"/>
      <c r="AE290" s="80" t="n"/>
      <c r="BB290" s="256" t="inlineStr">
        <is>
          <t>КИ</t>
        </is>
      </c>
      <c r="BL290" s="80">
        <f>IFERROR(W290*I290/H290,"0")</f>
        <v/>
      </c>
      <c r="BM290" s="80">
        <f>IFERROR(X290*I290/H290,"0")</f>
        <v/>
      </c>
      <c r="BN290" s="80">
        <f>IFERROR(1/J290*(W290/H290),"0")</f>
        <v/>
      </c>
      <c r="BO290" s="80">
        <f>IFERROR(1/J290*(X290/H290),"0")</f>
        <v/>
      </c>
    </row>
    <row r="291">
      <c r="A291" s="467" t="n"/>
      <c r="B291" s="785" t="n"/>
      <c r="C291" s="785" t="n"/>
      <c r="D291" s="785" t="n"/>
      <c r="E291" s="785" t="n"/>
      <c r="F291" s="785" t="n"/>
      <c r="G291" s="785" t="n"/>
      <c r="H291" s="785" t="n"/>
      <c r="I291" s="785" t="n"/>
      <c r="J291" s="785" t="n"/>
      <c r="K291" s="785" t="n"/>
      <c r="L291" s="785" t="n"/>
      <c r="M291" s="785" t="n"/>
      <c r="N291" s="837" t="n"/>
      <c r="O291" s="838" t="inlineStr">
        <is>
          <t>Итого</t>
        </is>
      </c>
      <c r="P291" s="805" t="n"/>
      <c r="Q291" s="805" t="n"/>
      <c r="R291" s="805" t="n"/>
      <c r="S291" s="805" t="n"/>
      <c r="T291" s="805" t="n"/>
      <c r="U291" s="806" t="n"/>
      <c r="V291" s="43" t="inlineStr">
        <is>
          <t>кор</t>
        </is>
      </c>
      <c r="W291" s="839">
        <f>IFERROR(W288/H288,"0")+IFERROR(W289/H289,"0")+IFERROR(W290/H290,"0")</f>
        <v/>
      </c>
      <c r="X291" s="839">
        <f>IFERROR(X288/H288,"0")+IFERROR(X289/H289,"0")+IFERROR(X290/H290,"0")</f>
        <v/>
      </c>
      <c r="Y291" s="839">
        <f>IFERROR(IF(Y288="",0,Y288),"0")+IFERROR(IF(Y289="",0,Y289),"0")+IFERROR(IF(Y290="",0,Y290),"0")</f>
        <v/>
      </c>
      <c r="Z291" s="840" t="n"/>
      <c r="AA291" s="840" t="n"/>
    </row>
    <row r="292">
      <c r="A292" s="785" t="n"/>
      <c r="B292" s="785" t="n"/>
      <c r="C292" s="785" t="n"/>
      <c r="D292" s="785" t="n"/>
      <c r="E292" s="785" t="n"/>
      <c r="F292" s="785" t="n"/>
      <c r="G292" s="785" t="n"/>
      <c r="H292" s="785" t="n"/>
      <c r="I292" s="785" t="n"/>
      <c r="J292" s="785" t="n"/>
      <c r="K292" s="785" t="n"/>
      <c r="L292" s="785" t="n"/>
      <c r="M292" s="785" t="n"/>
      <c r="N292" s="837" t="n"/>
      <c r="O292" s="838" t="inlineStr">
        <is>
          <t>Итого</t>
        </is>
      </c>
      <c r="P292" s="805" t="n"/>
      <c r="Q292" s="805" t="n"/>
      <c r="R292" s="805" t="n"/>
      <c r="S292" s="805" t="n"/>
      <c r="T292" s="805" t="n"/>
      <c r="U292" s="806" t="n"/>
      <c r="V292" s="43" t="inlineStr">
        <is>
          <t>кг</t>
        </is>
      </c>
      <c r="W292" s="839">
        <f>IFERROR(SUM(W288:W290),"0")</f>
        <v/>
      </c>
      <c r="X292" s="839">
        <f>IFERROR(SUM(X288:X290),"0")</f>
        <v/>
      </c>
      <c r="Y292" s="43" t="n"/>
      <c r="Z292" s="840" t="n"/>
      <c r="AA292" s="840" t="n"/>
    </row>
    <row r="293" ht="16.5" customHeight="1">
      <c r="A293" s="456" t="inlineStr">
        <is>
          <t>Фирменная</t>
        </is>
      </c>
      <c r="B293" s="785" t="n"/>
      <c r="C293" s="785" t="n"/>
      <c r="D293" s="785" t="n"/>
      <c r="E293" s="785" t="n"/>
      <c r="F293" s="785" t="n"/>
      <c r="G293" s="785" t="n"/>
      <c r="H293" s="785" t="n"/>
      <c r="I293" s="785" t="n"/>
      <c r="J293" s="785" t="n"/>
      <c r="K293" s="785" t="n"/>
      <c r="L293" s="785" t="n"/>
      <c r="M293" s="785" t="n"/>
      <c r="N293" s="785" t="n"/>
      <c r="O293" s="785" t="n"/>
      <c r="P293" s="785" t="n"/>
      <c r="Q293" s="785" t="n"/>
      <c r="R293" s="785" t="n"/>
      <c r="S293" s="785" t="n"/>
      <c r="T293" s="785" t="n"/>
      <c r="U293" s="785" t="n"/>
      <c r="V293" s="785" t="n"/>
      <c r="W293" s="785" t="n"/>
      <c r="X293" s="785" t="n"/>
      <c r="Y293" s="785" t="n"/>
      <c r="Z293" s="456" t="n"/>
      <c r="AA293" s="456" t="n"/>
    </row>
    <row r="294" ht="14.25" customHeight="1">
      <c r="A294" s="457" t="inlineStr">
        <is>
          <t>Вареные колбасы</t>
        </is>
      </c>
      <c r="B294" s="785" t="n"/>
      <c r="C294" s="785" t="n"/>
      <c r="D294" s="785" t="n"/>
      <c r="E294" s="785" t="n"/>
      <c r="F294" s="785" t="n"/>
      <c r="G294" s="785" t="n"/>
      <c r="H294" s="785" t="n"/>
      <c r="I294" s="785" t="n"/>
      <c r="J294" s="785" t="n"/>
      <c r="K294" s="785" t="n"/>
      <c r="L294" s="785" t="n"/>
      <c r="M294" s="785" t="n"/>
      <c r="N294" s="785" t="n"/>
      <c r="O294" s="785" t="n"/>
      <c r="P294" s="785" t="n"/>
      <c r="Q294" s="785" t="n"/>
      <c r="R294" s="785" t="n"/>
      <c r="S294" s="785" t="n"/>
      <c r="T294" s="785" t="n"/>
      <c r="U294" s="785" t="n"/>
      <c r="V294" s="785" t="n"/>
      <c r="W294" s="785" t="n"/>
      <c r="X294" s="785" t="n"/>
      <c r="Y294" s="785" t="n"/>
      <c r="Z294" s="457" t="n"/>
      <c r="AA294" s="457" t="n"/>
    </row>
    <row r="295" ht="27" customHeight="1">
      <c r="A295" s="64" t="inlineStr">
        <is>
          <t>SU001793</t>
        </is>
      </c>
      <c r="B295" s="64" t="inlineStr">
        <is>
          <t>P001793</t>
        </is>
      </c>
      <c r="C295" s="37" t="n">
        <v>4301011315</v>
      </c>
      <c r="D295" s="458" t="n">
        <v>4607091387421</v>
      </c>
      <c r="E295" s="798" t="n"/>
      <c r="F295" s="831" t="n">
        <v>1.35</v>
      </c>
      <c r="G295" s="38" t="n">
        <v>8</v>
      </c>
      <c r="H295" s="831" t="n">
        <v>10.8</v>
      </c>
      <c r="I295" s="831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10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5" s="833" t="n"/>
      <c r="Q295" s="833" t="n"/>
      <c r="R295" s="833" t="n"/>
      <c r="S295" s="798" t="n"/>
      <c r="T295" s="40" t="inlineStr"/>
      <c r="U295" s="40" t="inlineStr"/>
      <c r="V295" s="41" t="inlineStr">
        <is>
          <t>кг</t>
        </is>
      </c>
      <c r="W295" s="834" t="n">
        <v>0</v>
      </c>
      <c r="X295" s="835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7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SU001793</t>
        </is>
      </c>
      <c r="B296" s="64" t="inlineStr">
        <is>
          <t>P002227</t>
        </is>
      </c>
      <c r="C296" s="37" t="n">
        <v>4301011121</v>
      </c>
      <c r="D296" s="458" t="n">
        <v>4607091387421</v>
      </c>
      <c r="E296" s="798" t="n"/>
      <c r="F296" s="831" t="n">
        <v>1.35</v>
      </c>
      <c r="G296" s="38" t="n">
        <v>8</v>
      </c>
      <c r="H296" s="831" t="n">
        <v>10.8</v>
      </c>
      <c r="I296" s="831" t="n">
        <v>11.28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9" t="n"/>
      <c r="N296" s="38" t="n">
        <v>55</v>
      </c>
      <c r="O296" s="10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6" s="833" t="n"/>
      <c r="Q296" s="833" t="n"/>
      <c r="R296" s="833" t="n"/>
      <c r="S296" s="798" t="n"/>
      <c r="T296" s="40" t="inlineStr"/>
      <c r="U296" s="40" t="inlineStr"/>
      <c r="V296" s="41" t="inlineStr">
        <is>
          <t>кг</t>
        </is>
      </c>
      <c r="W296" s="834" t="n">
        <v>0</v>
      </c>
      <c r="X296" s="835">
        <f>IFERROR(IF(W296="",0,CEILING((W296/$H296),1)*$H296),"")</f>
        <v/>
      </c>
      <c r="Y296" s="42">
        <f>IFERROR(IF(X296=0,"",ROUNDUP(X296/H296,0)*0.02039),"")</f>
        <v/>
      </c>
      <c r="Z296" s="69" t="inlineStr"/>
      <c r="AA296" s="70" t="inlineStr"/>
      <c r="AE296" s="80" t="n"/>
      <c r="BB296" s="258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SU001799</t>
        </is>
      </c>
      <c r="B297" s="64" t="inlineStr">
        <is>
          <t>P001799</t>
        </is>
      </c>
      <c r="C297" s="37" t="n">
        <v>4301011322</v>
      </c>
      <c r="D297" s="458" t="n">
        <v>4607091387452</v>
      </c>
      <c r="E297" s="798" t="n"/>
      <c r="F297" s="831" t="n">
        <v>1.35</v>
      </c>
      <c r="G297" s="38" t="n">
        <v>8</v>
      </c>
      <c r="H297" s="831" t="n">
        <v>10.8</v>
      </c>
      <c r="I297" s="831" t="n">
        <v>11.28</v>
      </c>
      <c r="J297" s="38" t="n">
        <v>56</v>
      </c>
      <c r="K297" s="38" t="inlineStr">
        <is>
          <t>8</t>
        </is>
      </c>
      <c r="L297" s="39" t="inlineStr">
        <is>
          <t>СК3</t>
        </is>
      </c>
      <c r="M297" s="39" t="n"/>
      <c r="N297" s="38" t="n">
        <v>55</v>
      </c>
      <c r="O297" s="10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7" s="833" t="n"/>
      <c r="Q297" s="833" t="n"/>
      <c r="R297" s="833" t="n"/>
      <c r="S297" s="798" t="n"/>
      <c r="T297" s="40" t="inlineStr"/>
      <c r="U297" s="40" t="inlineStr"/>
      <c r="V297" s="41" t="inlineStr">
        <is>
          <t>кг</t>
        </is>
      </c>
      <c r="W297" s="834" t="n">
        <v>0</v>
      </c>
      <c r="X297" s="835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9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SU001799</t>
        </is>
      </c>
      <c r="B298" s="64" t="inlineStr">
        <is>
          <t>P003673</t>
        </is>
      </c>
      <c r="C298" s="37" t="n">
        <v>4301011619</v>
      </c>
      <c r="D298" s="458" t="n">
        <v>4607091387452</v>
      </c>
      <c r="E298" s="798" t="n"/>
      <c r="F298" s="831" t="n">
        <v>1.45</v>
      </c>
      <c r="G298" s="38" t="n">
        <v>8</v>
      </c>
      <c r="H298" s="831" t="n">
        <v>11.6</v>
      </c>
      <c r="I298" s="831" t="n">
        <v>12.08</v>
      </c>
      <c r="J298" s="38" t="n">
        <v>56</v>
      </c>
      <c r="K298" s="38" t="inlineStr">
        <is>
          <t>8</t>
        </is>
      </c>
      <c r="L298" s="39" t="inlineStr">
        <is>
          <t>СК1</t>
        </is>
      </c>
      <c r="M298" s="39" t="n"/>
      <c r="N298" s="38" t="n">
        <v>55</v>
      </c>
      <c r="O298" s="101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8" s="833" t="n"/>
      <c r="Q298" s="833" t="n"/>
      <c r="R298" s="833" t="n"/>
      <c r="S298" s="798" t="n"/>
      <c r="T298" s="40" t="inlineStr"/>
      <c r="U298" s="40" t="inlineStr"/>
      <c r="V298" s="41" t="inlineStr">
        <is>
          <t>кг</t>
        </is>
      </c>
      <c r="W298" s="834" t="n">
        <v>0</v>
      </c>
      <c r="X298" s="835">
        <f>IFERROR(IF(W298="",0,CEILING((W298/$H298),1)*$H298),"")</f>
        <v/>
      </c>
      <c r="Y298" s="42">
        <f>IFERROR(IF(X298=0,"",ROUNDUP(X298/H298,0)*0.02175),"")</f>
        <v/>
      </c>
      <c r="Z298" s="69" t="inlineStr"/>
      <c r="AA298" s="70" t="inlineStr"/>
      <c r="AE298" s="80" t="n"/>
      <c r="BB298" s="260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SU001792</t>
        </is>
      </c>
      <c r="B299" s="64" t="inlineStr">
        <is>
          <t>P001792</t>
        </is>
      </c>
      <c r="C299" s="37" t="n">
        <v>4301011313</v>
      </c>
      <c r="D299" s="458" t="n">
        <v>4607091385984</v>
      </c>
      <c r="E299" s="798" t="n"/>
      <c r="F299" s="831" t="n">
        <v>1.35</v>
      </c>
      <c r="G299" s="38" t="n">
        <v>8</v>
      </c>
      <c r="H299" s="831" t="n">
        <v>10.8</v>
      </c>
      <c r="I299" s="831" t="n">
        <v>11.28</v>
      </c>
      <c r="J299" s="38" t="n">
        <v>56</v>
      </c>
      <c r="K299" s="38" t="inlineStr">
        <is>
          <t>8</t>
        </is>
      </c>
      <c r="L299" s="39" t="inlineStr">
        <is>
          <t>СК1</t>
        </is>
      </c>
      <c r="M299" s="39" t="n"/>
      <c r="N299" s="38" t="n">
        <v>55</v>
      </c>
      <c r="O299" s="10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9" s="833" t="n"/>
      <c r="Q299" s="833" t="n"/>
      <c r="R299" s="833" t="n"/>
      <c r="S299" s="798" t="n"/>
      <c r="T299" s="40" t="inlineStr"/>
      <c r="U299" s="40" t="inlineStr"/>
      <c r="V299" s="41" t="inlineStr">
        <is>
          <t>кг</t>
        </is>
      </c>
      <c r="W299" s="834" t="n">
        <v>0</v>
      </c>
      <c r="X299" s="835">
        <f>IFERROR(IF(W299="",0,CEILING((W299/$H299),1)*$H299),"")</f>
        <v/>
      </c>
      <c r="Y299" s="42">
        <f>IFERROR(IF(X299=0,"",ROUNDUP(X299/H299,0)*0.02175),"")</f>
        <v/>
      </c>
      <c r="Z299" s="69" t="inlineStr"/>
      <c r="AA299" s="70" t="inlineStr"/>
      <c r="AE299" s="80" t="n"/>
      <c r="BB299" s="261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 ht="27" customHeight="1">
      <c r="A300" s="64" t="inlineStr">
        <is>
          <t>SU001794</t>
        </is>
      </c>
      <c r="B300" s="64" t="inlineStr">
        <is>
          <t>P001794</t>
        </is>
      </c>
      <c r="C300" s="37" t="n">
        <v>4301011316</v>
      </c>
      <c r="D300" s="458" t="n">
        <v>4607091387438</v>
      </c>
      <c r="E300" s="798" t="n"/>
      <c r="F300" s="831" t="n">
        <v>0.5</v>
      </c>
      <c r="G300" s="38" t="n">
        <v>10</v>
      </c>
      <c r="H300" s="831" t="n">
        <v>5</v>
      </c>
      <c r="I300" s="831" t="n">
        <v>5.24</v>
      </c>
      <c r="J300" s="38" t="n">
        <v>120</v>
      </c>
      <c r="K300" s="38" t="inlineStr">
        <is>
          <t>12</t>
        </is>
      </c>
      <c r="L300" s="39" t="inlineStr">
        <is>
          <t>СК1</t>
        </is>
      </c>
      <c r="M300" s="39" t="n"/>
      <c r="N300" s="38" t="n">
        <v>55</v>
      </c>
      <c r="O300" s="10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300" s="833" t="n"/>
      <c r="Q300" s="833" t="n"/>
      <c r="R300" s="833" t="n"/>
      <c r="S300" s="798" t="n"/>
      <c r="T300" s="40" t="inlineStr"/>
      <c r="U300" s="40" t="inlineStr"/>
      <c r="V300" s="41" t="inlineStr">
        <is>
          <t>кг</t>
        </is>
      </c>
      <c r="W300" s="834" t="n">
        <v>0</v>
      </c>
      <c r="X300" s="835">
        <f>IFERROR(IF(W300="",0,CEILING((W300/$H300),1)*$H300),"")</f>
        <v/>
      </c>
      <c r="Y300" s="42">
        <f>IFERROR(IF(X300=0,"",ROUNDUP(X300/H300,0)*0.00937),"")</f>
        <v/>
      </c>
      <c r="Z300" s="69" t="inlineStr"/>
      <c r="AA300" s="70" t="inlineStr"/>
      <c r="AE300" s="80" t="n"/>
      <c r="BB300" s="262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SU001795</t>
        </is>
      </c>
      <c r="B301" s="64" t="inlineStr">
        <is>
          <t>P001795</t>
        </is>
      </c>
      <c r="C301" s="37" t="n">
        <v>4301011319</v>
      </c>
      <c r="D301" s="458" t="n">
        <v>4607091387469</v>
      </c>
      <c r="E301" s="798" t="n"/>
      <c r="F301" s="831" t="n">
        <v>0.5</v>
      </c>
      <c r="G301" s="38" t="n">
        <v>10</v>
      </c>
      <c r="H301" s="831" t="n">
        <v>5</v>
      </c>
      <c r="I301" s="831" t="n">
        <v>5.24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9" t="n"/>
      <c r="N301" s="38" t="n">
        <v>55</v>
      </c>
      <c r="O301" s="10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301" s="833" t="n"/>
      <c r="Q301" s="833" t="n"/>
      <c r="R301" s="833" t="n"/>
      <c r="S301" s="798" t="n"/>
      <c r="T301" s="40" t="inlineStr"/>
      <c r="U301" s="40" t="inlineStr"/>
      <c r="V301" s="41" t="inlineStr">
        <is>
          <t>кг</t>
        </is>
      </c>
      <c r="W301" s="834" t="n">
        <v>0</v>
      </c>
      <c r="X301" s="835">
        <f>IFERROR(IF(W301="",0,CEILING((W301/$H301),1)*$H301),"")</f>
        <v/>
      </c>
      <c r="Y301" s="42">
        <f>IFERROR(IF(X301=0,"",ROUNDUP(X301/H301,0)*0.00937),"")</f>
        <v/>
      </c>
      <c r="Z301" s="69" t="inlineStr"/>
      <c r="AA301" s="70" t="inlineStr"/>
      <c r="AE301" s="80" t="n"/>
      <c r="BB301" s="263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467" t="n"/>
      <c r="B302" s="785" t="n"/>
      <c r="C302" s="785" t="n"/>
      <c r="D302" s="785" t="n"/>
      <c r="E302" s="785" t="n"/>
      <c r="F302" s="785" t="n"/>
      <c r="G302" s="785" t="n"/>
      <c r="H302" s="785" t="n"/>
      <c r="I302" s="785" t="n"/>
      <c r="J302" s="785" t="n"/>
      <c r="K302" s="785" t="n"/>
      <c r="L302" s="785" t="n"/>
      <c r="M302" s="785" t="n"/>
      <c r="N302" s="837" t="n"/>
      <c r="O302" s="838" t="inlineStr">
        <is>
          <t>Итого</t>
        </is>
      </c>
      <c r="P302" s="805" t="n"/>
      <c r="Q302" s="805" t="n"/>
      <c r="R302" s="805" t="n"/>
      <c r="S302" s="805" t="n"/>
      <c r="T302" s="805" t="n"/>
      <c r="U302" s="806" t="n"/>
      <c r="V302" s="43" t="inlineStr">
        <is>
          <t>кор</t>
        </is>
      </c>
      <c r="W302" s="839">
        <f>IFERROR(W295/H295,"0")+IFERROR(W296/H296,"0")+IFERROR(W297/H297,"0")+IFERROR(W298/H298,"0")+IFERROR(W299/H299,"0")+IFERROR(W300/H300,"0")+IFERROR(W301/H301,"0")</f>
        <v/>
      </c>
      <c r="X302" s="839">
        <f>IFERROR(X295/H295,"0")+IFERROR(X296/H296,"0")+IFERROR(X297/H297,"0")+IFERROR(X298/H298,"0")+IFERROR(X299/H299,"0")+IFERROR(X300/H300,"0")+IFERROR(X301/H301,"0")</f>
        <v/>
      </c>
      <c r="Y302" s="839">
        <f>IFERROR(IF(Y295="",0,Y295),"0")+IFERROR(IF(Y296="",0,Y296),"0")+IFERROR(IF(Y297="",0,Y297),"0")+IFERROR(IF(Y298="",0,Y298),"0")+IFERROR(IF(Y299="",0,Y299),"0")+IFERROR(IF(Y300="",0,Y300),"0")+IFERROR(IF(Y301="",0,Y301),"0")</f>
        <v/>
      </c>
      <c r="Z302" s="840" t="n"/>
      <c r="AA302" s="840" t="n"/>
    </row>
    <row r="303">
      <c r="A303" s="785" t="n"/>
      <c r="B303" s="785" t="n"/>
      <c r="C303" s="785" t="n"/>
      <c r="D303" s="785" t="n"/>
      <c r="E303" s="785" t="n"/>
      <c r="F303" s="785" t="n"/>
      <c r="G303" s="785" t="n"/>
      <c r="H303" s="785" t="n"/>
      <c r="I303" s="785" t="n"/>
      <c r="J303" s="785" t="n"/>
      <c r="K303" s="785" t="n"/>
      <c r="L303" s="785" t="n"/>
      <c r="M303" s="785" t="n"/>
      <c r="N303" s="837" t="n"/>
      <c r="O303" s="838" t="inlineStr">
        <is>
          <t>Итого</t>
        </is>
      </c>
      <c r="P303" s="805" t="n"/>
      <c r="Q303" s="805" t="n"/>
      <c r="R303" s="805" t="n"/>
      <c r="S303" s="805" t="n"/>
      <c r="T303" s="805" t="n"/>
      <c r="U303" s="806" t="n"/>
      <c r="V303" s="43" t="inlineStr">
        <is>
          <t>кг</t>
        </is>
      </c>
      <c r="W303" s="839">
        <f>IFERROR(SUM(W295:W301),"0")</f>
        <v/>
      </c>
      <c r="X303" s="839">
        <f>IFERROR(SUM(X295:X301),"0")</f>
        <v/>
      </c>
      <c r="Y303" s="43" t="n"/>
      <c r="Z303" s="840" t="n"/>
      <c r="AA303" s="840" t="n"/>
    </row>
    <row r="304" ht="14.25" customHeight="1">
      <c r="A304" s="457" t="inlineStr">
        <is>
          <t>Копченые колбасы</t>
        </is>
      </c>
      <c r="B304" s="785" t="n"/>
      <c r="C304" s="785" t="n"/>
      <c r="D304" s="785" t="n"/>
      <c r="E304" s="785" t="n"/>
      <c r="F304" s="785" t="n"/>
      <c r="G304" s="785" t="n"/>
      <c r="H304" s="785" t="n"/>
      <c r="I304" s="785" t="n"/>
      <c r="J304" s="785" t="n"/>
      <c r="K304" s="785" t="n"/>
      <c r="L304" s="785" t="n"/>
      <c r="M304" s="785" t="n"/>
      <c r="N304" s="785" t="n"/>
      <c r="O304" s="785" t="n"/>
      <c r="P304" s="785" t="n"/>
      <c r="Q304" s="785" t="n"/>
      <c r="R304" s="785" t="n"/>
      <c r="S304" s="785" t="n"/>
      <c r="T304" s="785" t="n"/>
      <c r="U304" s="785" t="n"/>
      <c r="V304" s="785" t="n"/>
      <c r="W304" s="785" t="n"/>
      <c r="X304" s="785" t="n"/>
      <c r="Y304" s="785" t="n"/>
      <c r="Z304" s="457" t="n"/>
      <c r="AA304" s="457" t="n"/>
    </row>
    <row r="305" ht="27" customHeight="1">
      <c r="A305" s="64" t="inlineStr">
        <is>
          <t>SU001801</t>
        </is>
      </c>
      <c r="B305" s="64" t="inlineStr">
        <is>
          <t>P003014</t>
        </is>
      </c>
      <c r="C305" s="37" t="n">
        <v>4301031154</v>
      </c>
      <c r="D305" s="458" t="n">
        <v>4607091387292</v>
      </c>
      <c r="E305" s="798" t="n"/>
      <c r="F305" s="831" t="n">
        <v>0.73</v>
      </c>
      <c r="G305" s="38" t="n">
        <v>6</v>
      </c>
      <c r="H305" s="831" t="n">
        <v>4.38</v>
      </c>
      <c r="I305" s="831" t="n">
        <v>4.64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9" t="n"/>
      <c r="N305" s="38" t="n">
        <v>45</v>
      </c>
      <c r="O305" s="10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5" s="833" t="n"/>
      <c r="Q305" s="833" t="n"/>
      <c r="R305" s="833" t="n"/>
      <c r="S305" s="798" t="n"/>
      <c r="T305" s="40" t="inlineStr"/>
      <c r="U305" s="40" t="inlineStr"/>
      <c r="V305" s="41" t="inlineStr">
        <is>
          <t>кг</t>
        </is>
      </c>
      <c r="W305" s="834" t="n">
        <v>0</v>
      </c>
      <c r="X305" s="835">
        <f>IFERROR(IF(W305="",0,CEILING((W305/$H305),1)*$H305),"")</f>
        <v/>
      </c>
      <c r="Y305" s="42">
        <f>IFERROR(IF(X305=0,"",ROUNDUP(X305/H305,0)*0.00753),"")</f>
        <v/>
      </c>
      <c r="Z305" s="69" t="inlineStr"/>
      <c r="AA305" s="70" t="inlineStr"/>
      <c r="AE305" s="80" t="n"/>
      <c r="BB305" s="264" t="inlineStr">
        <is>
          <t>КИ</t>
        </is>
      </c>
      <c r="BL305" s="80">
        <f>IFERROR(W305*I305/H305,"0")</f>
        <v/>
      </c>
      <c r="BM305" s="80">
        <f>IFERROR(X305*I305/H305,"0")</f>
        <v/>
      </c>
      <c r="BN305" s="80">
        <f>IFERROR(1/J305*(W305/H305),"0")</f>
        <v/>
      </c>
      <c r="BO305" s="80">
        <f>IFERROR(1/J305*(X305/H305),"0")</f>
        <v/>
      </c>
    </row>
    <row r="306" ht="27" customHeight="1">
      <c r="A306" s="64" t="inlineStr">
        <is>
          <t>SU000231</t>
        </is>
      </c>
      <c r="B306" s="64" t="inlineStr">
        <is>
          <t>P003015</t>
        </is>
      </c>
      <c r="C306" s="37" t="n">
        <v>4301031155</v>
      </c>
      <c r="D306" s="458" t="n">
        <v>4607091387315</v>
      </c>
      <c r="E306" s="798" t="n"/>
      <c r="F306" s="831" t="n">
        <v>0.7</v>
      </c>
      <c r="G306" s="38" t="n">
        <v>4</v>
      </c>
      <c r="H306" s="831" t="n">
        <v>2.8</v>
      </c>
      <c r="I306" s="831" t="n">
        <v>3.048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9" t="n"/>
      <c r="N306" s="38" t="n">
        <v>45</v>
      </c>
      <c r="O306" s="10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6" s="833" t="n"/>
      <c r="Q306" s="833" t="n"/>
      <c r="R306" s="833" t="n"/>
      <c r="S306" s="798" t="n"/>
      <c r="T306" s="40" t="inlineStr"/>
      <c r="U306" s="40" t="inlineStr"/>
      <c r="V306" s="41" t="inlineStr">
        <is>
          <t>кг</t>
        </is>
      </c>
      <c r="W306" s="834" t="n">
        <v>0</v>
      </c>
      <c r="X306" s="835">
        <f>IFERROR(IF(W306="",0,CEILING((W306/$H306),1)*$H306),"")</f>
        <v/>
      </c>
      <c r="Y306" s="42">
        <f>IFERROR(IF(X306=0,"",ROUNDUP(X306/H306,0)*0.00753),"")</f>
        <v/>
      </c>
      <c r="Z306" s="69" t="inlineStr"/>
      <c r="AA306" s="70" t="inlineStr"/>
      <c r="AE306" s="80" t="n"/>
      <c r="BB306" s="265" t="inlineStr">
        <is>
          <t>КИ</t>
        </is>
      </c>
      <c r="BL306" s="80">
        <f>IFERROR(W306*I306/H306,"0")</f>
        <v/>
      </c>
      <c r="BM306" s="80">
        <f>IFERROR(X306*I306/H306,"0")</f>
        <v/>
      </c>
      <c r="BN306" s="80">
        <f>IFERROR(1/J306*(W306/H306),"0")</f>
        <v/>
      </c>
      <c r="BO306" s="80">
        <f>IFERROR(1/J306*(X306/H306),"0")</f>
        <v/>
      </c>
    </row>
    <row r="307">
      <c r="A307" s="467" t="n"/>
      <c r="B307" s="785" t="n"/>
      <c r="C307" s="785" t="n"/>
      <c r="D307" s="785" t="n"/>
      <c r="E307" s="785" t="n"/>
      <c r="F307" s="785" t="n"/>
      <c r="G307" s="785" t="n"/>
      <c r="H307" s="785" t="n"/>
      <c r="I307" s="785" t="n"/>
      <c r="J307" s="785" t="n"/>
      <c r="K307" s="785" t="n"/>
      <c r="L307" s="785" t="n"/>
      <c r="M307" s="785" t="n"/>
      <c r="N307" s="837" t="n"/>
      <c r="O307" s="838" t="inlineStr">
        <is>
          <t>Итого</t>
        </is>
      </c>
      <c r="P307" s="805" t="n"/>
      <c r="Q307" s="805" t="n"/>
      <c r="R307" s="805" t="n"/>
      <c r="S307" s="805" t="n"/>
      <c r="T307" s="805" t="n"/>
      <c r="U307" s="806" t="n"/>
      <c r="V307" s="43" t="inlineStr">
        <is>
          <t>кор</t>
        </is>
      </c>
      <c r="W307" s="839">
        <f>IFERROR(W305/H305,"0")+IFERROR(W306/H306,"0")</f>
        <v/>
      </c>
      <c r="X307" s="839">
        <f>IFERROR(X305/H305,"0")+IFERROR(X306/H306,"0")</f>
        <v/>
      </c>
      <c r="Y307" s="839">
        <f>IFERROR(IF(Y305="",0,Y305),"0")+IFERROR(IF(Y306="",0,Y306),"0")</f>
        <v/>
      </c>
      <c r="Z307" s="840" t="n"/>
      <c r="AA307" s="840" t="n"/>
    </row>
    <row r="308">
      <c r="A308" s="785" t="n"/>
      <c r="B308" s="785" t="n"/>
      <c r="C308" s="785" t="n"/>
      <c r="D308" s="785" t="n"/>
      <c r="E308" s="785" t="n"/>
      <c r="F308" s="785" t="n"/>
      <c r="G308" s="785" t="n"/>
      <c r="H308" s="785" t="n"/>
      <c r="I308" s="785" t="n"/>
      <c r="J308" s="785" t="n"/>
      <c r="K308" s="785" t="n"/>
      <c r="L308" s="785" t="n"/>
      <c r="M308" s="785" t="n"/>
      <c r="N308" s="837" t="n"/>
      <c r="O308" s="838" t="inlineStr">
        <is>
          <t>Итого</t>
        </is>
      </c>
      <c r="P308" s="805" t="n"/>
      <c r="Q308" s="805" t="n"/>
      <c r="R308" s="805" t="n"/>
      <c r="S308" s="805" t="n"/>
      <c r="T308" s="805" t="n"/>
      <c r="U308" s="806" t="n"/>
      <c r="V308" s="43" t="inlineStr">
        <is>
          <t>кг</t>
        </is>
      </c>
      <c r="W308" s="839">
        <f>IFERROR(SUM(W305:W306),"0")</f>
        <v/>
      </c>
      <c r="X308" s="839">
        <f>IFERROR(SUM(X305:X306),"0")</f>
        <v/>
      </c>
      <c r="Y308" s="43" t="n"/>
      <c r="Z308" s="840" t="n"/>
      <c r="AA308" s="840" t="n"/>
    </row>
    <row r="309" ht="16.5" customHeight="1">
      <c r="A309" s="456" t="inlineStr">
        <is>
          <t>Бавария</t>
        </is>
      </c>
      <c r="B309" s="785" t="n"/>
      <c r="C309" s="785" t="n"/>
      <c r="D309" s="785" t="n"/>
      <c r="E309" s="785" t="n"/>
      <c r="F309" s="785" t="n"/>
      <c r="G309" s="785" t="n"/>
      <c r="H309" s="785" t="n"/>
      <c r="I309" s="785" t="n"/>
      <c r="J309" s="785" t="n"/>
      <c r="K309" s="785" t="n"/>
      <c r="L309" s="785" t="n"/>
      <c r="M309" s="785" t="n"/>
      <c r="N309" s="785" t="n"/>
      <c r="O309" s="785" t="n"/>
      <c r="P309" s="785" t="n"/>
      <c r="Q309" s="785" t="n"/>
      <c r="R309" s="785" t="n"/>
      <c r="S309" s="785" t="n"/>
      <c r="T309" s="785" t="n"/>
      <c r="U309" s="785" t="n"/>
      <c r="V309" s="785" t="n"/>
      <c r="W309" s="785" t="n"/>
      <c r="X309" s="785" t="n"/>
      <c r="Y309" s="785" t="n"/>
      <c r="Z309" s="456" t="n"/>
      <c r="AA309" s="456" t="n"/>
    </row>
    <row r="310" ht="14.25" customHeight="1">
      <c r="A310" s="457" t="inlineStr">
        <is>
          <t>Копченые колбасы</t>
        </is>
      </c>
      <c r="B310" s="785" t="n"/>
      <c r="C310" s="785" t="n"/>
      <c r="D310" s="785" t="n"/>
      <c r="E310" s="785" t="n"/>
      <c r="F310" s="785" t="n"/>
      <c r="G310" s="785" t="n"/>
      <c r="H310" s="785" t="n"/>
      <c r="I310" s="785" t="n"/>
      <c r="J310" s="785" t="n"/>
      <c r="K310" s="785" t="n"/>
      <c r="L310" s="785" t="n"/>
      <c r="M310" s="785" t="n"/>
      <c r="N310" s="785" t="n"/>
      <c r="O310" s="785" t="n"/>
      <c r="P310" s="785" t="n"/>
      <c r="Q310" s="785" t="n"/>
      <c r="R310" s="785" t="n"/>
      <c r="S310" s="785" t="n"/>
      <c r="T310" s="785" t="n"/>
      <c r="U310" s="785" t="n"/>
      <c r="V310" s="785" t="n"/>
      <c r="W310" s="785" t="n"/>
      <c r="X310" s="785" t="n"/>
      <c r="Y310" s="785" t="n"/>
      <c r="Z310" s="457" t="n"/>
      <c r="AA310" s="457" t="n"/>
    </row>
    <row r="311" ht="27" customHeight="1">
      <c r="A311" s="64" t="inlineStr">
        <is>
          <t>SU002252</t>
        </is>
      </c>
      <c r="B311" s="64" t="inlineStr">
        <is>
          <t>P002461</t>
        </is>
      </c>
      <c r="C311" s="37" t="n">
        <v>4301031066</v>
      </c>
      <c r="D311" s="458" t="n">
        <v>4607091383836</v>
      </c>
      <c r="E311" s="798" t="n"/>
      <c r="F311" s="831" t="n">
        <v>0.3</v>
      </c>
      <c r="G311" s="38" t="n">
        <v>6</v>
      </c>
      <c r="H311" s="831" t="n">
        <v>1.8</v>
      </c>
      <c r="I311" s="831" t="n">
        <v>2.048</v>
      </c>
      <c r="J311" s="38" t="n">
        <v>156</v>
      </c>
      <c r="K311" s="38" t="inlineStr">
        <is>
          <t>12</t>
        </is>
      </c>
      <c r="L311" s="39" t="inlineStr">
        <is>
          <t>СК2</t>
        </is>
      </c>
      <c r="M311" s="39" t="n"/>
      <c r="N311" s="38" t="n">
        <v>40</v>
      </c>
      <c r="O311" s="10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1" s="833" t="n"/>
      <c r="Q311" s="833" t="n"/>
      <c r="R311" s="833" t="n"/>
      <c r="S311" s="798" t="n"/>
      <c r="T311" s="40" t="inlineStr"/>
      <c r="U311" s="40" t="inlineStr"/>
      <c r="V311" s="41" t="inlineStr">
        <is>
          <t>кг</t>
        </is>
      </c>
      <c r="W311" s="834" t="n">
        <v>0</v>
      </c>
      <c r="X311" s="835">
        <f>IFERROR(IF(W311="",0,CEILING((W311/$H311),1)*$H311),"")</f>
        <v/>
      </c>
      <c r="Y311" s="42">
        <f>IFERROR(IF(X311=0,"",ROUNDUP(X311/H311,0)*0.00753),"")</f>
        <v/>
      </c>
      <c r="Z311" s="69" t="inlineStr"/>
      <c r="AA311" s="70" t="inlineStr"/>
      <c r="AE311" s="80" t="n"/>
      <c r="BB311" s="266" t="inlineStr">
        <is>
          <t>КИ</t>
        </is>
      </c>
      <c r="BL311" s="80">
        <f>IFERROR(W311*I311/H311,"0")</f>
        <v/>
      </c>
      <c r="BM311" s="80">
        <f>IFERROR(X311*I311/H311,"0")</f>
        <v/>
      </c>
      <c r="BN311" s="80">
        <f>IFERROR(1/J311*(W311/H311),"0")</f>
        <v/>
      </c>
      <c r="BO311" s="80">
        <f>IFERROR(1/J311*(X311/H311),"0")</f>
        <v/>
      </c>
    </row>
    <row r="312">
      <c r="A312" s="467" t="n"/>
      <c r="B312" s="785" t="n"/>
      <c r="C312" s="785" t="n"/>
      <c r="D312" s="785" t="n"/>
      <c r="E312" s="785" t="n"/>
      <c r="F312" s="785" t="n"/>
      <c r="G312" s="785" t="n"/>
      <c r="H312" s="785" t="n"/>
      <c r="I312" s="785" t="n"/>
      <c r="J312" s="785" t="n"/>
      <c r="K312" s="785" t="n"/>
      <c r="L312" s="785" t="n"/>
      <c r="M312" s="785" t="n"/>
      <c r="N312" s="837" t="n"/>
      <c r="O312" s="838" t="inlineStr">
        <is>
          <t>Итого</t>
        </is>
      </c>
      <c r="P312" s="805" t="n"/>
      <c r="Q312" s="805" t="n"/>
      <c r="R312" s="805" t="n"/>
      <c r="S312" s="805" t="n"/>
      <c r="T312" s="805" t="n"/>
      <c r="U312" s="806" t="n"/>
      <c r="V312" s="43" t="inlineStr">
        <is>
          <t>кор</t>
        </is>
      </c>
      <c r="W312" s="839">
        <f>IFERROR(W311/H311,"0")</f>
        <v/>
      </c>
      <c r="X312" s="839">
        <f>IFERROR(X311/H311,"0")</f>
        <v/>
      </c>
      <c r="Y312" s="839">
        <f>IFERROR(IF(Y311="",0,Y311),"0")</f>
        <v/>
      </c>
      <c r="Z312" s="840" t="n"/>
      <c r="AA312" s="840" t="n"/>
    </row>
    <row r="313">
      <c r="A313" s="785" t="n"/>
      <c r="B313" s="785" t="n"/>
      <c r="C313" s="785" t="n"/>
      <c r="D313" s="785" t="n"/>
      <c r="E313" s="785" t="n"/>
      <c r="F313" s="785" t="n"/>
      <c r="G313" s="785" t="n"/>
      <c r="H313" s="785" t="n"/>
      <c r="I313" s="785" t="n"/>
      <c r="J313" s="785" t="n"/>
      <c r="K313" s="785" t="n"/>
      <c r="L313" s="785" t="n"/>
      <c r="M313" s="785" t="n"/>
      <c r="N313" s="837" t="n"/>
      <c r="O313" s="838" t="inlineStr">
        <is>
          <t>Итого</t>
        </is>
      </c>
      <c r="P313" s="805" t="n"/>
      <c r="Q313" s="805" t="n"/>
      <c r="R313" s="805" t="n"/>
      <c r="S313" s="805" t="n"/>
      <c r="T313" s="805" t="n"/>
      <c r="U313" s="806" t="n"/>
      <c r="V313" s="43" t="inlineStr">
        <is>
          <t>кг</t>
        </is>
      </c>
      <c r="W313" s="839">
        <f>IFERROR(SUM(W311:W311),"0")</f>
        <v/>
      </c>
      <c r="X313" s="839">
        <f>IFERROR(SUM(X311:X311),"0")</f>
        <v/>
      </c>
      <c r="Y313" s="43" t="n"/>
      <c r="Z313" s="840" t="n"/>
      <c r="AA313" s="840" t="n"/>
    </row>
    <row r="314" ht="14.25" customHeight="1">
      <c r="A314" s="457" t="inlineStr">
        <is>
          <t>Сосиски</t>
        </is>
      </c>
      <c r="B314" s="785" t="n"/>
      <c r="C314" s="785" t="n"/>
      <c r="D314" s="785" t="n"/>
      <c r="E314" s="785" t="n"/>
      <c r="F314" s="785" t="n"/>
      <c r="G314" s="785" t="n"/>
      <c r="H314" s="785" t="n"/>
      <c r="I314" s="785" t="n"/>
      <c r="J314" s="785" t="n"/>
      <c r="K314" s="785" t="n"/>
      <c r="L314" s="785" t="n"/>
      <c r="M314" s="785" t="n"/>
      <c r="N314" s="785" t="n"/>
      <c r="O314" s="785" t="n"/>
      <c r="P314" s="785" t="n"/>
      <c r="Q314" s="785" t="n"/>
      <c r="R314" s="785" t="n"/>
      <c r="S314" s="785" t="n"/>
      <c r="T314" s="785" t="n"/>
      <c r="U314" s="785" t="n"/>
      <c r="V314" s="785" t="n"/>
      <c r="W314" s="785" t="n"/>
      <c r="X314" s="785" t="n"/>
      <c r="Y314" s="785" t="n"/>
      <c r="Z314" s="457" t="n"/>
      <c r="AA314" s="457" t="n"/>
    </row>
    <row r="315" ht="27" customHeight="1">
      <c r="A315" s="64" t="inlineStr">
        <is>
          <t>SU001835</t>
        </is>
      </c>
      <c r="B315" s="64" t="inlineStr">
        <is>
          <t>P002202</t>
        </is>
      </c>
      <c r="C315" s="37" t="n">
        <v>4301051142</v>
      </c>
      <c r="D315" s="458" t="n">
        <v>4607091387919</v>
      </c>
      <c r="E315" s="798" t="n"/>
      <c r="F315" s="831" t="n">
        <v>1.35</v>
      </c>
      <c r="G315" s="38" t="n">
        <v>6</v>
      </c>
      <c r="H315" s="831" t="n">
        <v>8.1</v>
      </c>
      <c r="I315" s="831" t="n">
        <v>8.664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9" t="n"/>
      <c r="N315" s="38" t="n">
        <v>45</v>
      </c>
      <c r="O315" s="10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5" s="833" t="n"/>
      <c r="Q315" s="833" t="n"/>
      <c r="R315" s="833" t="n"/>
      <c r="S315" s="798" t="n"/>
      <c r="T315" s="40" t="inlineStr"/>
      <c r="U315" s="40" t="inlineStr"/>
      <c r="V315" s="41" t="inlineStr">
        <is>
          <t>кг</t>
        </is>
      </c>
      <c r="W315" s="834" t="n">
        <v>0</v>
      </c>
      <c r="X315" s="835">
        <f>IFERROR(IF(W315="",0,CEILING((W315/$H315),1)*$H315),"")</f>
        <v/>
      </c>
      <c r="Y315" s="42">
        <f>IFERROR(IF(X315=0,"",ROUNDUP(X315/H315,0)*0.02175),"")</f>
        <v/>
      </c>
      <c r="Z315" s="69" t="inlineStr"/>
      <c r="AA315" s="70" t="inlineStr"/>
      <c r="AE315" s="80" t="n"/>
      <c r="BB315" s="267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 ht="27" customHeight="1">
      <c r="A316" s="64" t="inlineStr">
        <is>
          <t>SU003167</t>
        </is>
      </c>
      <c r="B316" s="64" t="inlineStr">
        <is>
          <t>P003363</t>
        </is>
      </c>
      <c r="C316" s="37" t="n">
        <v>4301051461</v>
      </c>
      <c r="D316" s="458" t="n">
        <v>4680115883604</v>
      </c>
      <c r="E316" s="798" t="n"/>
      <c r="F316" s="831" t="n">
        <v>0.35</v>
      </c>
      <c r="G316" s="38" t="n">
        <v>6</v>
      </c>
      <c r="H316" s="831" t="n">
        <v>2.1</v>
      </c>
      <c r="I316" s="831" t="n">
        <v>2.372</v>
      </c>
      <c r="J316" s="38" t="n">
        <v>156</v>
      </c>
      <c r="K316" s="38" t="inlineStr">
        <is>
          <t>12</t>
        </is>
      </c>
      <c r="L316" s="39" t="inlineStr">
        <is>
          <t>СК3</t>
        </is>
      </c>
      <c r="M316" s="39" t="n"/>
      <c r="N316" s="38" t="n">
        <v>45</v>
      </c>
      <c r="O316" s="1026">
        <f>HYPERLINK("https://abi.ru/products/Охлажденные/Стародворье/Бордо/Сосиски/P003363/","Сосиски «Баварские» Фикс.вес 0,35 П/а ТМ «Стародворье»")</f>
        <v/>
      </c>
      <c r="P316" s="833" t="n"/>
      <c r="Q316" s="833" t="n"/>
      <c r="R316" s="833" t="n"/>
      <c r="S316" s="798" t="n"/>
      <c r="T316" s="40" t="inlineStr"/>
      <c r="U316" s="40" t="inlineStr"/>
      <c r="V316" s="41" t="inlineStr">
        <is>
          <t>кг</t>
        </is>
      </c>
      <c r="W316" s="834" t="n">
        <v>525</v>
      </c>
      <c r="X316" s="835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68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 ht="27" customHeight="1">
      <c r="A317" s="64" t="inlineStr">
        <is>
          <t>SU003168</t>
        </is>
      </c>
      <c r="B317" s="64" t="inlineStr">
        <is>
          <t>P003364</t>
        </is>
      </c>
      <c r="C317" s="37" t="n">
        <v>4301051485</v>
      </c>
      <c r="D317" s="458" t="n">
        <v>4680115883567</v>
      </c>
      <c r="E317" s="798" t="n"/>
      <c r="F317" s="831" t="n">
        <v>0.35</v>
      </c>
      <c r="G317" s="38" t="n">
        <v>6</v>
      </c>
      <c r="H317" s="831" t="n">
        <v>2.1</v>
      </c>
      <c r="I317" s="831" t="n">
        <v>2.36</v>
      </c>
      <c r="J317" s="38" t="n">
        <v>156</v>
      </c>
      <c r="K317" s="38" t="inlineStr">
        <is>
          <t>12</t>
        </is>
      </c>
      <c r="L317" s="39" t="inlineStr">
        <is>
          <t>СК2</t>
        </is>
      </c>
      <c r="M317" s="39" t="n"/>
      <c r="N317" s="38" t="n">
        <v>40</v>
      </c>
      <c r="O317" s="102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7" s="833" t="n"/>
      <c r="Q317" s="833" t="n"/>
      <c r="R317" s="833" t="n"/>
      <c r="S317" s="798" t="n"/>
      <c r="T317" s="40" t="inlineStr"/>
      <c r="U317" s="40" t="inlineStr"/>
      <c r="V317" s="41" t="inlineStr">
        <is>
          <t>кг</t>
        </is>
      </c>
      <c r="W317" s="834" t="n">
        <v>0</v>
      </c>
      <c r="X317" s="835">
        <f>IFERROR(IF(W317="",0,CEILING((W317/$H317),1)*$H317),"")</f>
        <v/>
      </c>
      <c r="Y317" s="42">
        <f>IFERROR(IF(X317=0,"",ROUNDUP(X317/H317,0)*0.00753),"")</f>
        <v/>
      </c>
      <c r="Z317" s="69" t="inlineStr"/>
      <c r="AA317" s="70" t="inlineStr"/>
      <c r="AE317" s="80" t="n"/>
      <c r="BB317" s="269" t="inlineStr">
        <is>
          <t>КИ</t>
        </is>
      </c>
      <c r="BL317" s="80">
        <f>IFERROR(W317*I317/H317,"0")</f>
        <v/>
      </c>
      <c r="BM317" s="80">
        <f>IFERROR(X317*I317/H317,"0")</f>
        <v/>
      </c>
      <c r="BN317" s="80">
        <f>IFERROR(1/J317*(W317/H317),"0")</f>
        <v/>
      </c>
      <c r="BO317" s="80">
        <f>IFERROR(1/J317*(X317/H317),"0")</f>
        <v/>
      </c>
    </row>
    <row r="318">
      <c r="A318" s="467" t="n"/>
      <c r="B318" s="785" t="n"/>
      <c r="C318" s="785" t="n"/>
      <c r="D318" s="785" t="n"/>
      <c r="E318" s="785" t="n"/>
      <c r="F318" s="785" t="n"/>
      <c r="G318" s="785" t="n"/>
      <c r="H318" s="785" t="n"/>
      <c r="I318" s="785" t="n"/>
      <c r="J318" s="785" t="n"/>
      <c r="K318" s="785" t="n"/>
      <c r="L318" s="785" t="n"/>
      <c r="M318" s="785" t="n"/>
      <c r="N318" s="837" t="n"/>
      <c r="O318" s="838" t="inlineStr">
        <is>
          <t>Итого</t>
        </is>
      </c>
      <c r="P318" s="805" t="n"/>
      <c r="Q318" s="805" t="n"/>
      <c r="R318" s="805" t="n"/>
      <c r="S318" s="805" t="n"/>
      <c r="T318" s="805" t="n"/>
      <c r="U318" s="806" t="n"/>
      <c r="V318" s="43" t="inlineStr">
        <is>
          <t>кор</t>
        </is>
      </c>
      <c r="W318" s="839">
        <f>IFERROR(W315/H315,"0")+IFERROR(W316/H316,"0")+IFERROR(W317/H317,"0")</f>
        <v/>
      </c>
      <c r="X318" s="839">
        <f>IFERROR(X315/H315,"0")+IFERROR(X316/H316,"0")+IFERROR(X317/H317,"0")</f>
        <v/>
      </c>
      <c r="Y318" s="839">
        <f>IFERROR(IF(Y315="",0,Y315),"0")+IFERROR(IF(Y316="",0,Y316),"0")+IFERROR(IF(Y317="",0,Y317),"0")</f>
        <v/>
      </c>
      <c r="Z318" s="840" t="n"/>
      <c r="AA318" s="840" t="n"/>
    </row>
    <row r="319">
      <c r="A319" s="785" t="n"/>
      <c r="B319" s="785" t="n"/>
      <c r="C319" s="785" t="n"/>
      <c r="D319" s="785" t="n"/>
      <c r="E319" s="785" t="n"/>
      <c r="F319" s="785" t="n"/>
      <c r="G319" s="785" t="n"/>
      <c r="H319" s="785" t="n"/>
      <c r="I319" s="785" t="n"/>
      <c r="J319" s="785" t="n"/>
      <c r="K319" s="785" t="n"/>
      <c r="L319" s="785" t="n"/>
      <c r="M319" s="785" t="n"/>
      <c r="N319" s="837" t="n"/>
      <c r="O319" s="838" t="inlineStr">
        <is>
          <t>Итого</t>
        </is>
      </c>
      <c r="P319" s="805" t="n"/>
      <c r="Q319" s="805" t="n"/>
      <c r="R319" s="805" t="n"/>
      <c r="S319" s="805" t="n"/>
      <c r="T319" s="805" t="n"/>
      <c r="U319" s="806" t="n"/>
      <c r="V319" s="43" t="inlineStr">
        <is>
          <t>кг</t>
        </is>
      </c>
      <c r="W319" s="839">
        <f>IFERROR(SUM(W315:W317),"0")</f>
        <v/>
      </c>
      <c r="X319" s="839">
        <f>IFERROR(SUM(X315:X317),"0")</f>
        <v/>
      </c>
      <c r="Y319" s="43" t="n"/>
      <c r="Z319" s="840" t="n"/>
      <c r="AA319" s="840" t="n"/>
    </row>
    <row r="320" ht="14.25" customHeight="1">
      <c r="A320" s="457" t="inlineStr">
        <is>
          <t>Сардельки</t>
        </is>
      </c>
      <c r="B320" s="785" t="n"/>
      <c r="C320" s="785" t="n"/>
      <c r="D320" s="785" t="n"/>
      <c r="E320" s="785" t="n"/>
      <c r="F320" s="785" t="n"/>
      <c r="G320" s="785" t="n"/>
      <c r="H320" s="785" t="n"/>
      <c r="I320" s="785" t="n"/>
      <c r="J320" s="785" t="n"/>
      <c r="K320" s="785" t="n"/>
      <c r="L320" s="785" t="n"/>
      <c r="M320" s="785" t="n"/>
      <c r="N320" s="785" t="n"/>
      <c r="O320" s="785" t="n"/>
      <c r="P320" s="785" t="n"/>
      <c r="Q320" s="785" t="n"/>
      <c r="R320" s="785" t="n"/>
      <c r="S320" s="785" t="n"/>
      <c r="T320" s="785" t="n"/>
      <c r="U320" s="785" t="n"/>
      <c r="V320" s="785" t="n"/>
      <c r="W320" s="785" t="n"/>
      <c r="X320" s="785" t="n"/>
      <c r="Y320" s="785" t="n"/>
      <c r="Z320" s="457" t="n"/>
      <c r="AA320" s="457" t="n"/>
    </row>
    <row r="321" ht="27" customHeight="1">
      <c r="A321" s="64" t="inlineStr">
        <is>
          <t>SU002173</t>
        </is>
      </c>
      <c r="B321" s="64" t="inlineStr">
        <is>
          <t>P002361</t>
        </is>
      </c>
      <c r="C321" s="37" t="n">
        <v>4301060324</v>
      </c>
      <c r="D321" s="458" t="n">
        <v>4607091388831</v>
      </c>
      <c r="E321" s="798" t="n"/>
      <c r="F321" s="831" t="n">
        <v>0.38</v>
      </c>
      <c r="G321" s="38" t="n">
        <v>6</v>
      </c>
      <c r="H321" s="831" t="n">
        <v>2.28</v>
      </c>
      <c r="I321" s="831" t="n">
        <v>2.552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9" t="n"/>
      <c r="N321" s="38" t="n">
        <v>40</v>
      </c>
      <c r="O321" s="10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21" s="833" t="n"/>
      <c r="Q321" s="833" t="n"/>
      <c r="R321" s="833" t="n"/>
      <c r="S321" s="798" t="n"/>
      <c r="T321" s="40" t="inlineStr"/>
      <c r="U321" s="40" t="inlineStr"/>
      <c r="V321" s="41" t="inlineStr">
        <is>
          <t>кг</t>
        </is>
      </c>
      <c r="W321" s="834" t="n">
        <v>0</v>
      </c>
      <c r="X321" s="835">
        <f>IFERROR(IF(W321="",0,CEILING((W321/$H321),1)*$H321),"")</f>
        <v/>
      </c>
      <c r="Y321" s="42">
        <f>IFERROR(IF(X321=0,"",ROUNDUP(X321/H321,0)*0.00753),"")</f>
        <v/>
      </c>
      <c r="Z321" s="69" t="inlineStr"/>
      <c r="AA321" s="70" t="inlineStr"/>
      <c r="AE321" s="80" t="n"/>
      <c r="BB321" s="270" t="inlineStr">
        <is>
          <t>КИ</t>
        </is>
      </c>
      <c r="BL321" s="80">
        <f>IFERROR(W321*I321/H321,"0")</f>
        <v/>
      </c>
      <c r="BM321" s="80">
        <f>IFERROR(X321*I321/H321,"0")</f>
        <v/>
      </c>
      <c r="BN321" s="80">
        <f>IFERROR(1/J321*(W321/H321),"0")</f>
        <v/>
      </c>
      <c r="BO321" s="80">
        <f>IFERROR(1/J321*(X321/H321),"0")</f>
        <v/>
      </c>
    </row>
    <row r="322">
      <c r="A322" s="467" t="n"/>
      <c r="B322" s="785" t="n"/>
      <c r="C322" s="785" t="n"/>
      <c r="D322" s="785" t="n"/>
      <c r="E322" s="785" t="n"/>
      <c r="F322" s="785" t="n"/>
      <c r="G322" s="785" t="n"/>
      <c r="H322" s="785" t="n"/>
      <c r="I322" s="785" t="n"/>
      <c r="J322" s="785" t="n"/>
      <c r="K322" s="785" t="n"/>
      <c r="L322" s="785" t="n"/>
      <c r="M322" s="785" t="n"/>
      <c r="N322" s="837" t="n"/>
      <c r="O322" s="838" t="inlineStr">
        <is>
          <t>Итого</t>
        </is>
      </c>
      <c r="P322" s="805" t="n"/>
      <c r="Q322" s="805" t="n"/>
      <c r="R322" s="805" t="n"/>
      <c r="S322" s="805" t="n"/>
      <c r="T322" s="805" t="n"/>
      <c r="U322" s="806" t="n"/>
      <c r="V322" s="43" t="inlineStr">
        <is>
          <t>кор</t>
        </is>
      </c>
      <c r="W322" s="839">
        <f>IFERROR(W321/H321,"0")</f>
        <v/>
      </c>
      <c r="X322" s="839">
        <f>IFERROR(X321/H321,"0")</f>
        <v/>
      </c>
      <c r="Y322" s="839">
        <f>IFERROR(IF(Y321="",0,Y321),"0")</f>
        <v/>
      </c>
      <c r="Z322" s="840" t="n"/>
      <c r="AA322" s="840" t="n"/>
    </row>
    <row r="323">
      <c r="A323" s="785" t="n"/>
      <c r="B323" s="785" t="n"/>
      <c r="C323" s="785" t="n"/>
      <c r="D323" s="785" t="n"/>
      <c r="E323" s="785" t="n"/>
      <c r="F323" s="785" t="n"/>
      <c r="G323" s="785" t="n"/>
      <c r="H323" s="785" t="n"/>
      <c r="I323" s="785" t="n"/>
      <c r="J323" s="785" t="n"/>
      <c r="K323" s="785" t="n"/>
      <c r="L323" s="785" t="n"/>
      <c r="M323" s="785" t="n"/>
      <c r="N323" s="837" t="n"/>
      <c r="O323" s="838" t="inlineStr">
        <is>
          <t>Итого</t>
        </is>
      </c>
      <c r="P323" s="805" t="n"/>
      <c r="Q323" s="805" t="n"/>
      <c r="R323" s="805" t="n"/>
      <c r="S323" s="805" t="n"/>
      <c r="T323" s="805" t="n"/>
      <c r="U323" s="806" t="n"/>
      <c r="V323" s="43" t="inlineStr">
        <is>
          <t>кг</t>
        </is>
      </c>
      <c r="W323" s="839">
        <f>IFERROR(SUM(W321:W321),"0")</f>
        <v/>
      </c>
      <c r="X323" s="839">
        <f>IFERROR(SUM(X321:X321),"0")</f>
        <v/>
      </c>
      <c r="Y323" s="43" t="n"/>
      <c r="Z323" s="840" t="n"/>
      <c r="AA323" s="840" t="n"/>
    </row>
    <row r="324" ht="14.25" customHeight="1">
      <c r="A324" s="457" t="inlineStr">
        <is>
          <t>Сырокопченые колбасы</t>
        </is>
      </c>
      <c r="B324" s="785" t="n"/>
      <c r="C324" s="785" t="n"/>
      <c r="D324" s="785" t="n"/>
      <c r="E324" s="785" t="n"/>
      <c r="F324" s="785" t="n"/>
      <c r="G324" s="785" t="n"/>
      <c r="H324" s="785" t="n"/>
      <c r="I324" s="785" t="n"/>
      <c r="J324" s="785" t="n"/>
      <c r="K324" s="785" t="n"/>
      <c r="L324" s="785" t="n"/>
      <c r="M324" s="785" t="n"/>
      <c r="N324" s="785" t="n"/>
      <c r="O324" s="785" t="n"/>
      <c r="P324" s="785" t="n"/>
      <c r="Q324" s="785" t="n"/>
      <c r="R324" s="785" t="n"/>
      <c r="S324" s="785" t="n"/>
      <c r="T324" s="785" t="n"/>
      <c r="U324" s="785" t="n"/>
      <c r="V324" s="785" t="n"/>
      <c r="W324" s="785" t="n"/>
      <c r="X324" s="785" t="n"/>
      <c r="Y324" s="785" t="n"/>
      <c r="Z324" s="457" t="n"/>
      <c r="AA324" s="457" t="n"/>
    </row>
    <row r="325" ht="27" customHeight="1">
      <c r="A325" s="64" t="inlineStr">
        <is>
          <t>SU002092</t>
        </is>
      </c>
      <c r="B325" s="64" t="inlineStr">
        <is>
          <t>P002290</t>
        </is>
      </c>
      <c r="C325" s="37" t="n">
        <v>4301032015</v>
      </c>
      <c r="D325" s="458" t="n">
        <v>4607091383102</v>
      </c>
      <c r="E325" s="798" t="n"/>
      <c r="F325" s="831" t="n">
        <v>0.17</v>
      </c>
      <c r="G325" s="38" t="n">
        <v>15</v>
      </c>
      <c r="H325" s="831" t="n">
        <v>2.55</v>
      </c>
      <c r="I325" s="831" t="n">
        <v>2.975</v>
      </c>
      <c r="J325" s="38" t="n">
        <v>156</v>
      </c>
      <c r="K325" s="38" t="inlineStr">
        <is>
          <t>12</t>
        </is>
      </c>
      <c r="L325" s="39" t="inlineStr">
        <is>
          <t>АК</t>
        </is>
      </c>
      <c r="M325" s="39" t="n"/>
      <c r="N325" s="38" t="n">
        <v>180</v>
      </c>
      <c r="O325" s="10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5" s="833" t="n"/>
      <c r="Q325" s="833" t="n"/>
      <c r="R325" s="833" t="n"/>
      <c r="S325" s="798" t="n"/>
      <c r="T325" s="40" t="inlineStr"/>
      <c r="U325" s="40" t="inlineStr"/>
      <c r="V325" s="41" t="inlineStr">
        <is>
          <t>кг</t>
        </is>
      </c>
      <c r="W325" s="834" t="n">
        <v>0</v>
      </c>
      <c r="X325" s="835">
        <f>IFERROR(IF(W325="",0,CEILING((W325/$H325),1)*$H325),"")</f>
        <v/>
      </c>
      <c r="Y325" s="42">
        <f>IFERROR(IF(X325=0,"",ROUNDUP(X325/H325,0)*0.00753),"")</f>
        <v/>
      </c>
      <c r="Z325" s="69" t="inlineStr"/>
      <c r="AA325" s="70" t="inlineStr"/>
      <c r="AE325" s="80" t="n"/>
      <c r="BB325" s="271" t="inlineStr">
        <is>
          <t>КИ</t>
        </is>
      </c>
      <c r="BL325" s="80">
        <f>IFERROR(W325*I325/H325,"0")</f>
        <v/>
      </c>
      <c r="BM325" s="80">
        <f>IFERROR(X325*I325/H325,"0")</f>
        <v/>
      </c>
      <c r="BN325" s="80">
        <f>IFERROR(1/J325*(W325/H325),"0")</f>
        <v/>
      </c>
      <c r="BO325" s="80">
        <f>IFERROR(1/J325*(X325/H325),"0")</f>
        <v/>
      </c>
    </row>
    <row r="326">
      <c r="A326" s="467" t="n"/>
      <c r="B326" s="785" t="n"/>
      <c r="C326" s="785" t="n"/>
      <c r="D326" s="785" t="n"/>
      <c r="E326" s="785" t="n"/>
      <c r="F326" s="785" t="n"/>
      <c r="G326" s="785" t="n"/>
      <c r="H326" s="785" t="n"/>
      <c r="I326" s="785" t="n"/>
      <c r="J326" s="785" t="n"/>
      <c r="K326" s="785" t="n"/>
      <c r="L326" s="785" t="n"/>
      <c r="M326" s="785" t="n"/>
      <c r="N326" s="837" t="n"/>
      <c r="O326" s="838" t="inlineStr">
        <is>
          <t>Итого</t>
        </is>
      </c>
      <c r="P326" s="805" t="n"/>
      <c r="Q326" s="805" t="n"/>
      <c r="R326" s="805" t="n"/>
      <c r="S326" s="805" t="n"/>
      <c r="T326" s="805" t="n"/>
      <c r="U326" s="806" t="n"/>
      <c r="V326" s="43" t="inlineStr">
        <is>
          <t>кор</t>
        </is>
      </c>
      <c r="W326" s="839">
        <f>IFERROR(W325/H325,"0")</f>
        <v/>
      </c>
      <c r="X326" s="839">
        <f>IFERROR(X325/H325,"0")</f>
        <v/>
      </c>
      <c r="Y326" s="839">
        <f>IFERROR(IF(Y325="",0,Y325),"0")</f>
        <v/>
      </c>
      <c r="Z326" s="840" t="n"/>
      <c r="AA326" s="840" t="n"/>
    </row>
    <row r="327">
      <c r="A327" s="785" t="n"/>
      <c r="B327" s="785" t="n"/>
      <c r="C327" s="785" t="n"/>
      <c r="D327" s="785" t="n"/>
      <c r="E327" s="785" t="n"/>
      <c r="F327" s="785" t="n"/>
      <c r="G327" s="785" t="n"/>
      <c r="H327" s="785" t="n"/>
      <c r="I327" s="785" t="n"/>
      <c r="J327" s="785" t="n"/>
      <c r="K327" s="785" t="n"/>
      <c r="L327" s="785" t="n"/>
      <c r="M327" s="785" t="n"/>
      <c r="N327" s="837" t="n"/>
      <c r="O327" s="838" t="inlineStr">
        <is>
          <t>Итого</t>
        </is>
      </c>
      <c r="P327" s="805" t="n"/>
      <c r="Q327" s="805" t="n"/>
      <c r="R327" s="805" t="n"/>
      <c r="S327" s="805" t="n"/>
      <c r="T327" s="805" t="n"/>
      <c r="U327" s="806" t="n"/>
      <c r="V327" s="43" t="inlineStr">
        <is>
          <t>кг</t>
        </is>
      </c>
      <c r="W327" s="839">
        <f>IFERROR(SUM(W325:W325),"0")</f>
        <v/>
      </c>
      <c r="X327" s="839">
        <f>IFERROR(SUM(X325:X325),"0")</f>
        <v/>
      </c>
      <c r="Y327" s="43" t="n"/>
      <c r="Z327" s="840" t="n"/>
      <c r="AA327" s="840" t="n"/>
    </row>
    <row r="328" ht="27.75" customHeight="1">
      <c r="A328" s="455" t="inlineStr">
        <is>
          <t>Особый рецепт</t>
        </is>
      </c>
      <c r="B328" s="830" t="n"/>
      <c r="C328" s="830" t="n"/>
      <c r="D328" s="830" t="n"/>
      <c r="E328" s="830" t="n"/>
      <c r="F328" s="830" t="n"/>
      <c r="G328" s="830" t="n"/>
      <c r="H328" s="830" t="n"/>
      <c r="I328" s="830" t="n"/>
      <c r="J328" s="830" t="n"/>
      <c r="K328" s="830" t="n"/>
      <c r="L328" s="830" t="n"/>
      <c r="M328" s="830" t="n"/>
      <c r="N328" s="830" t="n"/>
      <c r="O328" s="830" t="n"/>
      <c r="P328" s="830" t="n"/>
      <c r="Q328" s="830" t="n"/>
      <c r="R328" s="830" t="n"/>
      <c r="S328" s="830" t="n"/>
      <c r="T328" s="830" t="n"/>
      <c r="U328" s="830" t="n"/>
      <c r="V328" s="830" t="n"/>
      <c r="W328" s="830" t="n"/>
      <c r="X328" s="830" t="n"/>
      <c r="Y328" s="830" t="n"/>
      <c r="Z328" s="55" t="n"/>
      <c r="AA328" s="55" t="n"/>
    </row>
    <row r="329" ht="16.5" customHeight="1">
      <c r="A329" s="456" t="inlineStr">
        <is>
          <t>Особая</t>
        </is>
      </c>
      <c r="B329" s="785" t="n"/>
      <c r="C329" s="785" t="n"/>
      <c r="D329" s="785" t="n"/>
      <c r="E329" s="785" t="n"/>
      <c r="F329" s="785" t="n"/>
      <c r="G329" s="785" t="n"/>
      <c r="H329" s="785" t="n"/>
      <c r="I329" s="785" t="n"/>
      <c r="J329" s="785" t="n"/>
      <c r="K329" s="785" t="n"/>
      <c r="L329" s="785" t="n"/>
      <c r="M329" s="785" t="n"/>
      <c r="N329" s="785" t="n"/>
      <c r="O329" s="785" t="n"/>
      <c r="P329" s="785" t="n"/>
      <c r="Q329" s="785" t="n"/>
      <c r="R329" s="785" t="n"/>
      <c r="S329" s="785" t="n"/>
      <c r="T329" s="785" t="n"/>
      <c r="U329" s="785" t="n"/>
      <c r="V329" s="785" t="n"/>
      <c r="W329" s="785" t="n"/>
      <c r="X329" s="785" t="n"/>
      <c r="Y329" s="785" t="n"/>
      <c r="Z329" s="456" t="n"/>
      <c r="AA329" s="456" t="n"/>
    </row>
    <row r="330" ht="14.25" customHeight="1">
      <c r="A330" s="457" t="inlineStr">
        <is>
          <t>Вареные колбасы</t>
        </is>
      </c>
      <c r="B330" s="785" t="n"/>
      <c r="C330" s="785" t="n"/>
      <c r="D330" s="785" t="n"/>
      <c r="E330" s="785" t="n"/>
      <c r="F330" s="785" t="n"/>
      <c r="G330" s="785" t="n"/>
      <c r="H330" s="785" t="n"/>
      <c r="I330" s="785" t="n"/>
      <c r="J330" s="785" t="n"/>
      <c r="K330" s="785" t="n"/>
      <c r="L330" s="785" t="n"/>
      <c r="M330" s="785" t="n"/>
      <c r="N330" s="785" t="n"/>
      <c r="O330" s="785" t="n"/>
      <c r="P330" s="785" t="n"/>
      <c r="Q330" s="785" t="n"/>
      <c r="R330" s="785" t="n"/>
      <c r="S330" s="785" t="n"/>
      <c r="T330" s="785" t="n"/>
      <c r="U330" s="785" t="n"/>
      <c r="V330" s="785" t="n"/>
      <c r="W330" s="785" t="n"/>
      <c r="X330" s="785" t="n"/>
      <c r="Y330" s="785" t="n"/>
      <c r="Z330" s="457" t="n"/>
      <c r="AA330" s="457" t="n"/>
    </row>
    <row r="331" ht="27" customHeight="1">
      <c r="A331" s="64" t="inlineStr">
        <is>
          <t>SU003418</t>
        </is>
      </c>
      <c r="B331" s="64" t="inlineStr">
        <is>
          <t>P004248</t>
        </is>
      </c>
      <c r="C331" s="37" t="n">
        <v>4301011865</v>
      </c>
      <c r="D331" s="458" t="n">
        <v>4680115884076</v>
      </c>
      <c r="E331" s="798" t="n"/>
      <c r="F331" s="831" t="n">
        <v>2.5</v>
      </c>
      <c r="G331" s="38" t="n">
        <v>6</v>
      </c>
      <c r="H331" s="831" t="n">
        <v>15</v>
      </c>
      <c r="I331" s="83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30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/>
      </c>
      <c r="P331" s="833" t="n"/>
      <c r="Q331" s="833" t="n"/>
      <c r="R331" s="833" t="n"/>
      <c r="S331" s="798" t="n"/>
      <c r="T331" s="40" t="inlineStr"/>
      <c r="U331" s="40" t="inlineStr"/>
      <c r="V331" s="41" t="inlineStr">
        <is>
          <t>кг</t>
        </is>
      </c>
      <c r="W331" s="834" t="n">
        <v>1500</v>
      </c>
      <c r="X331" s="835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72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SU003420</t>
        </is>
      </c>
      <c r="B332" s="64" t="inlineStr">
        <is>
          <t>P004252</t>
        </is>
      </c>
      <c r="C332" s="37" t="n">
        <v>4301011867</v>
      </c>
      <c r="D332" s="458" t="n">
        <v>4680115884830</v>
      </c>
      <c r="E332" s="798" t="n"/>
      <c r="F332" s="831" t="n">
        <v>2.5</v>
      </c>
      <c r="G332" s="38" t="n">
        <v>6</v>
      </c>
      <c r="H332" s="831" t="n">
        <v>15</v>
      </c>
      <c r="I332" s="83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31" t="inlineStr">
        <is>
          <t>Вареные колбасы «Филейная» Весовой п/а ТМ «Особый рецепт» большой батон</t>
        </is>
      </c>
      <c r="P332" s="833" t="n"/>
      <c r="Q332" s="833" t="n"/>
      <c r="R332" s="833" t="n"/>
      <c r="S332" s="798" t="n"/>
      <c r="T332" s="40" t="inlineStr"/>
      <c r="U332" s="40" t="inlineStr"/>
      <c r="V332" s="41" t="inlineStr">
        <is>
          <t>кг</t>
        </is>
      </c>
      <c r="W332" s="834" t="n">
        <v>0</v>
      </c>
      <c r="X332" s="835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73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SU003418</t>
        </is>
      </c>
      <c r="B333" s="64" t="inlineStr">
        <is>
          <t>P004290</t>
        </is>
      </c>
      <c r="C333" s="37" t="n">
        <v>4301011940</v>
      </c>
      <c r="D333" s="458" t="n">
        <v>4680115884076</v>
      </c>
      <c r="E333" s="798" t="n"/>
      <c r="F333" s="831" t="n">
        <v>2.5</v>
      </c>
      <c r="G333" s="38" t="n">
        <v>6</v>
      </c>
      <c r="H333" s="831" t="n">
        <v>15</v>
      </c>
      <c r="I333" s="83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32" t="inlineStr">
        <is>
          <t>Вареные колбасы «Докторская Филейная» Весовой п/а ТМ «Особый рецепт» большой батон</t>
        </is>
      </c>
      <c r="P333" s="833" t="n"/>
      <c r="Q333" s="833" t="n"/>
      <c r="R333" s="833" t="n"/>
      <c r="S333" s="798" t="n"/>
      <c r="T333" s="40" t="inlineStr"/>
      <c r="U333" s="40" t="inlineStr"/>
      <c r="V333" s="41" t="inlineStr">
        <is>
          <t>кг</t>
        </is>
      </c>
      <c r="W333" s="834" t="n">
        <v>0</v>
      </c>
      <c r="X333" s="835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4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SU003420</t>
        </is>
      </c>
      <c r="B334" s="64" t="inlineStr">
        <is>
          <t>P004293</t>
        </is>
      </c>
      <c r="C334" s="37" t="n">
        <v>4301011943</v>
      </c>
      <c r="D334" s="458" t="n">
        <v>4680115884830</v>
      </c>
      <c r="E334" s="798" t="n"/>
      <c r="F334" s="831" t="n">
        <v>2.5</v>
      </c>
      <c r="G334" s="38" t="n">
        <v>6</v>
      </c>
      <c r="H334" s="831" t="n">
        <v>15</v>
      </c>
      <c r="I334" s="831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9" t="n"/>
      <c r="N334" s="38" t="n">
        <v>60</v>
      </c>
      <c r="O334" s="1033" t="inlineStr">
        <is>
          <t>Вареные колбасы «Филейная» Весовой п/а ТМ «Особый рецепт» большой батон</t>
        </is>
      </c>
      <c r="P334" s="833" t="n"/>
      <c r="Q334" s="833" t="n"/>
      <c r="R334" s="833" t="n"/>
      <c r="S334" s="798" t="n"/>
      <c r="T334" s="40" t="inlineStr"/>
      <c r="U334" s="40" t="inlineStr"/>
      <c r="V334" s="41" t="inlineStr">
        <is>
          <t>кг</t>
        </is>
      </c>
      <c r="W334" s="834" t="n">
        <v>0</v>
      </c>
      <c r="X334" s="835">
        <f>IFERROR(IF(W334="",0,CEILING((W334/$H334),1)*$H334),"")</f>
        <v/>
      </c>
      <c r="Y334" s="42">
        <f>IFERROR(IF(X334=0,"",ROUNDUP(X334/H334,0)*0.02039),"")</f>
        <v/>
      </c>
      <c r="Z334" s="69" t="inlineStr"/>
      <c r="AA334" s="70" t="inlineStr"/>
      <c r="AE334" s="80" t="n"/>
      <c r="BB334" s="275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SU003422</t>
        </is>
      </c>
      <c r="B335" s="64" t="inlineStr">
        <is>
          <t>P004256</t>
        </is>
      </c>
      <c r="C335" s="37" t="n">
        <v>4301011869</v>
      </c>
      <c r="D335" s="458" t="n">
        <v>4680115884847</v>
      </c>
      <c r="E335" s="798" t="n"/>
      <c r="F335" s="831" t="n">
        <v>2.5</v>
      </c>
      <c r="G335" s="38" t="n">
        <v>6</v>
      </c>
      <c r="H335" s="831" t="n">
        <v>15</v>
      </c>
      <c r="I335" s="831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34" t="inlineStr">
        <is>
          <t>Вареные колбасы «Молочная» Весовой п/а ТМ «Особый рецепт» большой батон</t>
        </is>
      </c>
      <c r="P335" s="833" t="n"/>
      <c r="Q335" s="833" t="n"/>
      <c r="R335" s="833" t="n"/>
      <c r="S335" s="798" t="n"/>
      <c r="T335" s="40" t="inlineStr"/>
      <c r="U335" s="40" t="inlineStr"/>
      <c r="V335" s="41" t="inlineStr">
        <is>
          <t>кг</t>
        </is>
      </c>
      <c r="W335" s="834" t="n">
        <v>1000</v>
      </c>
      <c r="X335" s="835">
        <f>IFERROR(IF(W335="",0,CEILING((W335/$H335),1)*$H335),"")</f>
        <v/>
      </c>
      <c r="Y335" s="42">
        <f>IFERROR(IF(X335=0,"",ROUNDUP(X335/H335,0)*0.02175),"")</f>
        <v/>
      </c>
      <c r="Z335" s="69" t="inlineStr"/>
      <c r="AA335" s="70" t="inlineStr"/>
      <c r="AE335" s="80" t="n"/>
      <c r="BB335" s="276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SU003422</t>
        </is>
      </c>
      <c r="B336" s="64" t="inlineStr">
        <is>
          <t>P004303</t>
        </is>
      </c>
      <c r="C336" s="37" t="n">
        <v>4301011946</v>
      </c>
      <c r="D336" s="458" t="n">
        <v>4680115884847</v>
      </c>
      <c r="E336" s="798" t="n"/>
      <c r="F336" s="831" t="n">
        <v>2.5</v>
      </c>
      <c r="G336" s="38" t="n">
        <v>6</v>
      </c>
      <c r="H336" s="831" t="n">
        <v>15</v>
      </c>
      <c r="I336" s="83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35" t="inlineStr">
        <is>
          <t>Вареные колбасы «Молочная» Весовой п/а ТМ «Особый рецепт» большой батон</t>
        </is>
      </c>
      <c r="P336" s="833" t="n"/>
      <c r="Q336" s="833" t="n"/>
      <c r="R336" s="833" t="n"/>
      <c r="S336" s="798" t="n"/>
      <c r="T336" s="40" t="inlineStr"/>
      <c r="U336" s="40" t="inlineStr"/>
      <c r="V336" s="41" t="inlineStr">
        <is>
          <t>кг</t>
        </is>
      </c>
      <c r="W336" s="834" t="n">
        <v>0</v>
      </c>
      <c r="X336" s="835">
        <f>IFERROR(IF(W336="",0,CEILING((W336/$H336),1)*$H336),"")</f>
        <v/>
      </c>
      <c r="Y336" s="42">
        <f>IFERROR(IF(X336=0,"",ROUNDUP(X336/H336,0)*0.02039),"")</f>
        <v/>
      </c>
      <c r="Z336" s="69" t="inlineStr"/>
      <c r="AA336" s="70" t="inlineStr"/>
      <c r="AE336" s="80" t="n"/>
      <c r="BB336" s="277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SU003423</t>
        </is>
      </c>
      <c r="B337" s="64" t="inlineStr">
        <is>
          <t>P004257</t>
        </is>
      </c>
      <c r="C337" s="37" t="n">
        <v>4301011870</v>
      </c>
      <c r="D337" s="458" t="n">
        <v>4680115884854</v>
      </c>
      <c r="E337" s="798" t="n"/>
      <c r="F337" s="831" t="n">
        <v>2.5</v>
      </c>
      <c r="G337" s="38" t="n">
        <v>6</v>
      </c>
      <c r="H337" s="831" t="n">
        <v>15</v>
      </c>
      <c r="I337" s="831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9" t="n"/>
      <c r="N337" s="38" t="n">
        <v>60</v>
      </c>
      <c r="O337" s="1036" t="inlineStr">
        <is>
          <t>Вареные колбасы «Со шпиком» Весовой п/а ТМ «Особый рецепт» большой батон</t>
        </is>
      </c>
      <c r="P337" s="833" t="n"/>
      <c r="Q337" s="833" t="n"/>
      <c r="R337" s="833" t="n"/>
      <c r="S337" s="798" t="n"/>
      <c r="T337" s="40" t="inlineStr"/>
      <c r="U337" s="40" t="inlineStr"/>
      <c r="V337" s="41" t="inlineStr">
        <is>
          <t>кг</t>
        </is>
      </c>
      <c r="W337" s="834" t="n">
        <v>1000</v>
      </c>
      <c r="X337" s="835">
        <f>IFERROR(IF(W337="",0,CEILING((W337/$H337),1)*$H337),"")</f>
        <v/>
      </c>
      <c r="Y337" s="42">
        <f>IFERROR(IF(X337=0,"",ROUNDUP(X337/H337,0)*0.02175),"")</f>
        <v/>
      </c>
      <c r="Z337" s="69" t="inlineStr"/>
      <c r="AA337" s="70" t="inlineStr"/>
      <c r="AE337" s="80" t="n"/>
      <c r="BB337" s="278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 ht="27" customHeight="1">
      <c r="A338" s="64" t="inlineStr">
        <is>
          <t>SU003423</t>
        </is>
      </c>
      <c r="B338" s="64" t="inlineStr">
        <is>
          <t>P004315</t>
        </is>
      </c>
      <c r="C338" s="37" t="n">
        <v>4301011947</v>
      </c>
      <c r="D338" s="458" t="n">
        <v>4680115884854</v>
      </c>
      <c r="E338" s="798" t="n"/>
      <c r="F338" s="831" t="n">
        <v>2.5</v>
      </c>
      <c r="G338" s="38" t="n">
        <v>6</v>
      </c>
      <c r="H338" s="831" t="n">
        <v>15</v>
      </c>
      <c r="I338" s="831" t="n">
        <v>15.48</v>
      </c>
      <c r="J338" s="38" t="n">
        <v>48</v>
      </c>
      <c r="K338" s="38" t="inlineStr">
        <is>
          <t>8</t>
        </is>
      </c>
      <c r="L338" s="39" t="inlineStr">
        <is>
          <t>ВЗ</t>
        </is>
      </c>
      <c r="M338" s="39" t="n"/>
      <c r="N338" s="38" t="n">
        <v>60</v>
      </c>
      <c r="O338" s="1037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8" s="833" t="n"/>
      <c r="Q338" s="833" t="n"/>
      <c r="R338" s="833" t="n"/>
      <c r="S338" s="798" t="n"/>
      <c r="T338" s="40" t="inlineStr"/>
      <c r="U338" s="40" t="inlineStr"/>
      <c r="V338" s="41" t="inlineStr">
        <is>
          <t>кг</t>
        </is>
      </c>
      <c r="W338" s="834" t="n">
        <v>0</v>
      </c>
      <c r="X338" s="835">
        <f>IFERROR(IF(W338="",0,CEILING((W338/$H338),1)*$H338),"")</f>
        <v/>
      </c>
      <c r="Y338" s="42">
        <f>IFERROR(IF(X338=0,"",ROUNDUP(X338/H338,0)*0.02039),"")</f>
        <v/>
      </c>
      <c r="Z338" s="69" t="inlineStr"/>
      <c r="AA338" s="70" t="inlineStr"/>
      <c r="AE338" s="80" t="n"/>
      <c r="BB338" s="279" t="inlineStr">
        <is>
          <t>КИ</t>
        </is>
      </c>
      <c r="BL338" s="80">
        <f>IFERROR(W338*I338/H338,"0")</f>
        <v/>
      </c>
      <c r="BM338" s="80">
        <f>IFERROR(X338*I338/H338,"0")</f>
        <v/>
      </c>
      <c r="BN338" s="80">
        <f>IFERROR(1/J338*(W338/H338),"0")</f>
        <v/>
      </c>
      <c r="BO338" s="80">
        <f>IFERROR(1/J338*(X338/H338),"0")</f>
        <v/>
      </c>
    </row>
    <row r="339" ht="27" customHeight="1">
      <c r="A339" s="64" t="inlineStr">
        <is>
          <t>SU001989</t>
        </is>
      </c>
      <c r="B339" s="64" t="inlineStr">
        <is>
          <t>P002560</t>
        </is>
      </c>
      <c r="C339" s="37" t="n">
        <v>4301011327</v>
      </c>
      <c r="D339" s="458" t="n">
        <v>4607091384154</v>
      </c>
      <c r="E339" s="798" t="n"/>
      <c r="F339" s="831" t="n">
        <v>0.5</v>
      </c>
      <c r="G339" s="38" t="n">
        <v>10</v>
      </c>
      <c r="H339" s="831" t="n">
        <v>5</v>
      </c>
      <c r="I339" s="83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9" s="833" t="n"/>
      <c r="Q339" s="833" t="n"/>
      <c r="R339" s="833" t="n"/>
      <c r="S339" s="798" t="n"/>
      <c r="T339" s="40" t="inlineStr"/>
      <c r="U339" s="40" t="inlineStr"/>
      <c r="V339" s="41" t="inlineStr">
        <is>
          <t>кг</t>
        </is>
      </c>
      <c r="W339" s="834" t="n">
        <v>0</v>
      </c>
      <c r="X339" s="835">
        <f>IFERROR(IF(W339="",0,CEILING((W339/$H339),1)*$H339),"")</f>
        <v/>
      </c>
      <c r="Y339" s="42">
        <f>IFERROR(IF(X339=0,"",ROUNDUP(X339/H339,0)*0.00937),"")</f>
        <v/>
      </c>
      <c r="Z339" s="69" t="inlineStr"/>
      <c r="AA339" s="70" t="inlineStr"/>
      <c r="AE339" s="80" t="n"/>
      <c r="BB339" s="280" t="inlineStr">
        <is>
          <t>КИ</t>
        </is>
      </c>
      <c r="BL339" s="80">
        <f>IFERROR(W339*I339/H339,"0")</f>
        <v/>
      </c>
      <c r="BM339" s="80">
        <f>IFERROR(X339*I339/H339,"0")</f>
        <v/>
      </c>
      <c r="BN339" s="80">
        <f>IFERROR(1/J339*(W339/H339),"0")</f>
        <v/>
      </c>
      <c r="BO339" s="80">
        <f>IFERROR(1/J339*(X339/H339),"0")</f>
        <v/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458" t="n">
        <v>4680115884922</v>
      </c>
      <c r="E340" s="798" t="n"/>
      <c r="F340" s="831" t="n">
        <v>0.5</v>
      </c>
      <c r="G340" s="38" t="n">
        <v>10</v>
      </c>
      <c r="H340" s="831" t="n">
        <v>5</v>
      </c>
      <c r="I340" s="83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39" t="inlineStr">
        <is>
          <t>Вареные колбасы «Со шпиком» Фикс.вес 0,5 п/а ТМ «Особый рецепт»</t>
        </is>
      </c>
      <c r="P340" s="833" t="n"/>
      <c r="Q340" s="833" t="n"/>
      <c r="R340" s="833" t="n"/>
      <c r="S340" s="798" t="n"/>
      <c r="T340" s="40" t="inlineStr"/>
      <c r="U340" s="40" t="inlineStr"/>
      <c r="V340" s="41" t="inlineStr">
        <is>
          <t>кг</t>
        </is>
      </c>
      <c r="W340" s="834" t="n">
        <v>0</v>
      </c>
      <c r="X340" s="835">
        <f>IFERROR(IF(W340="",0,CEILING((W340/$H340),1)*$H340),"")</f>
        <v/>
      </c>
      <c r="Y340" s="42">
        <f>IFERROR(IF(X340=0,"",ROUNDUP(X340/H340,0)*0.00937),"")</f>
        <v/>
      </c>
      <c r="Z340" s="69" t="inlineStr"/>
      <c r="AA340" s="70" t="inlineStr"/>
      <c r="AE340" s="80" t="n"/>
      <c r="BB340" s="281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SU002787</t>
        </is>
      </c>
      <c r="B341" s="64" t="inlineStr">
        <is>
          <t>P003189</t>
        </is>
      </c>
      <c r="C341" s="37" t="n">
        <v>4301011433</v>
      </c>
      <c r="D341" s="458" t="n">
        <v>4680115882638</v>
      </c>
      <c r="E341" s="798" t="n"/>
      <c r="F341" s="831" t="n">
        <v>0.4</v>
      </c>
      <c r="G341" s="38" t="n">
        <v>10</v>
      </c>
      <c r="H341" s="831" t="n">
        <v>4</v>
      </c>
      <c r="I341" s="831" t="n">
        <v>4.24</v>
      </c>
      <c r="J341" s="38" t="n">
        <v>120</v>
      </c>
      <c r="K341" s="38" t="inlineStr">
        <is>
          <t>12</t>
        </is>
      </c>
      <c r="L341" s="39" t="inlineStr">
        <is>
          <t>СК1</t>
        </is>
      </c>
      <c r="M341" s="39" t="n"/>
      <c r="N341" s="38" t="n">
        <v>90</v>
      </c>
      <c r="O341" s="104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41" s="833" t="n"/>
      <c r="Q341" s="833" t="n"/>
      <c r="R341" s="833" t="n"/>
      <c r="S341" s="798" t="n"/>
      <c r="T341" s="40" t="inlineStr"/>
      <c r="U341" s="40" t="inlineStr"/>
      <c r="V341" s="41" t="inlineStr">
        <is>
          <t>кг</t>
        </is>
      </c>
      <c r="W341" s="834" t="n">
        <v>0</v>
      </c>
      <c r="X341" s="835">
        <f>IFERROR(IF(W341="",0,CEILING((W341/$H341),1)*$H341),"")</f>
        <v/>
      </c>
      <c r="Y341" s="42">
        <f>IFERROR(IF(X341=0,"",ROUNDUP(X341/H341,0)*0.00937),"")</f>
        <v/>
      </c>
      <c r="Z341" s="69" t="inlineStr"/>
      <c r="AA341" s="70" t="inlineStr"/>
      <c r="AE341" s="80" t="n"/>
      <c r="BB341" s="282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>
      <c r="A342" s="467" t="n"/>
      <c r="B342" s="785" t="n"/>
      <c r="C342" s="785" t="n"/>
      <c r="D342" s="785" t="n"/>
      <c r="E342" s="785" t="n"/>
      <c r="F342" s="785" t="n"/>
      <c r="G342" s="785" t="n"/>
      <c r="H342" s="785" t="n"/>
      <c r="I342" s="785" t="n"/>
      <c r="J342" s="785" t="n"/>
      <c r="K342" s="785" t="n"/>
      <c r="L342" s="785" t="n"/>
      <c r="M342" s="785" t="n"/>
      <c r="N342" s="837" t="n"/>
      <c r="O342" s="838" t="inlineStr">
        <is>
          <t>Итого</t>
        </is>
      </c>
      <c r="P342" s="805" t="n"/>
      <c r="Q342" s="805" t="n"/>
      <c r="R342" s="805" t="n"/>
      <c r="S342" s="805" t="n"/>
      <c r="T342" s="805" t="n"/>
      <c r="U342" s="806" t="n"/>
      <c r="V342" s="43" t="inlineStr">
        <is>
          <t>кор</t>
        </is>
      </c>
      <c r="W342" s="839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/>
      </c>
      <c r="X342" s="839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/>
      </c>
      <c r="Y342" s="839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/>
      </c>
      <c r="Z342" s="840" t="n"/>
      <c r="AA342" s="840" t="n"/>
    </row>
    <row r="343">
      <c r="A343" s="785" t="n"/>
      <c r="B343" s="785" t="n"/>
      <c r="C343" s="785" t="n"/>
      <c r="D343" s="785" t="n"/>
      <c r="E343" s="785" t="n"/>
      <c r="F343" s="785" t="n"/>
      <c r="G343" s="785" t="n"/>
      <c r="H343" s="785" t="n"/>
      <c r="I343" s="785" t="n"/>
      <c r="J343" s="785" t="n"/>
      <c r="K343" s="785" t="n"/>
      <c r="L343" s="785" t="n"/>
      <c r="M343" s="785" t="n"/>
      <c r="N343" s="837" t="n"/>
      <c r="O343" s="838" t="inlineStr">
        <is>
          <t>Итого</t>
        </is>
      </c>
      <c r="P343" s="805" t="n"/>
      <c r="Q343" s="805" t="n"/>
      <c r="R343" s="805" t="n"/>
      <c r="S343" s="805" t="n"/>
      <c r="T343" s="805" t="n"/>
      <c r="U343" s="806" t="n"/>
      <c r="V343" s="43" t="inlineStr">
        <is>
          <t>кг</t>
        </is>
      </c>
      <c r="W343" s="839">
        <f>IFERROR(SUM(W331:W341),"0")</f>
        <v/>
      </c>
      <c r="X343" s="839">
        <f>IFERROR(SUM(X331:X341),"0")</f>
        <v/>
      </c>
      <c r="Y343" s="43" t="n"/>
      <c r="Z343" s="840" t="n"/>
      <c r="AA343" s="840" t="n"/>
    </row>
    <row r="344" ht="14.25" customHeight="1">
      <c r="A344" s="457" t="inlineStr">
        <is>
          <t>Ветчины</t>
        </is>
      </c>
      <c r="B344" s="785" t="n"/>
      <c r="C344" s="785" t="n"/>
      <c r="D344" s="785" t="n"/>
      <c r="E344" s="785" t="n"/>
      <c r="F344" s="785" t="n"/>
      <c r="G344" s="785" t="n"/>
      <c r="H344" s="785" t="n"/>
      <c r="I344" s="785" t="n"/>
      <c r="J344" s="785" t="n"/>
      <c r="K344" s="785" t="n"/>
      <c r="L344" s="785" t="n"/>
      <c r="M344" s="785" t="n"/>
      <c r="N344" s="785" t="n"/>
      <c r="O344" s="785" t="n"/>
      <c r="P344" s="785" t="n"/>
      <c r="Q344" s="785" t="n"/>
      <c r="R344" s="785" t="n"/>
      <c r="S344" s="785" t="n"/>
      <c r="T344" s="785" t="n"/>
      <c r="U344" s="785" t="n"/>
      <c r="V344" s="785" t="n"/>
      <c r="W344" s="785" t="n"/>
      <c r="X344" s="785" t="n"/>
      <c r="Y344" s="785" t="n"/>
      <c r="Z344" s="457" t="n"/>
      <c r="AA344" s="457" t="n"/>
    </row>
    <row r="345" ht="27" customHeight="1">
      <c r="A345" s="64" t="inlineStr">
        <is>
          <t>SU000126</t>
        </is>
      </c>
      <c r="B345" s="64" t="inlineStr">
        <is>
          <t>P002555</t>
        </is>
      </c>
      <c r="C345" s="37" t="n">
        <v>4301020178</v>
      </c>
      <c r="D345" s="458" t="n">
        <v>4607091383980</v>
      </c>
      <c r="E345" s="798" t="n"/>
      <c r="F345" s="831" t="n">
        <v>2.5</v>
      </c>
      <c r="G345" s="38" t="n">
        <v>6</v>
      </c>
      <c r="H345" s="831" t="n">
        <v>15</v>
      </c>
      <c r="I345" s="831" t="n">
        <v>15.48</v>
      </c>
      <c r="J345" s="38" t="n">
        <v>48</v>
      </c>
      <c r="K345" s="38" t="inlineStr">
        <is>
          <t>8</t>
        </is>
      </c>
      <c r="L345" s="39" t="inlineStr">
        <is>
          <t>СК1</t>
        </is>
      </c>
      <c r="M345" s="39" t="n"/>
      <c r="N345" s="38" t="n">
        <v>50</v>
      </c>
      <c r="O345" s="10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5" s="833" t="n"/>
      <c r="Q345" s="833" t="n"/>
      <c r="R345" s="833" t="n"/>
      <c r="S345" s="798" t="n"/>
      <c r="T345" s="40" t="inlineStr"/>
      <c r="U345" s="40" t="inlineStr"/>
      <c r="V345" s="41" t="inlineStr">
        <is>
          <t>кг</t>
        </is>
      </c>
      <c r="W345" s="834" t="n">
        <v>1000</v>
      </c>
      <c r="X345" s="835">
        <f>IFERROR(IF(W345="",0,CEILING((W345/$H345),1)*$H345),"")</f>
        <v/>
      </c>
      <c r="Y345" s="42">
        <f>IFERROR(IF(X345=0,"",ROUNDUP(X345/H345,0)*0.02175),"")</f>
        <v/>
      </c>
      <c r="Z345" s="69" t="inlineStr"/>
      <c r="AA345" s="70" t="inlineStr"/>
      <c r="AE345" s="80" t="n"/>
      <c r="BB345" s="283" t="inlineStr">
        <is>
          <t>КИ</t>
        </is>
      </c>
      <c r="BL345" s="80">
        <f>IFERROR(W345*I345/H345,"0")</f>
        <v/>
      </c>
      <c r="BM345" s="80">
        <f>IFERROR(X345*I345/H345,"0")</f>
        <v/>
      </c>
      <c r="BN345" s="80">
        <f>IFERROR(1/J345*(W345/H345),"0")</f>
        <v/>
      </c>
      <c r="BO345" s="80">
        <f>IFERROR(1/J345*(X345/H345),"0")</f>
        <v/>
      </c>
    </row>
    <row r="346" ht="16.5" customHeight="1">
      <c r="A346" s="64" t="inlineStr">
        <is>
          <t>SU003121</t>
        </is>
      </c>
      <c r="B346" s="64" t="inlineStr">
        <is>
          <t>P003715</t>
        </is>
      </c>
      <c r="C346" s="37" t="n">
        <v>4301020270</v>
      </c>
      <c r="D346" s="458" t="n">
        <v>4680115883314</v>
      </c>
      <c r="E346" s="798" t="n"/>
      <c r="F346" s="831" t="n">
        <v>1.35</v>
      </c>
      <c r="G346" s="38" t="n">
        <v>8</v>
      </c>
      <c r="H346" s="831" t="n">
        <v>10.8</v>
      </c>
      <c r="I346" s="831" t="n">
        <v>11.28</v>
      </c>
      <c r="J346" s="38" t="n">
        <v>56</v>
      </c>
      <c r="K346" s="38" t="inlineStr">
        <is>
          <t>8</t>
        </is>
      </c>
      <c r="L346" s="39" t="inlineStr">
        <is>
          <t>СК3</t>
        </is>
      </c>
      <c r="M346" s="39" t="n"/>
      <c r="N346" s="38" t="n">
        <v>50</v>
      </c>
      <c r="O346" s="1042">
        <f>HYPERLINK("https://abi.ru/products/Охлажденные/Особый рецепт/Особая/Ветчины/P003715/","Ветчины «Славница» Весовой п/а ТМ «Особый рецепт»")</f>
        <v/>
      </c>
      <c r="P346" s="833" t="n"/>
      <c r="Q346" s="833" t="n"/>
      <c r="R346" s="833" t="n"/>
      <c r="S346" s="798" t="n"/>
      <c r="T346" s="40" t="inlineStr"/>
      <c r="U346" s="40" t="inlineStr"/>
      <c r="V346" s="41" t="inlineStr">
        <is>
          <t>кг</t>
        </is>
      </c>
      <c r="W346" s="834" t="n">
        <v>0</v>
      </c>
      <c r="X346" s="835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84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27" customHeight="1">
      <c r="A347" s="64" t="inlineStr">
        <is>
          <t>SU002027</t>
        </is>
      </c>
      <c r="B347" s="64" t="inlineStr">
        <is>
          <t>P002556</t>
        </is>
      </c>
      <c r="C347" s="37" t="n">
        <v>4301020179</v>
      </c>
      <c r="D347" s="458" t="n">
        <v>4607091384178</v>
      </c>
      <c r="E347" s="798" t="n"/>
      <c r="F347" s="831" t="n">
        <v>0.4</v>
      </c>
      <c r="G347" s="38" t="n">
        <v>10</v>
      </c>
      <c r="H347" s="831" t="n">
        <v>4</v>
      </c>
      <c r="I347" s="831" t="n">
        <v>4.24</v>
      </c>
      <c r="J347" s="38" t="n">
        <v>120</v>
      </c>
      <c r="K347" s="38" t="inlineStr">
        <is>
          <t>12</t>
        </is>
      </c>
      <c r="L347" s="39" t="inlineStr">
        <is>
          <t>СК1</t>
        </is>
      </c>
      <c r="M347" s="39" t="n"/>
      <c r="N347" s="38" t="n">
        <v>50</v>
      </c>
      <c r="O347" s="10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7" s="833" t="n"/>
      <c r="Q347" s="833" t="n"/>
      <c r="R347" s="833" t="n"/>
      <c r="S347" s="798" t="n"/>
      <c r="T347" s="40" t="inlineStr"/>
      <c r="U347" s="40" t="inlineStr"/>
      <c r="V347" s="41" t="inlineStr">
        <is>
          <t>кг</t>
        </is>
      </c>
      <c r="W347" s="834" t="n">
        <v>0</v>
      </c>
      <c r="X347" s="835">
        <f>IFERROR(IF(W347="",0,CEILING((W347/$H347),1)*$H347),"")</f>
        <v/>
      </c>
      <c r="Y347" s="42">
        <f>IFERROR(IF(X347=0,"",ROUNDUP(X347/H347,0)*0.00937),"")</f>
        <v/>
      </c>
      <c r="Z347" s="69" t="inlineStr"/>
      <c r="AA347" s="70" t="inlineStr"/>
      <c r="AE347" s="80" t="n"/>
      <c r="BB347" s="285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 ht="27" customHeight="1">
      <c r="A348" s="64" t="inlineStr">
        <is>
          <t>SU002788</t>
        </is>
      </c>
      <c r="B348" s="64" t="inlineStr">
        <is>
          <t>P003190</t>
        </is>
      </c>
      <c r="C348" s="37" t="n">
        <v>4301020254</v>
      </c>
      <c r="D348" s="458" t="n">
        <v>4680115881914</v>
      </c>
      <c r="E348" s="798" t="n"/>
      <c r="F348" s="831" t="n">
        <v>0.4</v>
      </c>
      <c r="G348" s="38" t="n">
        <v>10</v>
      </c>
      <c r="H348" s="831" t="n">
        <v>4</v>
      </c>
      <c r="I348" s="831" t="n">
        <v>4.24</v>
      </c>
      <c r="J348" s="38" t="n">
        <v>120</v>
      </c>
      <c r="K348" s="38" t="inlineStr">
        <is>
          <t>12</t>
        </is>
      </c>
      <c r="L348" s="39" t="inlineStr">
        <is>
          <t>СК1</t>
        </is>
      </c>
      <c r="M348" s="39" t="n"/>
      <c r="N348" s="38" t="n">
        <v>90</v>
      </c>
      <c r="O348" s="104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348" s="833" t="n"/>
      <c r="Q348" s="833" t="n"/>
      <c r="R348" s="833" t="n"/>
      <c r="S348" s="798" t="n"/>
      <c r="T348" s="40" t="inlineStr"/>
      <c r="U348" s="40" t="inlineStr"/>
      <c r="V348" s="41" t="inlineStr">
        <is>
          <t>кг</t>
        </is>
      </c>
      <c r="W348" s="834" t="n">
        <v>0</v>
      </c>
      <c r="X348" s="835">
        <f>IFERROR(IF(W348="",0,CEILING((W348/$H348),1)*$H348),"")</f>
        <v/>
      </c>
      <c r="Y348" s="42">
        <f>IFERROR(IF(X348=0,"",ROUNDUP(X348/H348,0)*0.00937),"")</f>
        <v/>
      </c>
      <c r="Z348" s="69" t="inlineStr"/>
      <c r="AA348" s="70" t="inlineStr"/>
      <c r="AE348" s="80" t="n"/>
      <c r="BB348" s="286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>
      <c r="A349" s="467" t="n"/>
      <c r="B349" s="785" t="n"/>
      <c r="C349" s="785" t="n"/>
      <c r="D349" s="785" t="n"/>
      <c r="E349" s="785" t="n"/>
      <c r="F349" s="785" t="n"/>
      <c r="G349" s="785" t="n"/>
      <c r="H349" s="785" t="n"/>
      <c r="I349" s="785" t="n"/>
      <c r="J349" s="785" t="n"/>
      <c r="K349" s="785" t="n"/>
      <c r="L349" s="785" t="n"/>
      <c r="M349" s="785" t="n"/>
      <c r="N349" s="837" t="n"/>
      <c r="O349" s="838" t="inlineStr">
        <is>
          <t>Итого</t>
        </is>
      </c>
      <c r="P349" s="805" t="n"/>
      <c r="Q349" s="805" t="n"/>
      <c r="R349" s="805" t="n"/>
      <c r="S349" s="805" t="n"/>
      <c r="T349" s="805" t="n"/>
      <c r="U349" s="806" t="n"/>
      <c r="V349" s="43" t="inlineStr">
        <is>
          <t>кор</t>
        </is>
      </c>
      <c r="W349" s="839">
        <f>IFERROR(W345/H345,"0")+IFERROR(W346/H346,"0")+IFERROR(W347/H347,"0")+IFERROR(W348/H348,"0")</f>
        <v/>
      </c>
      <c r="X349" s="839">
        <f>IFERROR(X345/H345,"0")+IFERROR(X346/H346,"0")+IFERROR(X347/H347,"0")+IFERROR(X348/H348,"0")</f>
        <v/>
      </c>
      <c r="Y349" s="839">
        <f>IFERROR(IF(Y345="",0,Y345),"0")+IFERROR(IF(Y346="",0,Y346),"0")+IFERROR(IF(Y347="",0,Y347),"0")+IFERROR(IF(Y348="",0,Y348),"0")</f>
        <v/>
      </c>
      <c r="Z349" s="840" t="n"/>
      <c r="AA349" s="840" t="n"/>
    </row>
    <row r="350">
      <c r="A350" s="785" t="n"/>
      <c r="B350" s="785" t="n"/>
      <c r="C350" s="785" t="n"/>
      <c r="D350" s="785" t="n"/>
      <c r="E350" s="785" t="n"/>
      <c r="F350" s="785" t="n"/>
      <c r="G350" s="785" t="n"/>
      <c r="H350" s="785" t="n"/>
      <c r="I350" s="785" t="n"/>
      <c r="J350" s="785" t="n"/>
      <c r="K350" s="785" t="n"/>
      <c r="L350" s="785" t="n"/>
      <c r="M350" s="785" t="n"/>
      <c r="N350" s="837" t="n"/>
      <c r="O350" s="838" t="inlineStr">
        <is>
          <t>Итого</t>
        </is>
      </c>
      <c r="P350" s="805" t="n"/>
      <c r="Q350" s="805" t="n"/>
      <c r="R350" s="805" t="n"/>
      <c r="S350" s="805" t="n"/>
      <c r="T350" s="805" t="n"/>
      <c r="U350" s="806" t="n"/>
      <c r="V350" s="43" t="inlineStr">
        <is>
          <t>кг</t>
        </is>
      </c>
      <c r="W350" s="839">
        <f>IFERROR(SUM(W345:W348),"0")</f>
        <v/>
      </c>
      <c r="X350" s="839">
        <f>IFERROR(SUM(X345:X348),"0")</f>
        <v/>
      </c>
      <c r="Y350" s="43" t="n"/>
      <c r="Z350" s="840" t="n"/>
      <c r="AA350" s="840" t="n"/>
    </row>
    <row r="351" ht="14.25" customHeight="1">
      <c r="A351" s="457" t="inlineStr">
        <is>
          <t>Сосиски</t>
        </is>
      </c>
      <c r="B351" s="785" t="n"/>
      <c r="C351" s="785" t="n"/>
      <c r="D351" s="785" t="n"/>
      <c r="E351" s="785" t="n"/>
      <c r="F351" s="785" t="n"/>
      <c r="G351" s="785" t="n"/>
      <c r="H351" s="785" t="n"/>
      <c r="I351" s="785" t="n"/>
      <c r="J351" s="785" t="n"/>
      <c r="K351" s="785" t="n"/>
      <c r="L351" s="785" t="n"/>
      <c r="M351" s="785" t="n"/>
      <c r="N351" s="785" t="n"/>
      <c r="O351" s="785" t="n"/>
      <c r="P351" s="785" t="n"/>
      <c r="Q351" s="785" t="n"/>
      <c r="R351" s="785" t="n"/>
      <c r="S351" s="785" t="n"/>
      <c r="T351" s="785" t="n"/>
      <c r="U351" s="785" t="n"/>
      <c r="V351" s="785" t="n"/>
      <c r="W351" s="785" t="n"/>
      <c r="X351" s="785" t="n"/>
      <c r="Y351" s="785" t="n"/>
      <c r="Z351" s="457" t="n"/>
      <c r="AA351" s="457" t="n"/>
    </row>
    <row r="352" ht="27" customHeight="1">
      <c r="A352" s="64" t="inlineStr">
        <is>
          <t>SU003161</t>
        </is>
      </c>
      <c r="B352" s="64" t="inlineStr">
        <is>
          <t>P003979</t>
        </is>
      </c>
      <c r="C352" s="37" t="n">
        <v>4301051639</v>
      </c>
      <c r="D352" s="458" t="n">
        <v>4607091383928</v>
      </c>
      <c r="E352" s="798" t="n"/>
      <c r="F352" s="831" t="n">
        <v>1.3</v>
      </c>
      <c r="G352" s="38" t="n">
        <v>6</v>
      </c>
      <c r="H352" s="831" t="n">
        <v>7.8</v>
      </c>
      <c r="I352" s="831" t="n">
        <v>8.369999999999999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40</v>
      </c>
      <c r="O352" s="1045" t="inlineStr">
        <is>
          <t>Сосиски «Датские» Весовые п/а мгс ТМ «Особый рецепт»</t>
        </is>
      </c>
      <c r="P352" s="833" t="n"/>
      <c r="Q352" s="833" t="n"/>
      <c r="R352" s="833" t="n"/>
      <c r="S352" s="798" t="n"/>
      <c r="T352" s="40" t="inlineStr"/>
      <c r="U352" s="40" t="inlineStr"/>
      <c r="V352" s="41" t="inlineStr">
        <is>
          <t>кг</t>
        </is>
      </c>
      <c r="W352" s="834" t="n">
        <v>0</v>
      </c>
      <c r="X352" s="835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7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27" customHeight="1">
      <c r="A353" s="64" t="inlineStr">
        <is>
          <t>SU003161</t>
        </is>
      </c>
      <c r="B353" s="64" t="inlineStr">
        <is>
          <t>P003767</t>
        </is>
      </c>
      <c r="C353" s="37" t="n">
        <v>4301051560</v>
      </c>
      <c r="D353" s="458" t="n">
        <v>4607091383928</v>
      </c>
      <c r="E353" s="798" t="n"/>
      <c r="F353" s="831" t="n">
        <v>1.3</v>
      </c>
      <c r="G353" s="38" t="n">
        <v>6</v>
      </c>
      <c r="H353" s="831" t="n">
        <v>7.8</v>
      </c>
      <c r="I353" s="831" t="n">
        <v>8.369999999999999</v>
      </c>
      <c r="J353" s="38" t="n">
        <v>56</v>
      </c>
      <c r="K353" s="38" t="inlineStr">
        <is>
          <t>8</t>
        </is>
      </c>
      <c r="L353" s="39" t="inlineStr">
        <is>
          <t>СК3</t>
        </is>
      </c>
      <c r="M353" s="39" t="n"/>
      <c r="N353" s="38" t="n">
        <v>40</v>
      </c>
      <c r="O353" s="1046">
        <f>HYPERLINK("https://abi.ru/products/Охлажденные/Особый рецепт/Особая/Сосиски/P003767/","Сосиски «Датские» Весовые п/а мгс ТМ «Особый рецепт»")</f>
        <v/>
      </c>
      <c r="P353" s="833" t="n"/>
      <c r="Q353" s="833" t="n"/>
      <c r="R353" s="833" t="n"/>
      <c r="S353" s="798" t="n"/>
      <c r="T353" s="40" t="inlineStr"/>
      <c r="U353" s="40" t="inlineStr"/>
      <c r="V353" s="41" t="inlineStr">
        <is>
          <t>кг</t>
        </is>
      </c>
      <c r="W353" s="834" t="n">
        <v>0</v>
      </c>
      <c r="X353" s="835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8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 ht="27" customHeight="1">
      <c r="A354" s="64" t="inlineStr">
        <is>
          <t>SU000246</t>
        </is>
      </c>
      <c r="B354" s="64" t="inlineStr">
        <is>
          <t>P002690</t>
        </is>
      </c>
      <c r="C354" s="37" t="n">
        <v>4301051298</v>
      </c>
      <c r="D354" s="458" t="n">
        <v>4607091384260</v>
      </c>
      <c r="E354" s="798" t="n"/>
      <c r="F354" s="831" t="n">
        <v>1.3</v>
      </c>
      <c r="G354" s="38" t="n">
        <v>6</v>
      </c>
      <c r="H354" s="831" t="n">
        <v>7.8</v>
      </c>
      <c r="I354" s="831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35</v>
      </c>
      <c r="O354" s="10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54" s="833" t="n"/>
      <c r="Q354" s="833" t="n"/>
      <c r="R354" s="833" t="n"/>
      <c r="S354" s="798" t="n"/>
      <c r="T354" s="40" t="inlineStr"/>
      <c r="U354" s="40" t="inlineStr"/>
      <c r="V354" s="41" t="inlineStr">
        <is>
          <t>кг</t>
        </is>
      </c>
      <c r="W354" s="834" t="n">
        <v>0</v>
      </c>
      <c r="X354" s="835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9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>
      <c r="A355" s="467" t="n"/>
      <c r="B355" s="785" t="n"/>
      <c r="C355" s="785" t="n"/>
      <c r="D355" s="785" t="n"/>
      <c r="E355" s="785" t="n"/>
      <c r="F355" s="785" t="n"/>
      <c r="G355" s="785" t="n"/>
      <c r="H355" s="785" t="n"/>
      <c r="I355" s="785" t="n"/>
      <c r="J355" s="785" t="n"/>
      <c r="K355" s="785" t="n"/>
      <c r="L355" s="785" t="n"/>
      <c r="M355" s="785" t="n"/>
      <c r="N355" s="837" t="n"/>
      <c r="O355" s="838" t="inlineStr">
        <is>
          <t>Итого</t>
        </is>
      </c>
      <c r="P355" s="805" t="n"/>
      <c r="Q355" s="805" t="n"/>
      <c r="R355" s="805" t="n"/>
      <c r="S355" s="805" t="n"/>
      <c r="T355" s="805" t="n"/>
      <c r="U355" s="806" t="n"/>
      <c r="V355" s="43" t="inlineStr">
        <is>
          <t>кор</t>
        </is>
      </c>
      <c r="W355" s="839">
        <f>IFERROR(W352/H352,"0")+IFERROR(W353/H353,"0")+IFERROR(W354/H354,"0")</f>
        <v/>
      </c>
      <c r="X355" s="839">
        <f>IFERROR(X352/H352,"0")+IFERROR(X353/H353,"0")+IFERROR(X354/H354,"0")</f>
        <v/>
      </c>
      <c r="Y355" s="839">
        <f>IFERROR(IF(Y352="",0,Y352),"0")+IFERROR(IF(Y353="",0,Y353),"0")+IFERROR(IF(Y354="",0,Y354),"0")</f>
        <v/>
      </c>
      <c r="Z355" s="840" t="n"/>
      <c r="AA355" s="840" t="n"/>
    </row>
    <row r="356">
      <c r="A356" s="785" t="n"/>
      <c r="B356" s="785" t="n"/>
      <c r="C356" s="785" t="n"/>
      <c r="D356" s="785" t="n"/>
      <c r="E356" s="785" t="n"/>
      <c r="F356" s="785" t="n"/>
      <c r="G356" s="785" t="n"/>
      <c r="H356" s="785" t="n"/>
      <c r="I356" s="785" t="n"/>
      <c r="J356" s="785" t="n"/>
      <c r="K356" s="785" t="n"/>
      <c r="L356" s="785" t="n"/>
      <c r="M356" s="785" t="n"/>
      <c r="N356" s="837" t="n"/>
      <c r="O356" s="838" t="inlineStr">
        <is>
          <t>Итого</t>
        </is>
      </c>
      <c r="P356" s="805" t="n"/>
      <c r="Q356" s="805" t="n"/>
      <c r="R356" s="805" t="n"/>
      <c r="S356" s="805" t="n"/>
      <c r="T356" s="805" t="n"/>
      <c r="U356" s="806" t="n"/>
      <c r="V356" s="43" t="inlineStr">
        <is>
          <t>кг</t>
        </is>
      </c>
      <c r="W356" s="839">
        <f>IFERROR(SUM(W352:W354),"0")</f>
        <v/>
      </c>
      <c r="X356" s="839">
        <f>IFERROR(SUM(X352:X354),"0")</f>
        <v/>
      </c>
      <c r="Y356" s="43" t="n"/>
      <c r="Z356" s="840" t="n"/>
      <c r="AA356" s="840" t="n"/>
    </row>
    <row r="357" ht="14.25" customHeight="1">
      <c r="A357" s="457" t="inlineStr">
        <is>
          <t>Сардельки</t>
        </is>
      </c>
      <c r="B357" s="785" t="n"/>
      <c r="C357" s="785" t="n"/>
      <c r="D357" s="785" t="n"/>
      <c r="E357" s="785" t="n"/>
      <c r="F357" s="785" t="n"/>
      <c r="G357" s="785" t="n"/>
      <c r="H357" s="785" t="n"/>
      <c r="I357" s="785" t="n"/>
      <c r="J357" s="785" t="n"/>
      <c r="K357" s="785" t="n"/>
      <c r="L357" s="785" t="n"/>
      <c r="M357" s="785" t="n"/>
      <c r="N357" s="785" t="n"/>
      <c r="O357" s="785" t="n"/>
      <c r="P357" s="785" t="n"/>
      <c r="Q357" s="785" t="n"/>
      <c r="R357" s="785" t="n"/>
      <c r="S357" s="785" t="n"/>
      <c r="T357" s="785" t="n"/>
      <c r="U357" s="785" t="n"/>
      <c r="V357" s="785" t="n"/>
      <c r="W357" s="785" t="n"/>
      <c r="X357" s="785" t="n"/>
      <c r="Y357" s="785" t="n"/>
      <c r="Z357" s="457" t="n"/>
      <c r="AA357" s="457" t="n"/>
    </row>
    <row r="358" ht="16.5" customHeight="1">
      <c r="A358" s="64" t="inlineStr">
        <is>
          <t>SU002287</t>
        </is>
      </c>
      <c r="B358" s="64" t="inlineStr">
        <is>
          <t>P002490</t>
        </is>
      </c>
      <c r="C358" s="37" t="n">
        <v>4301060314</v>
      </c>
      <c r="D358" s="458" t="n">
        <v>4607091384673</v>
      </c>
      <c r="E358" s="798" t="n"/>
      <c r="F358" s="831" t="n">
        <v>1.3</v>
      </c>
      <c r="G358" s="38" t="n">
        <v>6</v>
      </c>
      <c r="H358" s="831" t="n">
        <v>7.8</v>
      </c>
      <c r="I358" s="831" t="n">
        <v>8.364000000000001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30</v>
      </c>
      <c r="O358" s="10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8" s="833" t="n"/>
      <c r="Q358" s="833" t="n"/>
      <c r="R358" s="833" t="n"/>
      <c r="S358" s="798" t="n"/>
      <c r="T358" s="40" t="inlineStr"/>
      <c r="U358" s="40" t="inlineStr"/>
      <c r="V358" s="41" t="inlineStr">
        <is>
          <t>кг</t>
        </is>
      </c>
      <c r="W358" s="834" t="n">
        <v>0</v>
      </c>
      <c r="X358" s="835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9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>
      <c r="A359" s="467" t="n"/>
      <c r="B359" s="785" t="n"/>
      <c r="C359" s="785" t="n"/>
      <c r="D359" s="785" t="n"/>
      <c r="E359" s="785" t="n"/>
      <c r="F359" s="785" t="n"/>
      <c r="G359" s="785" t="n"/>
      <c r="H359" s="785" t="n"/>
      <c r="I359" s="785" t="n"/>
      <c r="J359" s="785" t="n"/>
      <c r="K359" s="785" t="n"/>
      <c r="L359" s="785" t="n"/>
      <c r="M359" s="785" t="n"/>
      <c r="N359" s="837" t="n"/>
      <c r="O359" s="838" t="inlineStr">
        <is>
          <t>Итого</t>
        </is>
      </c>
      <c r="P359" s="805" t="n"/>
      <c r="Q359" s="805" t="n"/>
      <c r="R359" s="805" t="n"/>
      <c r="S359" s="805" t="n"/>
      <c r="T359" s="805" t="n"/>
      <c r="U359" s="806" t="n"/>
      <c r="V359" s="43" t="inlineStr">
        <is>
          <t>кор</t>
        </is>
      </c>
      <c r="W359" s="839">
        <f>IFERROR(W358/H358,"0")</f>
        <v/>
      </c>
      <c r="X359" s="839">
        <f>IFERROR(X358/H358,"0")</f>
        <v/>
      </c>
      <c r="Y359" s="839">
        <f>IFERROR(IF(Y358="",0,Y358),"0")</f>
        <v/>
      </c>
      <c r="Z359" s="840" t="n"/>
      <c r="AA359" s="840" t="n"/>
    </row>
    <row r="360">
      <c r="A360" s="785" t="n"/>
      <c r="B360" s="785" t="n"/>
      <c r="C360" s="785" t="n"/>
      <c r="D360" s="785" t="n"/>
      <c r="E360" s="785" t="n"/>
      <c r="F360" s="785" t="n"/>
      <c r="G360" s="785" t="n"/>
      <c r="H360" s="785" t="n"/>
      <c r="I360" s="785" t="n"/>
      <c r="J360" s="785" t="n"/>
      <c r="K360" s="785" t="n"/>
      <c r="L360" s="785" t="n"/>
      <c r="M360" s="785" t="n"/>
      <c r="N360" s="837" t="n"/>
      <c r="O360" s="838" t="inlineStr">
        <is>
          <t>Итого</t>
        </is>
      </c>
      <c r="P360" s="805" t="n"/>
      <c r="Q360" s="805" t="n"/>
      <c r="R360" s="805" t="n"/>
      <c r="S360" s="805" t="n"/>
      <c r="T360" s="805" t="n"/>
      <c r="U360" s="806" t="n"/>
      <c r="V360" s="43" t="inlineStr">
        <is>
          <t>кг</t>
        </is>
      </c>
      <c r="W360" s="839">
        <f>IFERROR(SUM(W358:W358),"0")</f>
        <v/>
      </c>
      <c r="X360" s="839">
        <f>IFERROR(SUM(X358:X358),"0")</f>
        <v/>
      </c>
      <c r="Y360" s="43" t="n"/>
      <c r="Z360" s="840" t="n"/>
      <c r="AA360" s="840" t="n"/>
    </row>
    <row r="361" ht="16.5" customHeight="1">
      <c r="A361" s="456" t="inlineStr">
        <is>
          <t>Особая Без свинины</t>
        </is>
      </c>
      <c r="B361" s="785" t="n"/>
      <c r="C361" s="785" t="n"/>
      <c r="D361" s="785" t="n"/>
      <c r="E361" s="785" t="n"/>
      <c r="F361" s="785" t="n"/>
      <c r="G361" s="785" t="n"/>
      <c r="H361" s="785" t="n"/>
      <c r="I361" s="785" t="n"/>
      <c r="J361" s="785" t="n"/>
      <c r="K361" s="785" t="n"/>
      <c r="L361" s="785" t="n"/>
      <c r="M361" s="785" t="n"/>
      <c r="N361" s="785" t="n"/>
      <c r="O361" s="785" t="n"/>
      <c r="P361" s="785" t="n"/>
      <c r="Q361" s="785" t="n"/>
      <c r="R361" s="785" t="n"/>
      <c r="S361" s="785" t="n"/>
      <c r="T361" s="785" t="n"/>
      <c r="U361" s="785" t="n"/>
      <c r="V361" s="785" t="n"/>
      <c r="W361" s="785" t="n"/>
      <c r="X361" s="785" t="n"/>
      <c r="Y361" s="785" t="n"/>
      <c r="Z361" s="456" t="n"/>
      <c r="AA361" s="456" t="n"/>
    </row>
    <row r="362" ht="14.25" customHeight="1">
      <c r="A362" s="457" t="inlineStr">
        <is>
          <t>Вареные колбасы</t>
        </is>
      </c>
      <c r="B362" s="785" t="n"/>
      <c r="C362" s="785" t="n"/>
      <c r="D362" s="785" t="n"/>
      <c r="E362" s="785" t="n"/>
      <c r="F362" s="785" t="n"/>
      <c r="G362" s="785" t="n"/>
      <c r="H362" s="785" t="n"/>
      <c r="I362" s="785" t="n"/>
      <c r="J362" s="785" t="n"/>
      <c r="K362" s="785" t="n"/>
      <c r="L362" s="785" t="n"/>
      <c r="M362" s="785" t="n"/>
      <c r="N362" s="785" t="n"/>
      <c r="O362" s="785" t="n"/>
      <c r="P362" s="785" t="n"/>
      <c r="Q362" s="785" t="n"/>
      <c r="R362" s="785" t="n"/>
      <c r="S362" s="785" t="n"/>
      <c r="T362" s="785" t="n"/>
      <c r="U362" s="785" t="n"/>
      <c r="V362" s="785" t="n"/>
      <c r="W362" s="785" t="n"/>
      <c r="X362" s="785" t="n"/>
      <c r="Y362" s="785" t="n"/>
      <c r="Z362" s="457" t="n"/>
      <c r="AA362" s="457" t="n"/>
    </row>
    <row r="363" ht="37.5" customHeight="1">
      <c r="A363" s="64" t="inlineStr">
        <is>
          <t>SU002073</t>
        </is>
      </c>
      <c r="B363" s="64" t="inlineStr">
        <is>
          <t>P002563</t>
        </is>
      </c>
      <c r="C363" s="37" t="n">
        <v>4301011324</v>
      </c>
      <c r="D363" s="458" t="n">
        <v>4607091384185</v>
      </c>
      <c r="E363" s="798" t="n"/>
      <c r="F363" s="831" t="n">
        <v>0.8</v>
      </c>
      <c r="G363" s="38" t="n">
        <v>15</v>
      </c>
      <c r="H363" s="831" t="n">
        <v>12</v>
      </c>
      <c r="I363" s="831" t="n">
        <v>12.48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10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63" s="833" t="n"/>
      <c r="Q363" s="833" t="n"/>
      <c r="R363" s="833" t="n"/>
      <c r="S363" s="798" t="n"/>
      <c r="T363" s="40" t="inlineStr"/>
      <c r="U363" s="40" t="inlineStr"/>
      <c r="V363" s="41" t="inlineStr">
        <is>
          <t>кг</t>
        </is>
      </c>
      <c r="W363" s="834" t="n">
        <v>0</v>
      </c>
      <c r="X363" s="835">
        <f>IFERROR(IF(W363="",0,CEILING((W363/$H363),1)*$H363),"")</f>
        <v/>
      </c>
      <c r="Y363" s="42">
        <f>IFERROR(IF(X363=0,"",ROUNDUP(X363/H363,0)*0.02175),"")</f>
        <v/>
      </c>
      <c r="Z363" s="69" t="inlineStr"/>
      <c r="AA363" s="70" t="inlineStr"/>
      <c r="AE363" s="80" t="n"/>
      <c r="BB363" s="291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37.5" customHeight="1">
      <c r="A364" s="64" t="inlineStr">
        <is>
          <t>SU002187</t>
        </is>
      </c>
      <c r="B364" s="64" t="inlineStr">
        <is>
          <t>P002559</t>
        </is>
      </c>
      <c r="C364" s="37" t="n">
        <v>4301011312</v>
      </c>
      <c r="D364" s="458" t="n">
        <v>4607091384192</v>
      </c>
      <c r="E364" s="798" t="n"/>
      <c r="F364" s="831" t="n">
        <v>1.8</v>
      </c>
      <c r="G364" s="38" t="n">
        <v>6</v>
      </c>
      <c r="H364" s="831" t="n">
        <v>10.8</v>
      </c>
      <c r="I364" s="831" t="n">
        <v>11.28</v>
      </c>
      <c r="J364" s="38" t="n">
        <v>56</v>
      </c>
      <c r="K364" s="38" t="inlineStr">
        <is>
          <t>8</t>
        </is>
      </c>
      <c r="L364" s="39" t="inlineStr">
        <is>
          <t>СК1</t>
        </is>
      </c>
      <c r="M364" s="39" t="n"/>
      <c r="N364" s="38" t="n">
        <v>60</v>
      </c>
      <c r="O364" s="10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64" s="833" t="n"/>
      <c r="Q364" s="833" t="n"/>
      <c r="R364" s="833" t="n"/>
      <c r="S364" s="798" t="n"/>
      <c r="T364" s="40" t="inlineStr"/>
      <c r="U364" s="40" t="inlineStr"/>
      <c r="V364" s="41" t="inlineStr">
        <is>
          <t>кг</t>
        </is>
      </c>
      <c r="W364" s="834" t="n">
        <v>0</v>
      </c>
      <c r="X364" s="835">
        <f>IFERROR(IF(W364="",0,CEILING((W364/$H364),1)*$H364),"")</f>
        <v/>
      </c>
      <c r="Y364" s="42">
        <f>IFERROR(IF(X364=0,"",ROUNDUP(X364/H364,0)*0.02175),"")</f>
        <v/>
      </c>
      <c r="Z364" s="69" t="inlineStr"/>
      <c r="AA364" s="70" t="inlineStr"/>
      <c r="AE364" s="80" t="n"/>
      <c r="BB364" s="292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 ht="27" customHeight="1">
      <c r="A365" s="64" t="inlineStr">
        <is>
          <t>SU002899</t>
        </is>
      </c>
      <c r="B365" s="64" t="inlineStr">
        <is>
          <t>P003323</t>
        </is>
      </c>
      <c r="C365" s="37" t="n">
        <v>4301011483</v>
      </c>
      <c r="D365" s="458" t="n">
        <v>4680115881907</v>
      </c>
      <c r="E365" s="798" t="n"/>
      <c r="F365" s="831" t="n">
        <v>1.8</v>
      </c>
      <c r="G365" s="38" t="n">
        <v>6</v>
      </c>
      <c r="H365" s="831" t="n">
        <v>10.8</v>
      </c>
      <c r="I365" s="831" t="n">
        <v>11.28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9" t="n"/>
      <c r="N365" s="38" t="n">
        <v>60</v>
      </c>
      <c r="O365" s="10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5" s="833" t="n"/>
      <c r="Q365" s="833" t="n"/>
      <c r="R365" s="833" t="n"/>
      <c r="S365" s="798" t="n"/>
      <c r="T365" s="40" t="inlineStr"/>
      <c r="U365" s="40" t="inlineStr"/>
      <c r="V365" s="41" t="inlineStr">
        <is>
          <t>кг</t>
        </is>
      </c>
      <c r="W365" s="834" t="n">
        <v>0</v>
      </c>
      <c r="X365" s="835">
        <f>IFERROR(IF(W365="",0,CEILING((W365/$H365),1)*$H365),"")</f>
        <v/>
      </c>
      <c r="Y365" s="42">
        <f>IFERROR(IF(X365=0,"",ROUNDUP(X365/H365,0)*0.02175),"")</f>
        <v/>
      </c>
      <c r="Z365" s="69" t="inlineStr"/>
      <c r="AA365" s="70" t="inlineStr"/>
      <c r="AE365" s="80" t="n"/>
      <c r="BB365" s="293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 ht="27" customHeight="1">
      <c r="A366" s="64" t="inlineStr">
        <is>
          <t>SU003226</t>
        </is>
      </c>
      <c r="B366" s="64" t="inlineStr">
        <is>
          <t>P003844</t>
        </is>
      </c>
      <c r="C366" s="37" t="n">
        <v>4301011655</v>
      </c>
      <c r="D366" s="458" t="n">
        <v>4680115883925</v>
      </c>
      <c r="E366" s="798" t="n"/>
      <c r="F366" s="831" t="n">
        <v>2.5</v>
      </c>
      <c r="G366" s="38" t="n">
        <v>6</v>
      </c>
      <c r="H366" s="831" t="n">
        <v>15</v>
      </c>
      <c r="I366" s="831" t="n">
        <v>15.48</v>
      </c>
      <c r="J366" s="38" t="n">
        <v>48</v>
      </c>
      <c r="K366" s="38" t="inlineStr">
        <is>
          <t>8</t>
        </is>
      </c>
      <c r="L366" s="39" t="inlineStr">
        <is>
          <t>СК2</t>
        </is>
      </c>
      <c r="M366" s="39" t="n"/>
      <c r="N366" s="38" t="n">
        <v>60</v>
      </c>
      <c r="O366" s="105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6" s="833" t="n"/>
      <c r="Q366" s="833" t="n"/>
      <c r="R366" s="833" t="n"/>
      <c r="S366" s="798" t="n"/>
      <c r="T366" s="40" t="inlineStr"/>
      <c r="U366" s="40" t="inlineStr"/>
      <c r="V366" s="41" t="inlineStr">
        <is>
          <t>кг</t>
        </is>
      </c>
      <c r="W366" s="834" t="n">
        <v>0</v>
      </c>
      <c r="X366" s="835">
        <f>IFERROR(IF(W366="",0,CEILING((W366/$H366),1)*$H366),"")</f>
        <v/>
      </c>
      <c r="Y366" s="42">
        <f>IFERROR(IF(X366=0,"",ROUNDUP(X366/H366,0)*0.02175),"")</f>
        <v/>
      </c>
      <c r="Z366" s="69" t="inlineStr"/>
      <c r="AA366" s="70" t="inlineStr"/>
      <c r="AE366" s="80" t="n"/>
      <c r="BB366" s="294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37.5" customHeight="1">
      <c r="A367" s="64" t="inlineStr">
        <is>
          <t>SU002462</t>
        </is>
      </c>
      <c r="B367" s="64" t="inlineStr">
        <is>
          <t>P002768</t>
        </is>
      </c>
      <c r="C367" s="37" t="n">
        <v>4301011303</v>
      </c>
      <c r="D367" s="458" t="n">
        <v>4607091384680</v>
      </c>
      <c r="E367" s="798" t="n"/>
      <c r="F367" s="831" t="n">
        <v>0.4</v>
      </c>
      <c r="G367" s="38" t="n">
        <v>10</v>
      </c>
      <c r="H367" s="831" t="n">
        <v>4</v>
      </c>
      <c r="I367" s="831" t="n">
        <v>4.21</v>
      </c>
      <c r="J367" s="38" t="n">
        <v>120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60</v>
      </c>
      <c r="O367" s="105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7" s="833" t="n"/>
      <c r="Q367" s="833" t="n"/>
      <c r="R367" s="833" t="n"/>
      <c r="S367" s="798" t="n"/>
      <c r="T367" s="40" t="inlineStr"/>
      <c r="U367" s="40" t="inlineStr"/>
      <c r="V367" s="41" t="inlineStr">
        <is>
          <t>кг</t>
        </is>
      </c>
      <c r="W367" s="834" t="n">
        <v>0</v>
      </c>
      <c r="X367" s="835">
        <f>IFERROR(IF(W367="",0,CEILING((W367/$H367),1)*$H367),"")</f>
        <v/>
      </c>
      <c r="Y367" s="42">
        <f>IFERROR(IF(X367=0,"",ROUNDUP(X367/H367,0)*0.00937),"")</f>
        <v/>
      </c>
      <c r="Z367" s="69" t="inlineStr"/>
      <c r="AA367" s="70" t="inlineStr"/>
      <c r="AE367" s="80" t="n"/>
      <c r="BB367" s="295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>
      <c r="A368" s="467" t="n"/>
      <c r="B368" s="785" t="n"/>
      <c r="C368" s="785" t="n"/>
      <c r="D368" s="785" t="n"/>
      <c r="E368" s="785" t="n"/>
      <c r="F368" s="785" t="n"/>
      <c r="G368" s="785" t="n"/>
      <c r="H368" s="785" t="n"/>
      <c r="I368" s="785" t="n"/>
      <c r="J368" s="785" t="n"/>
      <c r="K368" s="785" t="n"/>
      <c r="L368" s="785" t="n"/>
      <c r="M368" s="785" t="n"/>
      <c r="N368" s="837" t="n"/>
      <c r="O368" s="838" t="inlineStr">
        <is>
          <t>Итого</t>
        </is>
      </c>
      <c r="P368" s="805" t="n"/>
      <c r="Q368" s="805" t="n"/>
      <c r="R368" s="805" t="n"/>
      <c r="S368" s="805" t="n"/>
      <c r="T368" s="805" t="n"/>
      <c r="U368" s="806" t="n"/>
      <c r="V368" s="43" t="inlineStr">
        <is>
          <t>кор</t>
        </is>
      </c>
      <c r="W368" s="839">
        <f>IFERROR(W363/H363,"0")+IFERROR(W364/H364,"0")+IFERROR(W365/H365,"0")+IFERROR(W366/H366,"0")+IFERROR(W367/H367,"0")</f>
        <v/>
      </c>
      <c r="X368" s="839">
        <f>IFERROR(X363/H363,"0")+IFERROR(X364/H364,"0")+IFERROR(X365/H365,"0")+IFERROR(X366/H366,"0")+IFERROR(X367/H367,"0")</f>
        <v/>
      </c>
      <c r="Y368" s="839">
        <f>IFERROR(IF(Y363="",0,Y363),"0")+IFERROR(IF(Y364="",0,Y364),"0")+IFERROR(IF(Y365="",0,Y365),"0")+IFERROR(IF(Y366="",0,Y366),"0")+IFERROR(IF(Y367="",0,Y367),"0")</f>
        <v/>
      </c>
      <c r="Z368" s="840" t="n"/>
      <c r="AA368" s="840" t="n"/>
    </row>
    <row r="369">
      <c r="A369" s="785" t="n"/>
      <c r="B369" s="785" t="n"/>
      <c r="C369" s="785" t="n"/>
      <c r="D369" s="785" t="n"/>
      <c r="E369" s="785" t="n"/>
      <c r="F369" s="785" t="n"/>
      <c r="G369" s="785" t="n"/>
      <c r="H369" s="785" t="n"/>
      <c r="I369" s="785" t="n"/>
      <c r="J369" s="785" t="n"/>
      <c r="K369" s="785" t="n"/>
      <c r="L369" s="785" t="n"/>
      <c r="M369" s="785" t="n"/>
      <c r="N369" s="837" t="n"/>
      <c r="O369" s="838" t="inlineStr">
        <is>
          <t>Итого</t>
        </is>
      </c>
      <c r="P369" s="805" t="n"/>
      <c r="Q369" s="805" t="n"/>
      <c r="R369" s="805" t="n"/>
      <c r="S369" s="805" t="n"/>
      <c r="T369" s="805" t="n"/>
      <c r="U369" s="806" t="n"/>
      <c r="V369" s="43" t="inlineStr">
        <is>
          <t>кг</t>
        </is>
      </c>
      <c r="W369" s="839">
        <f>IFERROR(SUM(W363:W367),"0")</f>
        <v/>
      </c>
      <c r="X369" s="839">
        <f>IFERROR(SUM(X363:X367),"0")</f>
        <v/>
      </c>
      <c r="Y369" s="43" t="n"/>
      <c r="Z369" s="840" t="n"/>
      <c r="AA369" s="840" t="n"/>
    </row>
    <row r="370" ht="14.25" customHeight="1">
      <c r="A370" s="457" t="inlineStr">
        <is>
          <t>Копченые колбасы</t>
        </is>
      </c>
      <c r="B370" s="785" t="n"/>
      <c r="C370" s="785" t="n"/>
      <c r="D370" s="785" t="n"/>
      <c r="E370" s="785" t="n"/>
      <c r="F370" s="785" t="n"/>
      <c r="G370" s="785" t="n"/>
      <c r="H370" s="785" t="n"/>
      <c r="I370" s="785" t="n"/>
      <c r="J370" s="785" t="n"/>
      <c r="K370" s="785" t="n"/>
      <c r="L370" s="785" t="n"/>
      <c r="M370" s="785" t="n"/>
      <c r="N370" s="785" t="n"/>
      <c r="O370" s="785" t="n"/>
      <c r="P370" s="785" t="n"/>
      <c r="Q370" s="785" t="n"/>
      <c r="R370" s="785" t="n"/>
      <c r="S370" s="785" t="n"/>
      <c r="T370" s="785" t="n"/>
      <c r="U370" s="785" t="n"/>
      <c r="V370" s="785" t="n"/>
      <c r="W370" s="785" t="n"/>
      <c r="X370" s="785" t="n"/>
      <c r="Y370" s="785" t="n"/>
      <c r="Z370" s="457" t="n"/>
      <c r="AA370" s="457" t="n"/>
    </row>
    <row r="371" ht="27" customHeight="1">
      <c r="A371" s="64" t="inlineStr">
        <is>
          <t>SU002360</t>
        </is>
      </c>
      <c r="B371" s="64" t="inlineStr">
        <is>
          <t>P002629</t>
        </is>
      </c>
      <c r="C371" s="37" t="n">
        <v>4301031139</v>
      </c>
      <c r="D371" s="458" t="n">
        <v>4607091384802</v>
      </c>
      <c r="E371" s="798" t="n"/>
      <c r="F371" s="831" t="n">
        <v>0.73</v>
      </c>
      <c r="G371" s="38" t="n">
        <v>6</v>
      </c>
      <c r="H371" s="831" t="n">
        <v>4.38</v>
      </c>
      <c r="I371" s="831" t="n">
        <v>4.58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35</v>
      </c>
      <c r="O371" s="105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71" s="833" t="n"/>
      <c r="Q371" s="833" t="n"/>
      <c r="R371" s="833" t="n"/>
      <c r="S371" s="798" t="n"/>
      <c r="T371" s="40" t="inlineStr"/>
      <c r="U371" s="40" t="inlineStr"/>
      <c r="V371" s="41" t="inlineStr">
        <is>
          <t>кг</t>
        </is>
      </c>
      <c r="W371" s="834" t="n">
        <v>0</v>
      </c>
      <c r="X371" s="835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96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SU002361</t>
        </is>
      </c>
      <c r="B372" s="64" t="inlineStr">
        <is>
          <t>P002630</t>
        </is>
      </c>
      <c r="C372" s="37" t="n">
        <v>4301031140</v>
      </c>
      <c r="D372" s="458" t="n">
        <v>4607091384826</v>
      </c>
      <c r="E372" s="798" t="n"/>
      <c r="F372" s="831" t="n">
        <v>0.35</v>
      </c>
      <c r="G372" s="38" t="n">
        <v>8</v>
      </c>
      <c r="H372" s="831" t="n">
        <v>2.8</v>
      </c>
      <c r="I372" s="831" t="n">
        <v>2.9</v>
      </c>
      <c r="J372" s="38" t="n">
        <v>234</v>
      </c>
      <c r="K372" s="38" t="inlineStr">
        <is>
          <t>18</t>
        </is>
      </c>
      <c r="L372" s="39" t="inlineStr">
        <is>
          <t>СК2</t>
        </is>
      </c>
      <c r="M372" s="39" t="n"/>
      <c r="N372" s="38" t="n">
        <v>35</v>
      </c>
      <c r="O372" s="105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72" s="833" t="n"/>
      <c r="Q372" s="833" t="n"/>
      <c r="R372" s="833" t="n"/>
      <c r="S372" s="798" t="n"/>
      <c r="T372" s="40" t="inlineStr"/>
      <c r="U372" s="40" t="inlineStr"/>
      <c r="V372" s="41" t="inlineStr">
        <is>
          <t>кг</t>
        </is>
      </c>
      <c r="W372" s="834" t="n">
        <v>0</v>
      </c>
      <c r="X372" s="835">
        <f>IFERROR(IF(W372="",0,CEILING((W372/$H372),1)*$H372),"")</f>
        <v/>
      </c>
      <c r="Y372" s="42">
        <f>IFERROR(IF(X372=0,"",ROUNDUP(X372/H372,0)*0.00502),"")</f>
        <v/>
      </c>
      <c r="Z372" s="69" t="inlineStr"/>
      <c r="AA372" s="70" t="inlineStr"/>
      <c r="AE372" s="80" t="n"/>
      <c r="BB372" s="297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>
      <c r="A373" s="467" t="n"/>
      <c r="B373" s="785" t="n"/>
      <c r="C373" s="785" t="n"/>
      <c r="D373" s="785" t="n"/>
      <c r="E373" s="785" t="n"/>
      <c r="F373" s="785" t="n"/>
      <c r="G373" s="785" t="n"/>
      <c r="H373" s="785" t="n"/>
      <c r="I373" s="785" t="n"/>
      <c r="J373" s="785" t="n"/>
      <c r="K373" s="785" t="n"/>
      <c r="L373" s="785" t="n"/>
      <c r="M373" s="785" t="n"/>
      <c r="N373" s="837" t="n"/>
      <c r="O373" s="838" t="inlineStr">
        <is>
          <t>Итого</t>
        </is>
      </c>
      <c r="P373" s="805" t="n"/>
      <c r="Q373" s="805" t="n"/>
      <c r="R373" s="805" t="n"/>
      <c r="S373" s="805" t="n"/>
      <c r="T373" s="805" t="n"/>
      <c r="U373" s="806" t="n"/>
      <c r="V373" s="43" t="inlineStr">
        <is>
          <t>кор</t>
        </is>
      </c>
      <c r="W373" s="839">
        <f>IFERROR(W371/H371,"0")+IFERROR(W372/H372,"0")</f>
        <v/>
      </c>
      <c r="X373" s="839">
        <f>IFERROR(X371/H371,"0")+IFERROR(X372/H372,"0")</f>
        <v/>
      </c>
      <c r="Y373" s="839">
        <f>IFERROR(IF(Y371="",0,Y371),"0")+IFERROR(IF(Y372="",0,Y372),"0")</f>
        <v/>
      </c>
      <c r="Z373" s="840" t="n"/>
      <c r="AA373" s="840" t="n"/>
    </row>
    <row r="374">
      <c r="A374" s="785" t="n"/>
      <c r="B374" s="785" t="n"/>
      <c r="C374" s="785" t="n"/>
      <c r="D374" s="785" t="n"/>
      <c r="E374" s="785" t="n"/>
      <c r="F374" s="785" t="n"/>
      <c r="G374" s="785" t="n"/>
      <c r="H374" s="785" t="n"/>
      <c r="I374" s="785" t="n"/>
      <c r="J374" s="785" t="n"/>
      <c r="K374" s="785" t="n"/>
      <c r="L374" s="785" t="n"/>
      <c r="M374" s="785" t="n"/>
      <c r="N374" s="837" t="n"/>
      <c r="O374" s="838" t="inlineStr">
        <is>
          <t>Итого</t>
        </is>
      </c>
      <c r="P374" s="805" t="n"/>
      <c r="Q374" s="805" t="n"/>
      <c r="R374" s="805" t="n"/>
      <c r="S374" s="805" t="n"/>
      <c r="T374" s="805" t="n"/>
      <c r="U374" s="806" t="n"/>
      <c r="V374" s="43" t="inlineStr">
        <is>
          <t>кг</t>
        </is>
      </c>
      <c r="W374" s="839">
        <f>IFERROR(SUM(W371:W372),"0")</f>
        <v/>
      </c>
      <c r="X374" s="839">
        <f>IFERROR(SUM(X371:X372),"0")</f>
        <v/>
      </c>
      <c r="Y374" s="43" t="n"/>
      <c r="Z374" s="840" t="n"/>
      <c r="AA374" s="840" t="n"/>
    </row>
    <row r="375" ht="14.25" customHeight="1">
      <c r="A375" s="457" t="inlineStr">
        <is>
          <t>Сосиски</t>
        </is>
      </c>
      <c r="B375" s="785" t="n"/>
      <c r="C375" s="785" t="n"/>
      <c r="D375" s="785" t="n"/>
      <c r="E375" s="785" t="n"/>
      <c r="F375" s="785" t="n"/>
      <c r="G375" s="785" t="n"/>
      <c r="H375" s="785" t="n"/>
      <c r="I375" s="785" t="n"/>
      <c r="J375" s="785" t="n"/>
      <c r="K375" s="785" t="n"/>
      <c r="L375" s="785" t="n"/>
      <c r="M375" s="785" t="n"/>
      <c r="N375" s="785" t="n"/>
      <c r="O375" s="785" t="n"/>
      <c r="P375" s="785" t="n"/>
      <c r="Q375" s="785" t="n"/>
      <c r="R375" s="785" t="n"/>
      <c r="S375" s="785" t="n"/>
      <c r="T375" s="785" t="n"/>
      <c r="U375" s="785" t="n"/>
      <c r="V375" s="785" t="n"/>
      <c r="W375" s="785" t="n"/>
      <c r="X375" s="785" t="n"/>
      <c r="Y375" s="785" t="n"/>
      <c r="Z375" s="457" t="n"/>
      <c r="AA375" s="457" t="n"/>
    </row>
    <row r="376" ht="27" customHeight="1">
      <c r="A376" s="64" t="inlineStr">
        <is>
          <t>SU002074</t>
        </is>
      </c>
      <c r="B376" s="64" t="inlineStr">
        <is>
          <t>P002693</t>
        </is>
      </c>
      <c r="C376" s="37" t="n">
        <v>4301051303</v>
      </c>
      <c r="D376" s="458" t="n">
        <v>4607091384246</v>
      </c>
      <c r="E376" s="798" t="n"/>
      <c r="F376" s="831" t="n">
        <v>1.3</v>
      </c>
      <c r="G376" s="38" t="n">
        <v>6</v>
      </c>
      <c r="H376" s="831" t="n">
        <v>7.8</v>
      </c>
      <c r="I376" s="831" t="n">
        <v>8.364000000000001</v>
      </c>
      <c r="J376" s="38" t="n">
        <v>56</v>
      </c>
      <c r="K376" s="38" t="inlineStr">
        <is>
          <t>8</t>
        </is>
      </c>
      <c r="L376" s="39" t="inlineStr">
        <is>
          <t>СК2</t>
        </is>
      </c>
      <c r="M376" s="39" t="n"/>
      <c r="N376" s="38" t="n">
        <v>40</v>
      </c>
      <c r="O376" s="105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6" s="833" t="n"/>
      <c r="Q376" s="833" t="n"/>
      <c r="R376" s="833" t="n"/>
      <c r="S376" s="798" t="n"/>
      <c r="T376" s="40" t="inlineStr"/>
      <c r="U376" s="40" t="inlineStr"/>
      <c r="V376" s="41" t="inlineStr">
        <is>
          <t>кг</t>
        </is>
      </c>
      <c r="W376" s="834" t="n">
        <v>0</v>
      </c>
      <c r="X376" s="835">
        <f>IFERROR(IF(W376="",0,CEILING((W376/$H376),1)*$H376),"")</f>
        <v/>
      </c>
      <c r="Y376" s="42">
        <f>IFERROR(IF(X376=0,"",ROUNDUP(X376/H376,0)*0.02175),"")</f>
        <v/>
      </c>
      <c r="Z376" s="69" t="inlineStr"/>
      <c r="AA376" s="70" t="inlineStr"/>
      <c r="AE376" s="80" t="n"/>
      <c r="BB376" s="298" t="inlineStr">
        <is>
          <t>КИ</t>
        </is>
      </c>
      <c r="BL376" s="80">
        <f>IFERROR(W376*I376/H376,"0")</f>
        <v/>
      </c>
      <c r="BM376" s="80">
        <f>IFERROR(X376*I376/H376,"0")</f>
        <v/>
      </c>
      <c r="BN376" s="80">
        <f>IFERROR(1/J376*(W376/H376),"0")</f>
        <v/>
      </c>
      <c r="BO376" s="80">
        <f>IFERROR(1/J376*(X376/H376),"0")</f>
        <v/>
      </c>
    </row>
    <row r="377" ht="27" customHeight="1">
      <c r="A377" s="64" t="inlineStr">
        <is>
          <t>SU002896</t>
        </is>
      </c>
      <c r="B377" s="64" t="inlineStr">
        <is>
          <t>P003330</t>
        </is>
      </c>
      <c r="C377" s="37" t="n">
        <v>4301051445</v>
      </c>
      <c r="D377" s="458" t="n">
        <v>4680115881976</v>
      </c>
      <c r="E377" s="798" t="n"/>
      <c r="F377" s="831" t="n">
        <v>1.3</v>
      </c>
      <c r="G377" s="38" t="n">
        <v>6</v>
      </c>
      <c r="H377" s="831" t="n">
        <v>7.8</v>
      </c>
      <c r="I377" s="831" t="n">
        <v>8.279999999999999</v>
      </c>
      <c r="J377" s="38" t="n">
        <v>56</v>
      </c>
      <c r="K377" s="38" t="inlineStr">
        <is>
          <t>8</t>
        </is>
      </c>
      <c r="L377" s="39" t="inlineStr">
        <is>
          <t>СК2</t>
        </is>
      </c>
      <c r="M377" s="39" t="n"/>
      <c r="N377" s="38" t="n">
        <v>40</v>
      </c>
      <c r="O377" s="105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7" s="833" t="n"/>
      <c r="Q377" s="833" t="n"/>
      <c r="R377" s="833" t="n"/>
      <c r="S377" s="798" t="n"/>
      <c r="T377" s="40" t="inlineStr"/>
      <c r="U377" s="40" t="inlineStr"/>
      <c r="V377" s="41" t="inlineStr">
        <is>
          <t>кг</t>
        </is>
      </c>
      <c r="W377" s="834" t="n">
        <v>0</v>
      </c>
      <c r="X377" s="835">
        <f>IFERROR(IF(W377="",0,CEILING((W377/$H377),1)*$H377),"")</f>
        <v/>
      </c>
      <c r="Y377" s="42">
        <f>IFERROR(IF(X377=0,"",ROUNDUP(X377/H377,0)*0.02175),"")</f>
        <v/>
      </c>
      <c r="Z377" s="69" t="inlineStr"/>
      <c r="AA377" s="70" t="inlineStr"/>
      <c r="AE377" s="80" t="n"/>
      <c r="BB377" s="299" t="inlineStr">
        <is>
          <t>КИ</t>
        </is>
      </c>
      <c r="BL377" s="80">
        <f>IFERROR(W377*I377/H377,"0")</f>
        <v/>
      </c>
      <c r="BM377" s="80">
        <f>IFERROR(X377*I377/H377,"0")</f>
        <v/>
      </c>
      <c r="BN377" s="80">
        <f>IFERROR(1/J377*(W377/H377),"0")</f>
        <v/>
      </c>
      <c r="BO377" s="80">
        <f>IFERROR(1/J377*(X377/H377),"0")</f>
        <v/>
      </c>
    </row>
    <row r="378" ht="27" customHeight="1">
      <c r="A378" s="64" t="inlineStr">
        <is>
          <t>SU002205</t>
        </is>
      </c>
      <c r="B378" s="64" t="inlineStr">
        <is>
          <t>P002694</t>
        </is>
      </c>
      <c r="C378" s="37" t="n">
        <v>4301051297</v>
      </c>
      <c r="D378" s="458" t="n">
        <v>4607091384253</v>
      </c>
      <c r="E378" s="798" t="n"/>
      <c r="F378" s="831" t="n">
        <v>0.4</v>
      </c>
      <c r="G378" s="38" t="n">
        <v>6</v>
      </c>
      <c r="H378" s="831" t="n">
        <v>2.4</v>
      </c>
      <c r="I378" s="831" t="n">
        <v>2.684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9" t="n"/>
      <c r="N378" s="38" t="n">
        <v>40</v>
      </c>
      <c r="O378" s="105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8" s="833" t="n"/>
      <c r="Q378" s="833" t="n"/>
      <c r="R378" s="833" t="n"/>
      <c r="S378" s="798" t="n"/>
      <c r="T378" s="40" t="inlineStr"/>
      <c r="U378" s="40" t="inlineStr"/>
      <c r="V378" s="41" t="inlineStr">
        <is>
          <t>кг</t>
        </is>
      </c>
      <c r="W378" s="834" t="n">
        <v>0</v>
      </c>
      <c r="X378" s="835">
        <f>IFERROR(IF(W378="",0,CEILING((W378/$H378),1)*$H378),"")</f>
        <v/>
      </c>
      <c r="Y378" s="42">
        <f>IFERROR(IF(X378=0,"",ROUNDUP(X378/H378,0)*0.00753),"")</f>
        <v/>
      </c>
      <c r="Z378" s="69" t="inlineStr"/>
      <c r="AA378" s="70" t="inlineStr"/>
      <c r="AE378" s="80" t="n"/>
      <c r="BB378" s="300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 ht="27" customHeight="1">
      <c r="A379" s="64" t="inlineStr">
        <is>
          <t>SU002895</t>
        </is>
      </c>
      <c r="B379" s="64" t="inlineStr">
        <is>
          <t>P003329</t>
        </is>
      </c>
      <c r="C379" s="37" t="n">
        <v>4301051444</v>
      </c>
      <c r="D379" s="458" t="n">
        <v>4680115881969</v>
      </c>
      <c r="E379" s="798" t="n"/>
      <c r="F379" s="831" t="n">
        <v>0.4</v>
      </c>
      <c r="G379" s="38" t="n">
        <v>6</v>
      </c>
      <c r="H379" s="831" t="n">
        <v>2.4</v>
      </c>
      <c r="I379" s="831" t="n">
        <v>2.6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9" t="n"/>
      <c r="N379" s="38" t="n">
        <v>40</v>
      </c>
      <c r="O379" s="105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9" s="833" t="n"/>
      <c r="Q379" s="833" t="n"/>
      <c r="R379" s="833" t="n"/>
      <c r="S379" s="798" t="n"/>
      <c r="T379" s="40" t="inlineStr"/>
      <c r="U379" s="40" t="inlineStr"/>
      <c r="V379" s="41" t="inlineStr">
        <is>
          <t>кг</t>
        </is>
      </c>
      <c r="W379" s="834" t="n">
        <v>0</v>
      </c>
      <c r="X379" s="835">
        <f>IFERROR(IF(W379="",0,CEILING((W379/$H379),1)*$H379),"")</f>
        <v/>
      </c>
      <c r="Y379" s="42">
        <f>IFERROR(IF(X379=0,"",ROUNDUP(X379/H379,0)*0.00753),"")</f>
        <v/>
      </c>
      <c r="Z379" s="69" t="inlineStr"/>
      <c r="AA379" s="70" t="inlineStr"/>
      <c r="AE379" s="80" t="n"/>
      <c r="BB379" s="301" t="inlineStr">
        <is>
          <t>КИ</t>
        </is>
      </c>
      <c r="BL379" s="80">
        <f>IFERROR(W379*I379/H379,"0")</f>
        <v/>
      </c>
      <c r="BM379" s="80">
        <f>IFERROR(X379*I379/H379,"0")</f>
        <v/>
      </c>
      <c r="BN379" s="80">
        <f>IFERROR(1/J379*(W379/H379),"0")</f>
        <v/>
      </c>
      <c r="BO379" s="80">
        <f>IFERROR(1/J379*(X379/H379),"0")</f>
        <v/>
      </c>
    </row>
    <row r="380">
      <c r="A380" s="467" t="n"/>
      <c r="B380" s="785" t="n"/>
      <c r="C380" s="785" t="n"/>
      <c r="D380" s="785" t="n"/>
      <c r="E380" s="785" t="n"/>
      <c r="F380" s="785" t="n"/>
      <c r="G380" s="785" t="n"/>
      <c r="H380" s="785" t="n"/>
      <c r="I380" s="785" t="n"/>
      <c r="J380" s="785" t="n"/>
      <c r="K380" s="785" t="n"/>
      <c r="L380" s="785" t="n"/>
      <c r="M380" s="785" t="n"/>
      <c r="N380" s="837" t="n"/>
      <c r="O380" s="838" t="inlineStr">
        <is>
          <t>Итого</t>
        </is>
      </c>
      <c r="P380" s="805" t="n"/>
      <c r="Q380" s="805" t="n"/>
      <c r="R380" s="805" t="n"/>
      <c r="S380" s="805" t="n"/>
      <c r="T380" s="805" t="n"/>
      <c r="U380" s="806" t="n"/>
      <c r="V380" s="43" t="inlineStr">
        <is>
          <t>кор</t>
        </is>
      </c>
      <c r="W380" s="839">
        <f>IFERROR(W376/H376,"0")+IFERROR(W377/H377,"0")+IFERROR(W378/H378,"0")+IFERROR(W379/H379,"0")</f>
        <v/>
      </c>
      <c r="X380" s="839">
        <f>IFERROR(X376/H376,"0")+IFERROR(X377/H377,"0")+IFERROR(X378/H378,"0")+IFERROR(X379/H379,"0")</f>
        <v/>
      </c>
      <c r="Y380" s="839">
        <f>IFERROR(IF(Y376="",0,Y376),"0")+IFERROR(IF(Y377="",0,Y377),"0")+IFERROR(IF(Y378="",0,Y378),"0")+IFERROR(IF(Y379="",0,Y379),"0")</f>
        <v/>
      </c>
      <c r="Z380" s="840" t="n"/>
      <c r="AA380" s="840" t="n"/>
    </row>
    <row r="381">
      <c r="A381" s="785" t="n"/>
      <c r="B381" s="785" t="n"/>
      <c r="C381" s="785" t="n"/>
      <c r="D381" s="785" t="n"/>
      <c r="E381" s="785" t="n"/>
      <c r="F381" s="785" t="n"/>
      <c r="G381" s="785" t="n"/>
      <c r="H381" s="785" t="n"/>
      <c r="I381" s="785" t="n"/>
      <c r="J381" s="785" t="n"/>
      <c r="K381" s="785" t="n"/>
      <c r="L381" s="785" t="n"/>
      <c r="M381" s="785" t="n"/>
      <c r="N381" s="837" t="n"/>
      <c r="O381" s="838" t="inlineStr">
        <is>
          <t>Итого</t>
        </is>
      </c>
      <c r="P381" s="805" t="n"/>
      <c r="Q381" s="805" t="n"/>
      <c r="R381" s="805" t="n"/>
      <c r="S381" s="805" t="n"/>
      <c r="T381" s="805" t="n"/>
      <c r="U381" s="806" t="n"/>
      <c r="V381" s="43" t="inlineStr">
        <is>
          <t>кг</t>
        </is>
      </c>
      <c r="W381" s="839">
        <f>IFERROR(SUM(W376:W379),"0")</f>
        <v/>
      </c>
      <c r="X381" s="839">
        <f>IFERROR(SUM(X376:X379),"0")</f>
        <v/>
      </c>
      <c r="Y381" s="43" t="n"/>
      <c r="Z381" s="840" t="n"/>
      <c r="AA381" s="840" t="n"/>
    </row>
    <row r="382" ht="14.25" customHeight="1">
      <c r="A382" s="457" t="inlineStr">
        <is>
          <t>Сардельки</t>
        </is>
      </c>
      <c r="B382" s="785" t="n"/>
      <c r="C382" s="785" t="n"/>
      <c r="D382" s="785" t="n"/>
      <c r="E382" s="785" t="n"/>
      <c r="F382" s="785" t="n"/>
      <c r="G382" s="785" t="n"/>
      <c r="H382" s="785" t="n"/>
      <c r="I382" s="785" t="n"/>
      <c r="J382" s="785" t="n"/>
      <c r="K382" s="785" t="n"/>
      <c r="L382" s="785" t="n"/>
      <c r="M382" s="785" t="n"/>
      <c r="N382" s="785" t="n"/>
      <c r="O382" s="785" t="n"/>
      <c r="P382" s="785" t="n"/>
      <c r="Q382" s="785" t="n"/>
      <c r="R382" s="785" t="n"/>
      <c r="S382" s="785" t="n"/>
      <c r="T382" s="785" t="n"/>
      <c r="U382" s="785" t="n"/>
      <c r="V382" s="785" t="n"/>
      <c r="W382" s="785" t="n"/>
      <c r="X382" s="785" t="n"/>
      <c r="Y382" s="785" t="n"/>
      <c r="Z382" s="457" t="n"/>
      <c r="AA382" s="457" t="n"/>
    </row>
    <row r="383" ht="27" customHeight="1">
      <c r="A383" s="64" t="inlineStr">
        <is>
          <t>SU002472</t>
        </is>
      </c>
      <c r="B383" s="64" t="inlineStr">
        <is>
          <t>P002973</t>
        </is>
      </c>
      <c r="C383" s="37" t="n">
        <v>4301060322</v>
      </c>
      <c r="D383" s="458" t="n">
        <v>4607091389357</v>
      </c>
      <c r="E383" s="798" t="n"/>
      <c r="F383" s="831" t="n">
        <v>1.3</v>
      </c>
      <c r="G383" s="38" t="n">
        <v>6</v>
      </c>
      <c r="H383" s="831" t="n">
        <v>7.8</v>
      </c>
      <c r="I383" s="831" t="n">
        <v>8.279999999999999</v>
      </c>
      <c r="J383" s="38" t="n">
        <v>56</v>
      </c>
      <c r="K383" s="38" t="inlineStr">
        <is>
          <t>8</t>
        </is>
      </c>
      <c r="L383" s="39" t="inlineStr">
        <is>
          <t>СК2</t>
        </is>
      </c>
      <c r="M383" s="39" t="n"/>
      <c r="N383" s="38" t="n">
        <v>40</v>
      </c>
      <c r="O383" s="106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83" s="833" t="n"/>
      <c r="Q383" s="833" t="n"/>
      <c r="R383" s="833" t="n"/>
      <c r="S383" s="798" t="n"/>
      <c r="T383" s="40" t="inlineStr"/>
      <c r="U383" s="40" t="inlineStr"/>
      <c r="V383" s="41" t="inlineStr">
        <is>
          <t>кг</t>
        </is>
      </c>
      <c r="W383" s="834" t="n">
        <v>0</v>
      </c>
      <c r="X383" s="835">
        <f>IFERROR(IF(W383="",0,CEILING((W383/$H383),1)*$H383),"")</f>
        <v/>
      </c>
      <c r="Y383" s="42">
        <f>IFERROR(IF(X383=0,"",ROUNDUP(X383/H383,0)*0.02175),"")</f>
        <v/>
      </c>
      <c r="Z383" s="69" t="inlineStr"/>
      <c r="AA383" s="70" t="inlineStr"/>
      <c r="AE383" s="80" t="n"/>
      <c r="BB383" s="302" t="inlineStr">
        <is>
          <t>КИ</t>
        </is>
      </c>
      <c r="BL383" s="80">
        <f>IFERROR(W383*I383/H383,"0")</f>
        <v/>
      </c>
      <c r="BM383" s="80">
        <f>IFERROR(X383*I383/H383,"0")</f>
        <v/>
      </c>
      <c r="BN383" s="80">
        <f>IFERROR(1/J383*(W383/H383),"0")</f>
        <v/>
      </c>
      <c r="BO383" s="80">
        <f>IFERROR(1/J383*(X383/H383),"0")</f>
        <v/>
      </c>
    </row>
    <row r="384">
      <c r="A384" s="467" t="n"/>
      <c r="B384" s="785" t="n"/>
      <c r="C384" s="785" t="n"/>
      <c r="D384" s="785" t="n"/>
      <c r="E384" s="785" t="n"/>
      <c r="F384" s="785" t="n"/>
      <c r="G384" s="785" t="n"/>
      <c r="H384" s="785" t="n"/>
      <c r="I384" s="785" t="n"/>
      <c r="J384" s="785" t="n"/>
      <c r="K384" s="785" t="n"/>
      <c r="L384" s="785" t="n"/>
      <c r="M384" s="785" t="n"/>
      <c r="N384" s="837" t="n"/>
      <c r="O384" s="838" t="inlineStr">
        <is>
          <t>Итого</t>
        </is>
      </c>
      <c r="P384" s="805" t="n"/>
      <c r="Q384" s="805" t="n"/>
      <c r="R384" s="805" t="n"/>
      <c r="S384" s="805" t="n"/>
      <c r="T384" s="805" t="n"/>
      <c r="U384" s="806" t="n"/>
      <c r="V384" s="43" t="inlineStr">
        <is>
          <t>кор</t>
        </is>
      </c>
      <c r="W384" s="839">
        <f>IFERROR(W383/H383,"0")</f>
        <v/>
      </c>
      <c r="X384" s="839">
        <f>IFERROR(X383/H383,"0")</f>
        <v/>
      </c>
      <c r="Y384" s="839">
        <f>IFERROR(IF(Y383="",0,Y383),"0")</f>
        <v/>
      </c>
      <c r="Z384" s="840" t="n"/>
      <c r="AA384" s="840" t="n"/>
    </row>
    <row r="385">
      <c r="A385" s="785" t="n"/>
      <c r="B385" s="785" t="n"/>
      <c r="C385" s="785" t="n"/>
      <c r="D385" s="785" t="n"/>
      <c r="E385" s="785" t="n"/>
      <c r="F385" s="785" t="n"/>
      <c r="G385" s="785" t="n"/>
      <c r="H385" s="785" t="n"/>
      <c r="I385" s="785" t="n"/>
      <c r="J385" s="785" t="n"/>
      <c r="K385" s="785" t="n"/>
      <c r="L385" s="785" t="n"/>
      <c r="M385" s="785" t="n"/>
      <c r="N385" s="837" t="n"/>
      <c r="O385" s="838" t="inlineStr">
        <is>
          <t>Итого</t>
        </is>
      </c>
      <c r="P385" s="805" t="n"/>
      <c r="Q385" s="805" t="n"/>
      <c r="R385" s="805" t="n"/>
      <c r="S385" s="805" t="n"/>
      <c r="T385" s="805" t="n"/>
      <c r="U385" s="806" t="n"/>
      <c r="V385" s="43" t="inlineStr">
        <is>
          <t>кг</t>
        </is>
      </c>
      <c r="W385" s="839">
        <f>IFERROR(SUM(W383:W383),"0")</f>
        <v/>
      </c>
      <c r="X385" s="839">
        <f>IFERROR(SUM(X383:X383),"0")</f>
        <v/>
      </c>
      <c r="Y385" s="43" t="n"/>
      <c r="Z385" s="840" t="n"/>
      <c r="AA385" s="840" t="n"/>
    </row>
    <row r="386" ht="27.75" customHeight="1">
      <c r="A386" s="455" t="inlineStr">
        <is>
          <t>Баварушка</t>
        </is>
      </c>
      <c r="B386" s="830" t="n"/>
      <c r="C386" s="830" t="n"/>
      <c r="D386" s="830" t="n"/>
      <c r="E386" s="830" t="n"/>
      <c r="F386" s="830" t="n"/>
      <c r="G386" s="830" t="n"/>
      <c r="H386" s="830" t="n"/>
      <c r="I386" s="830" t="n"/>
      <c r="J386" s="830" t="n"/>
      <c r="K386" s="830" t="n"/>
      <c r="L386" s="830" t="n"/>
      <c r="M386" s="830" t="n"/>
      <c r="N386" s="830" t="n"/>
      <c r="O386" s="830" t="n"/>
      <c r="P386" s="830" t="n"/>
      <c r="Q386" s="830" t="n"/>
      <c r="R386" s="830" t="n"/>
      <c r="S386" s="830" t="n"/>
      <c r="T386" s="830" t="n"/>
      <c r="U386" s="830" t="n"/>
      <c r="V386" s="830" t="n"/>
      <c r="W386" s="830" t="n"/>
      <c r="X386" s="830" t="n"/>
      <c r="Y386" s="830" t="n"/>
      <c r="Z386" s="55" t="n"/>
      <c r="AA386" s="55" t="n"/>
    </row>
    <row r="387" ht="16.5" customHeight="1">
      <c r="A387" s="456" t="inlineStr">
        <is>
          <t>Филейбургская</t>
        </is>
      </c>
      <c r="B387" s="785" t="n"/>
      <c r="C387" s="785" t="n"/>
      <c r="D387" s="785" t="n"/>
      <c r="E387" s="785" t="n"/>
      <c r="F387" s="785" t="n"/>
      <c r="G387" s="785" t="n"/>
      <c r="H387" s="785" t="n"/>
      <c r="I387" s="785" t="n"/>
      <c r="J387" s="785" t="n"/>
      <c r="K387" s="785" t="n"/>
      <c r="L387" s="785" t="n"/>
      <c r="M387" s="785" t="n"/>
      <c r="N387" s="785" t="n"/>
      <c r="O387" s="785" t="n"/>
      <c r="P387" s="785" t="n"/>
      <c r="Q387" s="785" t="n"/>
      <c r="R387" s="785" t="n"/>
      <c r="S387" s="785" t="n"/>
      <c r="T387" s="785" t="n"/>
      <c r="U387" s="785" t="n"/>
      <c r="V387" s="785" t="n"/>
      <c r="W387" s="785" t="n"/>
      <c r="X387" s="785" t="n"/>
      <c r="Y387" s="785" t="n"/>
      <c r="Z387" s="456" t="n"/>
      <c r="AA387" s="456" t="n"/>
    </row>
    <row r="388" ht="14.25" customHeight="1">
      <c r="A388" s="457" t="inlineStr">
        <is>
          <t>Вареные колбасы</t>
        </is>
      </c>
      <c r="B388" s="785" t="n"/>
      <c r="C388" s="785" t="n"/>
      <c r="D388" s="785" t="n"/>
      <c r="E388" s="785" t="n"/>
      <c r="F388" s="785" t="n"/>
      <c r="G388" s="785" t="n"/>
      <c r="H388" s="785" t="n"/>
      <c r="I388" s="785" t="n"/>
      <c r="J388" s="785" t="n"/>
      <c r="K388" s="785" t="n"/>
      <c r="L388" s="785" t="n"/>
      <c r="M388" s="785" t="n"/>
      <c r="N388" s="785" t="n"/>
      <c r="O388" s="785" t="n"/>
      <c r="P388" s="785" t="n"/>
      <c r="Q388" s="785" t="n"/>
      <c r="R388" s="785" t="n"/>
      <c r="S388" s="785" t="n"/>
      <c r="T388" s="785" t="n"/>
      <c r="U388" s="785" t="n"/>
      <c r="V388" s="785" t="n"/>
      <c r="W388" s="785" t="n"/>
      <c r="X388" s="785" t="n"/>
      <c r="Y388" s="785" t="n"/>
      <c r="Z388" s="457" t="n"/>
      <c r="AA388" s="457" t="n"/>
    </row>
    <row r="389" ht="27" customHeight="1">
      <c r="A389" s="64" t="inlineStr">
        <is>
          <t>SU002477</t>
        </is>
      </c>
      <c r="B389" s="64" t="inlineStr">
        <is>
          <t>P003148</t>
        </is>
      </c>
      <c r="C389" s="37" t="n">
        <v>4301011428</v>
      </c>
      <c r="D389" s="458" t="n">
        <v>4607091389708</v>
      </c>
      <c r="E389" s="798" t="n"/>
      <c r="F389" s="831" t="n">
        <v>0.45</v>
      </c>
      <c r="G389" s="38" t="n">
        <v>6</v>
      </c>
      <c r="H389" s="831" t="n">
        <v>2.7</v>
      </c>
      <c r="I389" s="831" t="n">
        <v>2.9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9" t="n"/>
      <c r="N389" s="38" t="n">
        <v>50</v>
      </c>
      <c r="O389" s="106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9" s="833" t="n"/>
      <c r="Q389" s="833" t="n"/>
      <c r="R389" s="833" t="n"/>
      <c r="S389" s="798" t="n"/>
      <c r="T389" s="40" t="inlineStr"/>
      <c r="U389" s="40" t="inlineStr"/>
      <c r="V389" s="41" t="inlineStr">
        <is>
          <t>кг</t>
        </is>
      </c>
      <c r="W389" s="834" t="n">
        <v>0</v>
      </c>
      <c r="X389" s="835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303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SU002476</t>
        </is>
      </c>
      <c r="B390" s="64" t="inlineStr">
        <is>
          <t>P003147</t>
        </is>
      </c>
      <c r="C390" s="37" t="n">
        <v>4301011427</v>
      </c>
      <c r="D390" s="458" t="n">
        <v>4607091389692</v>
      </c>
      <c r="E390" s="798" t="n"/>
      <c r="F390" s="831" t="n">
        <v>0.45</v>
      </c>
      <c r="G390" s="38" t="n">
        <v>6</v>
      </c>
      <c r="H390" s="831" t="n">
        <v>2.7</v>
      </c>
      <c r="I390" s="831" t="n">
        <v>2.9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9" t="n"/>
      <c r="N390" s="38" t="n">
        <v>50</v>
      </c>
      <c r="O390" s="106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90" s="833" t="n"/>
      <c r="Q390" s="833" t="n"/>
      <c r="R390" s="833" t="n"/>
      <c r="S390" s="798" t="n"/>
      <c r="T390" s="40" t="inlineStr"/>
      <c r="U390" s="40" t="inlineStr"/>
      <c r="V390" s="41" t="inlineStr">
        <is>
          <t>кг</t>
        </is>
      </c>
      <c r="W390" s="834" t="n">
        <v>0</v>
      </c>
      <c r="X390" s="835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304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>
      <c r="A391" s="467" t="n"/>
      <c r="B391" s="785" t="n"/>
      <c r="C391" s="785" t="n"/>
      <c r="D391" s="785" t="n"/>
      <c r="E391" s="785" t="n"/>
      <c r="F391" s="785" t="n"/>
      <c r="G391" s="785" t="n"/>
      <c r="H391" s="785" t="n"/>
      <c r="I391" s="785" t="n"/>
      <c r="J391" s="785" t="n"/>
      <c r="K391" s="785" t="n"/>
      <c r="L391" s="785" t="n"/>
      <c r="M391" s="785" t="n"/>
      <c r="N391" s="837" t="n"/>
      <c r="O391" s="838" t="inlineStr">
        <is>
          <t>Итого</t>
        </is>
      </c>
      <c r="P391" s="805" t="n"/>
      <c r="Q391" s="805" t="n"/>
      <c r="R391" s="805" t="n"/>
      <c r="S391" s="805" t="n"/>
      <c r="T391" s="805" t="n"/>
      <c r="U391" s="806" t="n"/>
      <c r="V391" s="43" t="inlineStr">
        <is>
          <t>кор</t>
        </is>
      </c>
      <c r="W391" s="839">
        <f>IFERROR(W389/H389,"0")+IFERROR(W390/H390,"0")</f>
        <v/>
      </c>
      <c r="X391" s="839">
        <f>IFERROR(X389/H389,"0")+IFERROR(X390/H390,"0")</f>
        <v/>
      </c>
      <c r="Y391" s="839">
        <f>IFERROR(IF(Y389="",0,Y389),"0")+IFERROR(IF(Y390="",0,Y390),"0")</f>
        <v/>
      </c>
      <c r="Z391" s="840" t="n"/>
      <c r="AA391" s="840" t="n"/>
    </row>
    <row r="392">
      <c r="A392" s="785" t="n"/>
      <c r="B392" s="785" t="n"/>
      <c r="C392" s="785" t="n"/>
      <c r="D392" s="785" t="n"/>
      <c r="E392" s="785" t="n"/>
      <c r="F392" s="785" t="n"/>
      <c r="G392" s="785" t="n"/>
      <c r="H392" s="785" t="n"/>
      <c r="I392" s="785" t="n"/>
      <c r="J392" s="785" t="n"/>
      <c r="K392" s="785" t="n"/>
      <c r="L392" s="785" t="n"/>
      <c r="M392" s="785" t="n"/>
      <c r="N392" s="837" t="n"/>
      <c r="O392" s="838" t="inlineStr">
        <is>
          <t>Итого</t>
        </is>
      </c>
      <c r="P392" s="805" t="n"/>
      <c r="Q392" s="805" t="n"/>
      <c r="R392" s="805" t="n"/>
      <c r="S392" s="805" t="n"/>
      <c r="T392" s="805" t="n"/>
      <c r="U392" s="806" t="n"/>
      <c r="V392" s="43" t="inlineStr">
        <is>
          <t>кг</t>
        </is>
      </c>
      <c r="W392" s="839">
        <f>IFERROR(SUM(W389:W390),"0")</f>
        <v/>
      </c>
      <c r="X392" s="839">
        <f>IFERROR(SUM(X389:X390),"0")</f>
        <v/>
      </c>
      <c r="Y392" s="43" t="n"/>
      <c r="Z392" s="840" t="n"/>
      <c r="AA392" s="840" t="n"/>
    </row>
    <row r="393" ht="14.25" customHeight="1">
      <c r="A393" s="457" t="inlineStr">
        <is>
          <t>Копченые колбасы</t>
        </is>
      </c>
      <c r="B393" s="785" t="n"/>
      <c r="C393" s="785" t="n"/>
      <c r="D393" s="785" t="n"/>
      <c r="E393" s="785" t="n"/>
      <c r="F393" s="785" t="n"/>
      <c r="G393" s="785" t="n"/>
      <c r="H393" s="785" t="n"/>
      <c r="I393" s="785" t="n"/>
      <c r="J393" s="785" t="n"/>
      <c r="K393" s="785" t="n"/>
      <c r="L393" s="785" t="n"/>
      <c r="M393" s="785" t="n"/>
      <c r="N393" s="785" t="n"/>
      <c r="O393" s="785" t="n"/>
      <c r="P393" s="785" t="n"/>
      <c r="Q393" s="785" t="n"/>
      <c r="R393" s="785" t="n"/>
      <c r="S393" s="785" t="n"/>
      <c r="T393" s="785" t="n"/>
      <c r="U393" s="785" t="n"/>
      <c r="V393" s="785" t="n"/>
      <c r="W393" s="785" t="n"/>
      <c r="X393" s="785" t="n"/>
      <c r="Y393" s="785" t="n"/>
      <c r="Z393" s="457" t="n"/>
      <c r="AA393" s="457" t="n"/>
    </row>
    <row r="394" ht="27" customHeight="1">
      <c r="A394" s="64" t="inlineStr">
        <is>
          <t>SU002614</t>
        </is>
      </c>
      <c r="B394" s="64" t="inlineStr">
        <is>
          <t>P003138</t>
        </is>
      </c>
      <c r="C394" s="37" t="n">
        <v>4301031177</v>
      </c>
      <c r="D394" s="458" t="n">
        <v>4607091389753</v>
      </c>
      <c r="E394" s="798" t="n"/>
      <c r="F394" s="831" t="n">
        <v>0.7</v>
      </c>
      <c r="G394" s="38" t="n">
        <v>6</v>
      </c>
      <c r="H394" s="831" t="n">
        <v>4.2</v>
      </c>
      <c r="I394" s="831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45</v>
      </c>
      <c r="O394" s="10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4" s="833" t="n"/>
      <c r="Q394" s="833" t="n"/>
      <c r="R394" s="833" t="n"/>
      <c r="S394" s="798" t="n"/>
      <c r="T394" s="40" t="inlineStr"/>
      <c r="U394" s="40" t="inlineStr"/>
      <c r="V394" s="41" t="inlineStr">
        <is>
          <t>кг</t>
        </is>
      </c>
      <c r="W394" s="834" t="n">
        <v>0</v>
      </c>
      <c r="X394" s="835">
        <f>IFERROR(IF(W394="",0,CEILING((W394/$H394),1)*$H394),"")</f>
        <v/>
      </c>
      <c r="Y394" s="42">
        <f>IFERROR(IF(X394=0,"",ROUNDUP(X394/H394,0)*0.00753),"")</f>
        <v/>
      </c>
      <c r="Z394" s="69" t="inlineStr"/>
      <c r="AA394" s="70" t="inlineStr"/>
      <c r="AE394" s="80" t="n"/>
      <c r="BB394" s="305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SU002615</t>
        </is>
      </c>
      <c r="B395" s="64" t="inlineStr">
        <is>
          <t>P003136</t>
        </is>
      </c>
      <c r="C395" s="37" t="n">
        <v>4301031174</v>
      </c>
      <c r="D395" s="458" t="n">
        <v>4607091389760</v>
      </c>
      <c r="E395" s="798" t="n"/>
      <c r="F395" s="831" t="n">
        <v>0.7</v>
      </c>
      <c r="G395" s="38" t="n">
        <v>6</v>
      </c>
      <c r="H395" s="831" t="n">
        <v>4.2</v>
      </c>
      <c r="I395" s="831" t="n">
        <v>4.43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45</v>
      </c>
      <c r="O395" s="10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5" s="833" t="n"/>
      <c r="Q395" s="833" t="n"/>
      <c r="R395" s="833" t="n"/>
      <c r="S395" s="798" t="n"/>
      <c r="T395" s="40" t="inlineStr"/>
      <c r="U395" s="40" t="inlineStr"/>
      <c r="V395" s="41" t="inlineStr">
        <is>
          <t>кг</t>
        </is>
      </c>
      <c r="W395" s="834" t="n">
        <v>0</v>
      </c>
      <c r="X395" s="835">
        <f>IFERROR(IF(W395="",0,CEILING((W395/$H395),1)*$H395),"")</f>
        <v/>
      </c>
      <c r="Y395" s="42">
        <f>IFERROR(IF(X395=0,"",ROUNDUP(X395/H395,0)*0.00753),"")</f>
        <v/>
      </c>
      <c r="Z395" s="69" t="inlineStr"/>
      <c r="AA395" s="70" t="inlineStr"/>
      <c r="AE395" s="80" t="n"/>
      <c r="BB395" s="306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SU002613</t>
        </is>
      </c>
      <c r="B396" s="64" t="inlineStr">
        <is>
          <t>P003133</t>
        </is>
      </c>
      <c r="C396" s="37" t="n">
        <v>4301031175</v>
      </c>
      <c r="D396" s="458" t="n">
        <v>4607091389746</v>
      </c>
      <c r="E396" s="798" t="n"/>
      <c r="F396" s="831" t="n">
        <v>0.7</v>
      </c>
      <c r="G396" s="38" t="n">
        <v>6</v>
      </c>
      <c r="H396" s="831" t="n">
        <v>4.2</v>
      </c>
      <c r="I396" s="831" t="n">
        <v>4.43</v>
      </c>
      <c r="J396" s="38" t="n">
        <v>156</v>
      </c>
      <c r="K396" s="38" t="inlineStr">
        <is>
          <t>12</t>
        </is>
      </c>
      <c r="L396" s="39" t="inlineStr">
        <is>
          <t>СК2</t>
        </is>
      </c>
      <c r="M396" s="39" t="n"/>
      <c r="N396" s="38" t="n">
        <v>45</v>
      </c>
      <c r="O396" s="10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6" s="833" t="n"/>
      <c r="Q396" s="833" t="n"/>
      <c r="R396" s="833" t="n"/>
      <c r="S396" s="798" t="n"/>
      <c r="T396" s="40" t="inlineStr"/>
      <c r="U396" s="40" t="inlineStr"/>
      <c r="V396" s="41" t="inlineStr">
        <is>
          <t>кг</t>
        </is>
      </c>
      <c r="W396" s="834" t="n">
        <v>0</v>
      </c>
      <c r="X396" s="835">
        <f>IFERROR(IF(W396="",0,CEILING((W396/$H396),1)*$H396),"")</f>
        <v/>
      </c>
      <c r="Y396" s="42">
        <f>IFERROR(IF(X396=0,"",ROUNDUP(X396/H396,0)*0.00753),"")</f>
        <v/>
      </c>
      <c r="Z396" s="69" t="inlineStr"/>
      <c r="AA396" s="70" t="inlineStr"/>
      <c r="AE396" s="80" t="n"/>
      <c r="BB396" s="307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37.5" customHeight="1">
      <c r="A397" s="64" t="inlineStr">
        <is>
          <t>SU003035</t>
        </is>
      </c>
      <c r="B397" s="64" t="inlineStr">
        <is>
          <t>P003496</t>
        </is>
      </c>
      <c r="C397" s="37" t="n">
        <v>4301031236</v>
      </c>
      <c r="D397" s="458" t="n">
        <v>4680115882928</v>
      </c>
      <c r="E397" s="798" t="n"/>
      <c r="F397" s="831" t="n">
        <v>0.28</v>
      </c>
      <c r="G397" s="38" t="n">
        <v>6</v>
      </c>
      <c r="H397" s="831" t="n">
        <v>1.68</v>
      </c>
      <c r="I397" s="831" t="n">
        <v>2.6</v>
      </c>
      <c r="J397" s="38" t="n">
        <v>156</v>
      </c>
      <c r="K397" s="38" t="inlineStr">
        <is>
          <t>12</t>
        </is>
      </c>
      <c r="L397" s="39" t="inlineStr">
        <is>
          <t>СК2</t>
        </is>
      </c>
      <c r="M397" s="39" t="n"/>
      <c r="N397" s="38" t="n">
        <v>35</v>
      </c>
      <c r="O397" s="106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7" s="833" t="n"/>
      <c r="Q397" s="833" t="n"/>
      <c r="R397" s="833" t="n"/>
      <c r="S397" s="798" t="n"/>
      <c r="T397" s="40" t="inlineStr"/>
      <c r="U397" s="40" t="inlineStr"/>
      <c r="V397" s="41" t="inlineStr">
        <is>
          <t>кг</t>
        </is>
      </c>
      <c r="W397" s="834" t="n">
        <v>0</v>
      </c>
      <c r="X397" s="835">
        <f>IFERROR(IF(W397="",0,CEILING((W397/$H397),1)*$H397),"")</f>
        <v/>
      </c>
      <c r="Y397" s="42">
        <f>IFERROR(IF(X397=0,"",ROUNDUP(X397/H397,0)*0.00753),"")</f>
        <v/>
      </c>
      <c r="Z397" s="69" t="inlineStr"/>
      <c r="AA397" s="70" t="inlineStr"/>
      <c r="AE397" s="80" t="n"/>
      <c r="BB397" s="308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SU003083</t>
        </is>
      </c>
      <c r="B398" s="64" t="inlineStr">
        <is>
          <t>P003646</t>
        </is>
      </c>
      <c r="C398" s="37" t="n">
        <v>4301031257</v>
      </c>
      <c r="D398" s="458" t="n">
        <v>4680115883147</v>
      </c>
      <c r="E398" s="798" t="n"/>
      <c r="F398" s="831" t="n">
        <v>0.28</v>
      </c>
      <c r="G398" s="38" t="n">
        <v>6</v>
      </c>
      <c r="H398" s="831" t="n">
        <v>1.68</v>
      </c>
      <c r="I398" s="831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6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8" s="833" t="n"/>
      <c r="Q398" s="833" t="n"/>
      <c r="R398" s="833" t="n"/>
      <c r="S398" s="798" t="n"/>
      <c r="T398" s="40" t="inlineStr"/>
      <c r="U398" s="40" t="inlineStr"/>
      <c r="V398" s="41" t="inlineStr">
        <is>
          <t>кг</t>
        </is>
      </c>
      <c r="W398" s="834" t="n">
        <v>0</v>
      </c>
      <c r="X398" s="835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9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SU002538</t>
        </is>
      </c>
      <c r="B399" s="64" t="inlineStr">
        <is>
          <t>P003139</t>
        </is>
      </c>
      <c r="C399" s="37" t="n">
        <v>4301031178</v>
      </c>
      <c r="D399" s="458" t="n">
        <v>4607091384338</v>
      </c>
      <c r="E399" s="798" t="n"/>
      <c r="F399" s="831" t="n">
        <v>0.35</v>
      </c>
      <c r="G399" s="38" t="n">
        <v>6</v>
      </c>
      <c r="H399" s="831" t="n">
        <v>2.1</v>
      </c>
      <c r="I399" s="831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6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9" s="833" t="n"/>
      <c r="Q399" s="833" t="n"/>
      <c r="R399" s="833" t="n"/>
      <c r="S399" s="798" t="n"/>
      <c r="T399" s="40" t="inlineStr"/>
      <c r="U399" s="40" t="inlineStr"/>
      <c r="V399" s="41" t="inlineStr">
        <is>
          <t>кг</t>
        </is>
      </c>
      <c r="W399" s="834" t="n">
        <v>0</v>
      </c>
      <c r="X399" s="835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10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37.5" customHeight="1">
      <c r="A400" s="64" t="inlineStr">
        <is>
          <t>SU003079</t>
        </is>
      </c>
      <c r="B400" s="64" t="inlineStr">
        <is>
          <t>P003643</t>
        </is>
      </c>
      <c r="C400" s="37" t="n">
        <v>4301031254</v>
      </c>
      <c r="D400" s="458" t="n">
        <v>4680115883154</v>
      </c>
      <c r="E400" s="798" t="n"/>
      <c r="F400" s="831" t="n">
        <v>0.28</v>
      </c>
      <c r="G400" s="38" t="n">
        <v>6</v>
      </c>
      <c r="H400" s="831" t="n">
        <v>1.68</v>
      </c>
      <c r="I400" s="831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6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400" s="833" t="n"/>
      <c r="Q400" s="833" t="n"/>
      <c r="R400" s="833" t="n"/>
      <c r="S400" s="798" t="n"/>
      <c r="T400" s="40" t="inlineStr"/>
      <c r="U400" s="40" t="inlineStr"/>
      <c r="V400" s="41" t="inlineStr">
        <is>
          <t>кг</t>
        </is>
      </c>
      <c r="W400" s="834" t="n">
        <v>0</v>
      </c>
      <c r="X400" s="835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11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37.5" customHeight="1">
      <c r="A401" s="64" t="inlineStr">
        <is>
          <t>SU002602</t>
        </is>
      </c>
      <c r="B401" s="64" t="inlineStr">
        <is>
          <t>P003132</t>
        </is>
      </c>
      <c r="C401" s="37" t="n">
        <v>4301031171</v>
      </c>
      <c r="D401" s="458" t="n">
        <v>4607091389524</v>
      </c>
      <c r="E401" s="798" t="n"/>
      <c r="F401" s="831" t="n">
        <v>0.35</v>
      </c>
      <c r="G401" s="38" t="n">
        <v>6</v>
      </c>
      <c r="H401" s="831" t="n">
        <v>2.1</v>
      </c>
      <c r="I401" s="831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7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401" s="833" t="n"/>
      <c r="Q401" s="833" t="n"/>
      <c r="R401" s="833" t="n"/>
      <c r="S401" s="798" t="n"/>
      <c r="T401" s="40" t="inlineStr"/>
      <c r="U401" s="40" t="inlineStr"/>
      <c r="V401" s="41" t="inlineStr">
        <is>
          <t>кг</t>
        </is>
      </c>
      <c r="W401" s="834" t="n">
        <v>0</v>
      </c>
      <c r="X401" s="835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12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SU003080</t>
        </is>
      </c>
      <c r="B402" s="64" t="inlineStr">
        <is>
          <t>P003647</t>
        </is>
      </c>
      <c r="C402" s="37" t="n">
        <v>4301031258</v>
      </c>
      <c r="D402" s="458" t="n">
        <v>4680115883161</v>
      </c>
      <c r="E402" s="798" t="n"/>
      <c r="F402" s="831" t="n">
        <v>0.28</v>
      </c>
      <c r="G402" s="38" t="n">
        <v>6</v>
      </c>
      <c r="H402" s="831" t="n">
        <v>1.68</v>
      </c>
      <c r="I402" s="831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7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2" s="833" t="n"/>
      <c r="Q402" s="833" t="n"/>
      <c r="R402" s="833" t="n"/>
      <c r="S402" s="798" t="n"/>
      <c r="T402" s="40" t="inlineStr"/>
      <c r="U402" s="40" t="inlineStr"/>
      <c r="V402" s="41" t="inlineStr">
        <is>
          <t>кг</t>
        </is>
      </c>
      <c r="W402" s="834" t="n">
        <v>0</v>
      </c>
      <c r="X402" s="835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13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27" customHeight="1">
      <c r="A403" s="64" t="inlineStr">
        <is>
          <t>SU002603</t>
        </is>
      </c>
      <c r="B403" s="64" t="inlineStr">
        <is>
          <t>P003131</t>
        </is>
      </c>
      <c r="C403" s="37" t="n">
        <v>4301031170</v>
      </c>
      <c r="D403" s="458" t="n">
        <v>4607091384345</v>
      </c>
      <c r="E403" s="798" t="n"/>
      <c r="F403" s="831" t="n">
        <v>0.35</v>
      </c>
      <c r="G403" s="38" t="n">
        <v>6</v>
      </c>
      <c r="H403" s="831" t="n">
        <v>2.1</v>
      </c>
      <c r="I403" s="831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7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403" s="833" t="n"/>
      <c r="Q403" s="833" t="n"/>
      <c r="R403" s="833" t="n"/>
      <c r="S403" s="798" t="n"/>
      <c r="T403" s="40" t="inlineStr"/>
      <c r="U403" s="40" t="inlineStr"/>
      <c r="V403" s="41" t="inlineStr">
        <is>
          <t>кг</t>
        </is>
      </c>
      <c r="W403" s="834" t="n">
        <v>0</v>
      </c>
      <c r="X403" s="835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4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SU003081</t>
        </is>
      </c>
      <c r="B404" s="64" t="inlineStr">
        <is>
          <t>P003645</t>
        </is>
      </c>
      <c r="C404" s="37" t="n">
        <v>4301031256</v>
      </c>
      <c r="D404" s="458" t="n">
        <v>4680115883178</v>
      </c>
      <c r="E404" s="798" t="n"/>
      <c r="F404" s="831" t="n">
        <v>0.28</v>
      </c>
      <c r="G404" s="38" t="n">
        <v>6</v>
      </c>
      <c r="H404" s="831" t="n">
        <v>1.68</v>
      </c>
      <c r="I404" s="83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7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4" s="833" t="n"/>
      <c r="Q404" s="833" t="n"/>
      <c r="R404" s="833" t="n"/>
      <c r="S404" s="798" t="n"/>
      <c r="T404" s="40" t="inlineStr"/>
      <c r="U404" s="40" t="inlineStr"/>
      <c r="V404" s="41" t="inlineStr">
        <is>
          <t>кг</t>
        </is>
      </c>
      <c r="W404" s="834" t="n">
        <v>0</v>
      </c>
      <c r="X404" s="835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5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SU002606</t>
        </is>
      </c>
      <c r="B405" s="64" t="inlineStr">
        <is>
          <t>P003134</t>
        </is>
      </c>
      <c r="C405" s="37" t="n">
        <v>4301031172</v>
      </c>
      <c r="D405" s="458" t="n">
        <v>4607091389531</v>
      </c>
      <c r="E405" s="798" t="n"/>
      <c r="F405" s="831" t="n">
        <v>0.35</v>
      </c>
      <c r="G405" s="38" t="n">
        <v>6</v>
      </c>
      <c r="H405" s="831" t="n">
        <v>2.1</v>
      </c>
      <c r="I405" s="831" t="n">
        <v>2.23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45</v>
      </c>
      <c r="O405" s="107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5" s="833" t="n"/>
      <c r="Q405" s="833" t="n"/>
      <c r="R405" s="833" t="n"/>
      <c r="S405" s="798" t="n"/>
      <c r="T405" s="40" t="inlineStr"/>
      <c r="U405" s="40" t="inlineStr"/>
      <c r="V405" s="41" t="inlineStr">
        <is>
          <t>кг</t>
        </is>
      </c>
      <c r="W405" s="834" t="n">
        <v>0</v>
      </c>
      <c r="X405" s="835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6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SU003082</t>
        </is>
      </c>
      <c r="B406" s="64" t="inlineStr">
        <is>
          <t>P003644</t>
        </is>
      </c>
      <c r="C406" s="37" t="n">
        <v>4301031255</v>
      </c>
      <c r="D406" s="458" t="n">
        <v>4680115883185</v>
      </c>
      <c r="E406" s="798" t="n"/>
      <c r="F406" s="831" t="n">
        <v>0.28</v>
      </c>
      <c r="G406" s="38" t="n">
        <v>6</v>
      </c>
      <c r="H406" s="831" t="n">
        <v>1.68</v>
      </c>
      <c r="I406" s="831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45</v>
      </c>
      <c r="O406" s="107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6" s="833" t="n"/>
      <c r="Q406" s="833" t="n"/>
      <c r="R406" s="833" t="n"/>
      <c r="S406" s="798" t="n"/>
      <c r="T406" s="40" t="inlineStr"/>
      <c r="U406" s="40" t="inlineStr"/>
      <c r="V406" s="41" t="inlineStr">
        <is>
          <t>кг</t>
        </is>
      </c>
      <c r="W406" s="834" t="n">
        <v>0</v>
      </c>
      <c r="X406" s="835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7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>
      <c r="A407" s="467" t="n"/>
      <c r="B407" s="785" t="n"/>
      <c r="C407" s="785" t="n"/>
      <c r="D407" s="785" t="n"/>
      <c r="E407" s="785" t="n"/>
      <c r="F407" s="785" t="n"/>
      <c r="G407" s="785" t="n"/>
      <c r="H407" s="785" t="n"/>
      <c r="I407" s="785" t="n"/>
      <c r="J407" s="785" t="n"/>
      <c r="K407" s="785" t="n"/>
      <c r="L407" s="785" t="n"/>
      <c r="M407" s="785" t="n"/>
      <c r="N407" s="837" t="n"/>
      <c r="O407" s="838" t="inlineStr">
        <is>
          <t>Итого</t>
        </is>
      </c>
      <c r="P407" s="805" t="n"/>
      <c r="Q407" s="805" t="n"/>
      <c r="R407" s="805" t="n"/>
      <c r="S407" s="805" t="n"/>
      <c r="T407" s="805" t="n"/>
      <c r="U407" s="806" t="n"/>
      <c r="V407" s="43" t="inlineStr">
        <is>
          <t>кор</t>
        </is>
      </c>
      <c r="W407" s="839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/>
      </c>
      <c r="X407" s="839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/>
      </c>
      <c r="Y407" s="839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/>
      </c>
      <c r="Z407" s="840" t="n"/>
      <c r="AA407" s="840" t="n"/>
    </row>
    <row r="408">
      <c r="A408" s="785" t="n"/>
      <c r="B408" s="785" t="n"/>
      <c r="C408" s="785" t="n"/>
      <c r="D408" s="785" t="n"/>
      <c r="E408" s="785" t="n"/>
      <c r="F408" s="785" t="n"/>
      <c r="G408" s="785" t="n"/>
      <c r="H408" s="785" t="n"/>
      <c r="I408" s="785" t="n"/>
      <c r="J408" s="785" t="n"/>
      <c r="K408" s="785" t="n"/>
      <c r="L408" s="785" t="n"/>
      <c r="M408" s="785" t="n"/>
      <c r="N408" s="837" t="n"/>
      <c r="O408" s="838" t="inlineStr">
        <is>
          <t>Итого</t>
        </is>
      </c>
      <c r="P408" s="805" t="n"/>
      <c r="Q408" s="805" t="n"/>
      <c r="R408" s="805" t="n"/>
      <c r="S408" s="805" t="n"/>
      <c r="T408" s="805" t="n"/>
      <c r="U408" s="806" t="n"/>
      <c r="V408" s="43" t="inlineStr">
        <is>
          <t>кг</t>
        </is>
      </c>
      <c r="W408" s="839">
        <f>IFERROR(SUM(W394:W406),"0")</f>
        <v/>
      </c>
      <c r="X408" s="839">
        <f>IFERROR(SUM(X394:X406),"0")</f>
        <v/>
      </c>
      <c r="Y408" s="43" t="n"/>
      <c r="Z408" s="840" t="n"/>
      <c r="AA408" s="840" t="n"/>
    </row>
    <row r="409" ht="14.25" customHeight="1">
      <c r="A409" s="457" t="inlineStr">
        <is>
          <t>Сосиски</t>
        </is>
      </c>
      <c r="B409" s="785" t="n"/>
      <c r="C409" s="785" t="n"/>
      <c r="D409" s="785" t="n"/>
      <c r="E409" s="785" t="n"/>
      <c r="F409" s="785" t="n"/>
      <c r="G409" s="785" t="n"/>
      <c r="H409" s="785" t="n"/>
      <c r="I409" s="785" t="n"/>
      <c r="J409" s="785" t="n"/>
      <c r="K409" s="785" t="n"/>
      <c r="L409" s="785" t="n"/>
      <c r="M409" s="785" t="n"/>
      <c r="N409" s="785" t="n"/>
      <c r="O409" s="785" t="n"/>
      <c r="P409" s="785" t="n"/>
      <c r="Q409" s="785" t="n"/>
      <c r="R409" s="785" t="n"/>
      <c r="S409" s="785" t="n"/>
      <c r="T409" s="785" t="n"/>
      <c r="U409" s="785" t="n"/>
      <c r="V409" s="785" t="n"/>
      <c r="W409" s="785" t="n"/>
      <c r="X409" s="785" t="n"/>
      <c r="Y409" s="785" t="n"/>
      <c r="Z409" s="457" t="n"/>
      <c r="AA409" s="457" t="n"/>
    </row>
    <row r="410" ht="27" customHeight="1">
      <c r="A410" s="64" t="inlineStr">
        <is>
          <t>SU002448</t>
        </is>
      </c>
      <c r="B410" s="64" t="inlineStr">
        <is>
          <t>P002914</t>
        </is>
      </c>
      <c r="C410" s="37" t="n">
        <v>4301051258</v>
      </c>
      <c r="D410" s="458" t="n">
        <v>4607091389685</v>
      </c>
      <c r="E410" s="798" t="n"/>
      <c r="F410" s="831" t="n">
        <v>1.3</v>
      </c>
      <c r="G410" s="38" t="n">
        <v>6</v>
      </c>
      <c r="H410" s="831" t="n">
        <v>7.8</v>
      </c>
      <c r="I410" s="831" t="n">
        <v>8.346</v>
      </c>
      <c r="J410" s="38" t="n">
        <v>56</v>
      </c>
      <c r="K410" s="38" t="inlineStr">
        <is>
          <t>8</t>
        </is>
      </c>
      <c r="L410" s="39" t="inlineStr">
        <is>
          <t>СК3</t>
        </is>
      </c>
      <c r="M410" s="39" t="n"/>
      <c r="N410" s="38" t="n">
        <v>45</v>
      </c>
      <c r="O410" s="107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10" s="833" t="n"/>
      <c r="Q410" s="833" t="n"/>
      <c r="R410" s="833" t="n"/>
      <c r="S410" s="798" t="n"/>
      <c r="T410" s="40" t="inlineStr"/>
      <c r="U410" s="40" t="inlineStr"/>
      <c r="V410" s="41" t="inlineStr">
        <is>
          <t>кг</t>
        </is>
      </c>
      <c r="W410" s="834" t="n">
        <v>0</v>
      </c>
      <c r="X410" s="835">
        <f>IFERROR(IF(W410="",0,CEILING((W410/$H410),1)*$H410),"")</f>
        <v/>
      </c>
      <c r="Y410" s="42">
        <f>IFERROR(IF(X410=0,"",ROUNDUP(X410/H410,0)*0.02175),"")</f>
        <v/>
      </c>
      <c r="Z410" s="69" t="inlineStr"/>
      <c r="AA410" s="70" t="inlineStr"/>
      <c r="AE410" s="80" t="n"/>
      <c r="BB410" s="318" t="inlineStr">
        <is>
          <t>КИ</t>
        </is>
      </c>
      <c r="BL410" s="80">
        <f>IFERROR(W410*I410/H410,"0")</f>
        <v/>
      </c>
      <c r="BM410" s="80">
        <f>IFERROR(X410*I410/H410,"0")</f>
        <v/>
      </c>
      <c r="BN410" s="80">
        <f>IFERROR(1/J410*(W410/H410),"0")</f>
        <v/>
      </c>
      <c r="BO410" s="80">
        <f>IFERROR(1/J410*(X410/H410),"0")</f>
        <v/>
      </c>
    </row>
    <row r="411" ht="27" customHeight="1">
      <c r="A411" s="64" t="inlineStr">
        <is>
          <t>SU002557</t>
        </is>
      </c>
      <c r="B411" s="64" t="inlineStr">
        <is>
          <t>P003318</t>
        </is>
      </c>
      <c r="C411" s="37" t="n">
        <v>4301051431</v>
      </c>
      <c r="D411" s="458" t="n">
        <v>4607091389654</v>
      </c>
      <c r="E411" s="798" t="n"/>
      <c r="F411" s="831" t="n">
        <v>0.33</v>
      </c>
      <c r="G411" s="38" t="n">
        <v>6</v>
      </c>
      <c r="H411" s="831" t="n">
        <v>1.98</v>
      </c>
      <c r="I411" s="831" t="n">
        <v>2.258</v>
      </c>
      <c r="J411" s="38" t="n">
        <v>156</v>
      </c>
      <c r="K411" s="38" t="inlineStr">
        <is>
          <t>12</t>
        </is>
      </c>
      <c r="L411" s="39" t="inlineStr">
        <is>
          <t>СК3</t>
        </is>
      </c>
      <c r="M411" s="39" t="n"/>
      <c r="N411" s="38" t="n">
        <v>45</v>
      </c>
      <c r="O411" s="107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1" s="833" t="n"/>
      <c r="Q411" s="833" t="n"/>
      <c r="R411" s="833" t="n"/>
      <c r="S411" s="798" t="n"/>
      <c r="T411" s="40" t="inlineStr"/>
      <c r="U411" s="40" t="inlineStr"/>
      <c r="V411" s="41" t="inlineStr">
        <is>
          <t>кг</t>
        </is>
      </c>
      <c r="W411" s="834" t="n">
        <v>0</v>
      </c>
      <c r="X411" s="835">
        <f>IFERROR(IF(W411="",0,CEILING((W411/$H411),1)*$H411),"")</f>
        <v/>
      </c>
      <c r="Y411" s="42">
        <f>IFERROR(IF(X411=0,"",ROUNDUP(X411/H411,0)*0.00753),"")</f>
        <v/>
      </c>
      <c r="Z411" s="69" t="inlineStr"/>
      <c r="AA411" s="70" t="inlineStr"/>
      <c r="AE411" s="80" t="n"/>
      <c r="BB411" s="319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 ht="27" customHeight="1">
      <c r="A412" s="64" t="inlineStr">
        <is>
          <t>SU002285</t>
        </is>
      </c>
      <c r="B412" s="64" t="inlineStr">
        <is>
          <t>P002969</t>
        </is>
      </c>
      <c r="C412" s="37" t="n">
        <v>4301051284</v>
      </c>
      <c r="D412" s="458" t="n">
        <v>4607091384352</v>
      </c>
      <c r="E412" s="798" t="n"/>
      <c r="F412" s="831" t="n">
        <v>0.6</v>
      </c>
      <c r="G412" s="38" t="n">
        <v>4</v>
      </c>
      <c r="H412" s="831" t="n">
        <v>2.4</v>
      </c>
      <c r="I412" s="831" t="n">
        <v>2.646</v>
      </c>
      <c r="J412" s="38" t="n">
        <v>120</v>
      </c>
      <c r="K412" s="38" t="inlineStr">
        <is>
          <t>12</t>
        </is>
      </c>
      <c r="L412" s="39" t="inlineStr">
        <is>
          <t>СК3</t>
        </is>
      </c>
      <c r="M412" s="39" t="n"/>
      <c r="N412" s="38" t="n">
        <v>45</v>
      </c>
      <c r="O412" s="107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2" s="833" t="n"/>
      <c r="Q412" s="833" t="n"/>
      <c r="R412" s="833" t="n"/>
      <c r="S412" s="798" t="n"/>
      <c r="T412" s="40" t="inlineStr"/>
      <c r="U412" s="40" t="inlineStr"/>
      <c r="V412" s="41" t="inlineStr">
        <is>
          <t>кг</t>
        </is>
      </c>
      <c r="W412" s="834" t="n">
        <v>0</v>
      </c>
      <c r="X412" s="835">
        <f>IFERROR(IF(W412="",0,CEILING((W412/$H412),1)*$H412),"")</f>
        <v/>
      </c>
      <c r="Y412" s="42">
        <f>IFERROR(IF(X412=0,"",ROUNDUP(X412/H412,0)*0.00937),"")</f>
        <v/>
      </c>
      <c r="Z412" s="69" t="inlineStr"/>
      <c r="AA412" s="70" t="inlineStr"/>
      <c r="AE412" s="80" t="n"/>
      <c r="BB412" s="320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>
      <c r="A413" s="467" t="n"/>
      <c r="B413" s="785" t="n"/>
      <c r="C413" s="785" t="n"/>
      <c r="D413" s="785" t="n"/>
      <c r="E413" s="785" t="n"/>
      <c r="F413" s="785" t="n"/>
      <c r="G413" s="785" t="n"/>
      <c r="H413" s="785" t="n"/>
      <c r="I413" s="785" t="n"/>
      <c r="J413" s="785" t="n"/>
      <c r="K413" s="785" t="n"/>
      <c r="L413" s="785" t="n"/>
      <c r="M413" s="785" t="n"/>
      <c r="N413" s="837" t="n"/>
      <c r="O413" s="838" t="inlineStr">
        <is>
          <t>Итого</t>
        </is>
      </c>
      <c r="P413" s="805" t="n"/>
      <c r="Q413" s="805" t="n"/>
      <c r="R413" s="805" t="n"/>
      <c r="S413" s="805" t="n"/>
      <c r="T413" s="805" t="n"/>
      <c r="U413" s="806" t="n"/>
      <c r="V413" s="43" t="inlineStr">
        <is>
          <t>кор</t>
        </is>
      </c>
      <c r="W413" s="839">
        <f>IFERROR(W410/H410,"0")+IFERROR(W411/H411,"0")+IFERROR(W412/H412,"0")</f>
        <v/>
      </c>
      <c r="X413" s="839">
        <f>IFERROR(X410/H410,"0")+IFERROR(X411/H411,"0")+IFERROR(X412/H412,"0")</f>
        <v/>
      </c>
      <c r="Y413" s="839">
        <f>IFERROR(IF(Y410="",0,Y410),"0")+IFERROR(IF(Y411="",0,Y411),"0")+IFERROR(IF(Y412="",0,Y412),"0")</f>
        <v/>
      </c>
      <c r="Z413" s="840" t="n"/>
      <c r="AA413" s="840" t="n"/>
    </row>
    <row r="414">
      <c r="A414" s="785" t="n"/>
      <c r="B414" s="785" t="n"/>
      <c r="C414" s="785" t="n"/>
      <c r="D414" s="785" t="n"/>
      <c r="E414" s="785" t="n"/>
      <c r="F414" s="785" t="n"/>
      <c r="G414" s="785" t="n"/>
      <c r="H414" s="785" t="n"/>
      <c r="I414" s="785" t="n"/>
      <c r="J414" s="785" t="n"/>
      <c r="K414" s="785" t="n"/>
      <c r="L414" s="785" t="n"/>
      <c r="M414" s="785" t="n"/>
      <c r="N414" s="837" t="n"/>
      <c r="O414" s="838" t="inlineStr">
        <is>
          <t>Итого</t>
        </is>
      </c>
      <c r="P414" s="805" t="n"/>
      <c r="Q414" s="805" t="n"/>
      <c r="R414" s="805" t="n"/>
      <c r="S414" s="805" t="n"/>
      <c r="T414" s="805" t="n"/>
      <c r="U414" s="806" t="n"/>
      <c r="V414" s="43" t="inlineStr">
        <is>
          <t>кг</t>
        </is>
      </c>
      <c r="W414" s="839">
        <f>IFERROR(SUM(W410:W412),"0")</f>
        <v/>
      </c>
      <c r="X414" s="839">
        <f>IFERROR(SUM(X410:X412),"0")</f>
        <v/>
      </c>
      <c r="Y414" s="43" t="n"/>
      <c r="Z414" s="840" t="n"/>
      <c r="AA414" s="840" t="n"/>
    </row>
    <row r="415" ht="14.25" customHeight="1">
      <c r="A415" s="457" t="inlineStr">
        <is>
          <t>Сардельки</t>
        </is>
      </c>
      <c r="B415" s="785" t="n"/>
      <c r="C415" s="785" t="n"/>
      <c r="D415" s="785" t="n"/>
      <c r="E415" s="785" t="n"/>
      <c r="F415" s="785" t="n"/>
      <c r="G415" s="785" t="n"/>
      <c r="H415" s="785" t="n"/>
      <c r="I415" s="785" t="n"/>
      <c r="J415" s="785" t="n"/>
      <c r="K415" s="785" t="n"/>
      <c r="L415" s="785" t="n"/>
      <c r="M415" s="785" t="n"/>
      <c r="N415" s="785" t="n"/>
      <c r="O415" s="785" t="n"/>
      <c r="P415" s="785" t="n"/>
      <c r="Q415" s="785" t="n"/>
      <c r="R415" s="785" t="n"/>
      <c r="S415" s="785" t="n"/>
      <c r="T415" s="785" t="n"/>
      <c r="U415" s="785" t="n"/>
      <c r="V415" s="785" t="n"/>
      <c r="W415" s="785" t="n"/>
      <c r="X415" s="785" t="n"/>
      <c r="Y415" s="785" t="n"/>
      <c r="Z415" s="457" t="n"/>
      <c r="AA415" s="457" t="n"/>
    </row>
    <row r="416" ht="27" customHeight="1">
      <c r="A416" s="64" t="inlineStr">
        <is>
          <t>SU002846</t>
        </is>
      </c>
      <c r="B416" s="64" t="inlineStr">
        <is>
          <t>P003254</t>
        </is>
      </c>
      <c r="C416" s="37" t="n">
        <v>4301060352</v>
      </c>
      <c r="D416" s="458" t="n">
        <v>4680115881648</v>
      </c>
      <c r="E416" s="798" t="n"/>
      <c r="F416" s="831" t="n">
        <v>1</v>
      </c>
      <c r="G416" s="38" t="n">
        <v>4</v>
      </c>
      <c r="H416" s="831" t="n">
        <v>4</v>
      </c>
      <c r="I416" s="831" t="n">
        <v>4.404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9" t="n"/>
      <c r="N416" s="38" t="n">
        <v>35</v>
      </c>
      <c r="O416" s="10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6" s="833" t="n"/>
      <c r="Q416" s="833" t="n"/>
      <c r="R416" s="833" t="n"/>
      <c r="S416" s="798" t="n"/>
      <c r="T416" s="40" t="inlineStr"/>
      <c r="U416" s="40" t="inlineStr"/>
      <c r="V416" s="41" t="inlineStr">
        <is>
          <t>кг</t>
        </is>
      </c>
      <c r="W416" s="834" t="n">
        <v>0</v>
      </c>
      <c r="X416" s="835">
        <f>IFERROR(IF(W416="",0,CEILING((W416/$H416),1)*$H416),"")</f>
        <v/>
      </c>
      <c r="Y416" s="42">
        <f>IFERROR(IF(X416=0,"",ROUNDUP(X416/H416,0)*0.01196),"")</f>
        <v/>
      </c>
      <c r="Z416" s="69" t="inlineStr"/>
      <c r="AA416" s="70" t="inlineStr"/>
      <c r="AE416" s="80" t="n"/>
      <c r="BB416" s="321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>
      <c r="A417" s="467" t="n"/>
      <c r="B417" s="785" t="n"/>
      <c r="C417" s="785" t="n"/>
      <c r="D417" s="785" t="n"/>
      <c r="E417" s="785" t="n"/>
      <c r="F417" s="785" t="n"/>
      <c r="G417" s="785" t="n"/>
      <c r="H417" s="785" t="n"/>
      <c r="I417" s="785" t="n"/>
      <c r="J417" s="785" t="n"/>
      <c r="K417" s="785" t="n"/>
      <c r="L417" s="785" t="n"/>
      <c r="M417" s="785" t="n"/>
      <c r="N417" s="837" t="n"/>
      <c r="O417" s="838" t="inlineStr">
        <is>
          <t>Итого</t>
        </is>
      </c>
      <c r="P417" s="805" t="n"/>
      <c r="Q417" s="805" t="n"/>
      <c r="R417" s="805" t="n"/>
      <c r="S417" s="805" t="n"/>
      <c r="T417" s="805" t="n"/>
      <c r="U417" s="806" t="n"/>
      <c r="V417" s="43" t="inlineStr">
        <is>
          <t>кор</t>
        </is>
      </c>
      <c r="W417" s="839">
        <f>IFERROR(W416/H416,"0")</f>
        <v/>
      </c>
      <c r="X417" s="839">
        <f>IFERROR(X416/H416,"0")</f>
        <v/>
      </c>
      <c r="Y417" s="839">
        <f>IFERROR(IF(Y416="",0,Y416),"0")</f>
        <v/>
      </c>
      <c r="Z417" s="840" t="n"/>
      <c r="AA417" s="840" t="n"/>
    </row>
    <row r="418">
      <c r="A418" s="785" t="n"/>
      <c r="B418" s="785" t="n"/>
      <c r="C418" s="785" t="n"/>
      <c r="D418" s="785" t="n"/>
      <c r="E418" s="785" t="n"/>
      <c r="F418" s="785" t="n"/>
      <c r="G418" s="785" t="n"/>
      <c r="H418" s="785" t="n"/>
      <c r="I418" s="785" t="n"/>
      <c r="J418" s="785" t="n"/>
      <c r="K418" s="785" t="n"/>
      <c r="L418" s="785" t="n"/>
      <c r="M418" s="785" t="n"/>
      <c r="N418" s="837" t="n"/>
      <c r="O418" s="838" t="inlineStr">
        <is>
          <t>Итого</t>
        </is>
      </c>
      <c r="P418" s="805" t="n"/>
      <c r="Q418" s="805" t="n"/>
      <c r="R418" s="805" t="n"/>
      <c r="S418" s="805" t="n"/>
      <c r="T418" s="805" t="n"/>
      <c r="U418" s="806" t="n"/>
      <c r="V418" s="43" t="inlineStr">
        <is>
          <t>кг</t>
        </is>
      </c>
      <c r="W418" s="839">
        <f>IFERROR(SUM(W416:W416),"0")</f>
        <v/>
      </c>
      <c r="X418" s="839">
        <f>IFERROR(SUM(X416:X416),"0")</f>
        <v/>
      </c>
      <c r="Y418" s="43" t="n"/>
      <c r="Z418" s="840" t="n"/>
      <c r="AA418" s="840" t="n"/>
    </row>
    <row r="419" ht="14.25" customHeight="1">
      <c r="A419" s="457" t="inlineStr">
        <is>
          <t>Сырокопченые колбасы</t>
        </is>
      </c>
      <c r="B419" s="785" t="n"/>
      <c r="C419" s="785" t="n"/>
      <c r="D419" s="785" t="n"/>
      <c r="E419" s="785" t="n"/>
      <c r="F419" s="785" t="n"/>
      <c r="G419" s="785" t="n"/>
      <c r="H419" s="785" t="n"/>
      <c r="I419" s="785" t="n"/>
      <c r="J419" s="785" t="n"/>
      <c r="K419" s="785" t="n"/>
      <c r="L419" s="785" t="n"/>
      <c r="M419" s="785" t="n"/>
      <c r="N419" s="785" t="n"/>
      <c r="O419" s="785" t="n"/>
      <c r="P419" s="785" t="n"/>
      <c r="Q419" s="785" t="n"/>
      <c r="R419" s="785" t="n"/>
      <c r="S419" s="785" t="n"/>
      <c r="T419" s="785" t="n"/>
      <c r="U419" s="785" t="n"/>
      <c r="V419" s="785" t="n"/>
      <c r="W419" s="785" t="n"/>
      <c r="X419" s="785" t="n"/>
      <c r="Y419" s="785" t="n"/>
      <c r="Z419" s="457" t="n"/>
      <c r="AA419" s="457" t="n"/>
    </row>
    <row r="420" ht="27" customHeight="1">
      <c r="A420" s="64" t="inlineStr">
        <is>
          <t>SU003277</t>
        </is>
      </c>
      <c r="B420" s="64" t="inlineStr">
        <is>
          <t>P003775</t>
        </is>
      </c>
      <c r="C420" s="37" t="n">
        <v>4301032045</v>
      </c>
      <c r="D420" s="458" t="n">
        <v>4680115884335</v>
      </c>
      <c r="E420" s="798" t="n"/>
      <c r="F420" s="831" t="n">
        <v>0.06</v>
      </c>
      <c r="G420" s="38" t="n">
        <v>20</v>
      </c>
      <c r="H420" s="831" t="n">
        <v>1.2</v>
      </c>
      <c r="I420" s="831" t="n">
        <v>1.8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60</v>
      </c>
      <c r="O420" s="108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20" s="833" t="n"/>
      <c r="Q420" s="833" t="n"/>
      <c r="R420" s="833" t="n"/>
      <c r="S420" s="798" t="n"/>
      <c r="T420" s="40" t="inlineStr"/>
      <c r="U420" s="40" t="inlineStr"/>
      <c r="V420" s="41" t="inlineStr">
        <is>
          <t>кг</t>
        </is>
      </c>
      <c r="W420" s="834" t="n">
        <v>0</v>
      </c>
      <c r="X420" s="835">
        <f>IFERROR(IF(W420="",0,CEILING((W420/$H420),1)*$H420),"")</f>
        <v/>
      </c>
      <c r="Y420" s="42">
        <f>IFERROR(IF(X420=0,"",ROUNDUP(X420/H420,0)*0.00627),"")</f>
        <v/>
      </c>
      <c r="Z420" s="69" t="inlineStr"/>
      <c r="AA420" s="70" t="inlineStr"/>
      <c r="AE420" s="80" t="n"/>
      <c r="BB420" s="322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 ht="27" customHeight="1">
      <c r="A421" s="64" t="inlineStr">
        <is>
          <t>SU003278</t>
        </is>
      </c>
      <c r="B421" s="64" t="inlineStr">
        <is>
          <t>P003777</t>
        </is>
      </c>
      <c r="C421" s="37" t="n">
        <v>4301032047</v>
      </c>
      <c r="D421" s="458" t="n">
        <v>4680115884342</v>
      </c>
      <c r="E421" s="798" t="n"/>
      <c r="F421" s="831" t="n">
        <v>0.06</v>
      </c>
      <c r="G421" s="38" t="n">
        <v>20</v>
      </c>
      <c r="H421" s="831" t="n">
        <v>1.2</v>
      </c>
      <c r="I421" s="831" t="n">
        <v>1.8</v>
      </c>
      <c r="J421" s="38" t="n">
        <v>200</v>
      </c>
      <c r="K421" s="38" t="inlineStr">
        <is>
          <t>10</t>
        </is>
      </c>
      <c r="L421" s="39" t="inlineStr">
        <is>
          <t>ДК</t>
        </is>
      </c>
      <c r="M421" s="39" t="n"/>
      <c r="N421" s="38" t="n">
        <v>60</v>
      </c>
      <c r="O421" s="108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21" s="833" t="n"/>
      <c r="Q421" s="833" t="n"/>
      <c r="R421" s="833" t="n"/>
      <c r="S421" s="798" t="n"/>
      <c r="T421" s="40" t="inlineStr"/>
      <c r="U421" s="40" t="inlineStr"/>
      <c r="V421" s="41" t="inlineStr">
        <is>
          <t>кг</t>
        </is>
      </c>
      <c r="W421" s="834" t="n">
        <v>0</v>
      </c>
      <c r="X421" s="835">
        <f>IFERROR(IF(W421="",0,CEILING((W421/$H421),1)*$H421),"")</f>
        <v/>
      </c>
      <c r="Y421" s="42">
        <f>IFERROR(IF(X421=0,"",ROUNDUP(X421/H421,0)*0.00627),"")</f>
        <v/>
      </c>
      <c r="Z421" s="69" t="inlineStr"/>
      <c r="AA421" s="70" t="inlineStr"/>
      <c r="AE421" s="80" t="n"/>
      <c r="BB421" s="323" t="inlineStr">
        <is>
          <t>КИ</t>
        </is>
      </c>
      <c r="BL421" s="80">
        <f>IFERROR(W421*I421/H421,"0")</f>
        <v/>
      </c>
      <c r="BM421" s="80">
        <f>IFERROR(X421*I421/H421,"0")</f>
        <v/>
      </c>
      <c r="BN421" s="80">
        <f>IFERROR(1/J421*(W421/H421),"0")</f>
        <v/>
      </c>
      <c r="BO421" s="80">
        <f>IFERROR(1/J421*(X421/H421),"0")</f>
        <v/>
      </c>
    </row>
    <row r="422" ht="27" customHeight="1">
      <c r="A422" s="64" t="inlineStr">
        <is>
          <t>SU003281</t>
        </is>
      </c>
      <c r="B422" s="64" t="inlineStr">
        <is>
          <t>P003774</t>
        </is>
      </c>
      <c r="C422" s="37" t="n">
        <v>4301170011</v>
      </c>
      <c r="D422" s="458" t="n">
        <v>4680115884113</v>
      </c>
      <c r="E422" s="798" t="n"/>
      <c r="F422" s="831" t="n">
        <v>0.11</v>
      </c>
      <c r="G422" s="38" t="n">
        <v>12</v>
      </c>
      <c r="H422" s="831" t="n">
        <v>1.32</v>
      </c>
      <c r="I422" s="831" t="n">
        <v>1.88</v>
      </c>
      <c r="J422" s="38" t="n">
        <v>200</v>
      </c>
      <c r="K422" s="38" t="inlineStr">
        <is>
          <t>10</t>
        </is>
      </c>
      <c r="L422" s="39" t="inlineStr">
        <is>
          <t>ДК</t>
        </is>
      </c>
      <c r="M422" s="39" t="n"/>
      <c r="N422" s="38" t="n">
        <v>150</v>
      </c>
      <c r="O422" s="108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22" s="833" t="n"/>
      <c r="Q422" s="833" t="n"/>
      <c r="R422" s="833" t="n"/>
      <c r="S422" s="798" t="n"/>
      <c r="T422" s="40" t="inlineStr"/>
      <c r="U422" s="40" t="inlineStr"/>
      <c r="V422" s="41" t="inlineStr">
        <is>
          <t>кг</t>
        </is>
      </c>
      <c r="W422" s="834" t="n">
        <v>0</v>
      </c>
      <c r="X422" s="835">
        <f>IFERROR(IF(W422="",0,CEILING((W422/$H422),1)*$H422),"")</f>
        <v/>
      </c>
      <c r="Y422" s="42">
        <f>IFERROR(IF(X422=0,"",ROUNDUP(X422/H422,0)*0.00627),"")</f>
        <v/>
      </c>
      <c r="Z422" s="69" t="inlineStr"/>
      <c r="AA422" s="70" t="inlineStr"/>
      <c r="AE422" s="80" t="n"/>
      <c r="BB422" s="324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>
      <c r="A423" s="467" t="n"/>
      <c r="B423" s="785" t="n"/>
      <c r="C423" s="785" t="n"/>
      <c r="D423" s="785" t="n"/>
      <c r="E423" s="785" t="n"/>
      <c r="F423" s="785" t="n"/>
      <c r="G423" s="785" t="n"/>
      <c r="H423" s="785" t="n"/>
      <c r="I423" s="785" t="n"/>
      <c r="J423" s="785" t="n"/>
      <c r="K423" s="785" t="n"/>
      <c r="L423" s="785" t="n"/>
      <c r="M423" s="785" t="n"/>
      <c r="N423" s="837" t="n"/>
      <c r="O423" s="838" t="inlineStr">
        <is>
          <t>Итого</t>
        </is>
      </c>
      <c r="P423" s="805" t="n"/>
      <c r="Q423" s="805" t="n"/>
      <c r="R423" s="805" t="n"/>
      <c r="S423" s="805" t="n"/>
      <c r="T423" s="805" t="n"/>
      <c r="U423" s="806" t="n"/>
      <c r="V423" s="43" t="inlineStr">
        <is>
          <t>кор</t>
        </is>
      </c>
      <c r="W423" s="839">
        <f>IFERROR(W420/H420,"0")+IFERROR(W421/H421,"0")+IFERROR(W422/H422,"0")</f>
        <v/>
      </c>
      <c r="X423" s="839">
        <f>IFERROR(X420/H420,"0")+IFERROR(X421/H421,"0")+IFERROR(X422/H422,"0")</f>
        <v/>
      </c>
      <c r="Y423" s="839">
        <f>IFERROR(IF(Y420="",0,Y420),"0")+IFERROR(IF(Y421="",0,Y421),"0")+IFERROR(IF(Y422="",0,Y422),"0")</f>
        <v/>
      </c>
      <c r="Z423" s="840" t="n"/>
      <c r="AA423" s="840" t="n"/>
    </row>
    <row r="424">
      <c r="A424" s="785" t="n"/>
      <c r="B424" s="785" t="n"/>
      <c r="C424" s="785" t="n"/>
      <c r="D424" s="785" t="n"/>
      <c r="E424" s="785" t="n"/>
      <c r="F424" s="785" t="n"/>
      <c r="G424" s="785" t="n"/>
      <c r="H424" s="785" t="n"/>
      <c r="I424" s="785" t="n"/>
      <c r="J424" s="785" t="n"/>
      <c r="K424" s="785" t="n"/>
      <c r="L424" s="785" t="n"/>
      <c r="M424" s="785" t="n"/>
      <c r="N424" s="837" t="n"/>
      <c r="O424" s="838" t="inlineStr">
        <is>
          <t>Итого</t>
        </is>
      </c>
      <c r="P424" s="805" t="n"/>
      <c r="Q424" s="805" t="n"/>
      <c r="R424" s="805" t="n"/>
      <c r="S424" s="805" t="n"/>
      <c r="T424" s="805" t="n"/>
      <c r="U424" s="806" t="n"/>
      <c r="V424" s="43" t="inlineStr">
        <is>
          <t>кг</t>
        </is>
      </c>
      <c r="W424" s="839">
        <f>IFERROR(SUM(W420:W422),"0")</f>
        <v/>
      </c>
      <c r="X424" s="839">
        <f>IFERROR(SUM(X420:X422),"0")</f>
        <v/>
      </c>
      <c r="Y424" s="43" t="n"/>
      <c r="Z424" s="840" t="n"/>
      <c r="AA424" s="840" t="n"/>
    </row>
    <row r="425" ht="16.5" customHeight="1">
      <c r="A425" s="456" t="inlineStr">
        <is>
          <t>Балыкбургская</t>
        </is>
      </c>
      <c r="B425" s="785" t="n"/>
      <c r="C425" s="785" t="n"/>
      <c r="D425" s="785" t="n"/>
      <c r="E425" s="785" t="n"/>
      <c r="F425" s="785" t="n"/>
      <c r="G425" s="785" t="n"/>
      <c r="H425" s="785" t="n"/>
      <c r="I425" s="785" t="n"/>
      <c r="J425" s="785" t="n"/>
      <c r="K425" s="785" t="n"/>
      <c r="L425" s="785" t="n"/>
      <c r="M425" s="785" t="n"/>
      <c r="N425" s="785" t="n"/>
      <c r="O425" s="785" t="n"/>
      <c r="P425" s="785" t="n"/>
      <c r="Q425" s="785" t="n"/>
      <c r="R425" s="785" t="n"/>
      <c r="S425" s="785" t="n"/>
      <c r="T425" s="785" t="n"/>
      <c r="U425" s="785" t="n"/>
      <c r="V425" s="785" t="n"/>
      <c r="W425" s="785" t="n"/>
      <c r="X425" s="785" t="n"/>
      <c r="Y425" s="785" t="n"/>
      <c r="Z425" s="456" t="n"/>
      <c r="AA425" s="456" t="n"/>
    </row>
    <row r="426" ht="14.25" customHeight="1">
      <c r="A426" s="457" t="inlineStr">
        <is>
          <t>Ветчины</t>
        </is>
      </c>
      <c r="B426" s="785" t="n"/>
      <c r="C426" s="785" t="n"/>
      <c r="D426" s="785" t="n"/>
      <c r="E426" s="785" t="n"/>
      <c r="F426" s="785" t="n"/>
      <c r="G426" s="785" t="n"/>
      <c r="H426" s="785" t="n"/>
      <c r="I426" s="785" t="n"/>
      <c r="J426" s="785" t="n"/>
      <c r="K426" s="785" t="n"/>
      <c r="L426" s="785" t="n"/>
      <c r="M426" s="785" t="n"/>
      <c r="N426" s="785" t="n"/>
      <c r="O426" s="785" t="n"/>
      <c r="P426" s="785" t="n"/>
      <c r="Q426" s="785" t="n"/>
      <c r="R426" s="785" t="n"/>
      <c r="S426" s="785" t="n"/>
      <c r="T426" s="785" t="n"/>
      <c r="U426" s="785" t="n"/>
      <c r="V426" s="785" t="n"/>
      <c r="W426" s="785" t="n"/>
      <c r="X426" s="785" t="n"/>
      <c r="Y426" s="785" t="n"/>
      <c r="Z426" s="457" t="n"/>
      <c r="AA426" s="457" t="n"/>
    </row>
    <row r="427" ht="27" customHeight="1">
      <c r="A427" s="64" t="inlineStr">
        <is>
          <t>SU002542</t>
        </is>
      </c>
      <c r="B427" s="64" t="inlineStr">
        <is>
          <t>P002847</t>
        </is>
      </c>
      <c r="C427" s="37" t="n">
        <v>4301020214</v>
      </c>
      <c r="D427" s="458" t="n">
        <v>4607091389388</v>
      </c>
      <c r="E427" s="798" t="n"/>
      <c r="F427" s="831" t="n">
        <v>1.3</v>
      </c>
      <c r="G427" s="38" t="n">
        <v>4</v>
      </c>
      <c r="H427" s="831" t="n">
        <v>5.2</v>
      </c>
      <c r="I427" s="831" t="n">
        <v>5.608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9" t="n"/>
      <c r="N427" s="38" t="n">
        <v>35</v>
      </c>
      <c r="O427" s="10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7" s="833" t="n"/>
      <c r="Q427" s="833" t="n"/>
      <c r="R427" s="833" t="n"/>
      <c r="S427" s="798" t="n"/>
      <c r="T427" s="40" t="inlineStr"/>
      <c r="U427" s="40" t="inlineStr"/>
      <c r="V427" s="41" t="inlineStr">
        <is>
          <t>кг</t>
        </is>
      </c>
      <c r="W427" s="834" t="n">
        <v>0</v>
      </c>
      <c r="X427" s="835">
        <f>IFERROR(IF(W427="",0,CEILING((W427/$H427),1)*$H427),"")</f>
        <v/>
      </c>
      <c r="Y427" s="42">
        <f>IFERROR(IF(X427=0,"",ROUNDUP(X427/H427,0)*0.01196),"")</f>
        <v/>
      </c>
      <c r="Z427" s="69" t="inlineStr"/>
      <c r="AA427" s="70" t="inlineStr"/>
      <c r="AE427" s="80" t="n"/>
      <c r="BB427" s="325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SU002319</t>
        </is>
      </c>
      <c r="B428" s="64" t="inlineStr">
        <is>
          <t>P002597</t>
        </is>
      </c>
      <c r="C428" s="37" t="n">
        <v>4301020185</v>
      </c>
      <c r="D428" s="458" t="n">
        <v>4607091389364</v>
      </c>
      <c r="E428" s="798" t="n"/>
      <c r="F428" s="831" t="n">
        <v>0.42</v>
      </c>
      <c r="G428" s="38" t="n">
        <v>6</v>
      </c>
      <c r="H428" s="831" t="n">
        <v>2.52</v>
      </c>
      <c r="I428" s="831" t="n">
        <v>2.75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9" t="n"/>
      <c r="N428" s="38" t="n">
        <v>35</v>
      </c>
      <c r="O428" s="10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8" s="833" t="n"/>
      <c r="Q428" s="833" t="n"/>
      <c r="R428" s="833" t="n"/>
      <c r="S428" s="798" t="n"/>
      <c r="T428" s="40" t="inlineStr"/>
      <c r="U428" s="40" t="inlineStr"/>
      <c r="V428" s="41" t="inlineStr">
        <is>
          <t>кг</t>
        </is>
      </c>
      <c r="W428" s="834" t="n">
        <v>0</v>
      </c>
      <c r="X428" s="835">
        <f>IFERROR(IF(W428="",0,CEILING((W428/$H428),1)*$H428),"")</f>
        <v/>
      </c>
      <c r="Y428" s="42">
        <f>IFERROR(IF(X428=0,"",ROUNDUP(X428/H428,0)*0.00753),"")</f>
        <v/>
      </c>
      <c r="Z428" s="69" t="inlineStr"/>
      <c r="AA428" s="70" t="inlineStr"/>
      <c r="AE428" s="80" t="n"/>
      <c r="BB428" s="326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>
      <c r="A429" s="467" t="n"/>
      <c r="B429" s="785" t="n"/>
      <c r="C429" s="785" t="n"/>
      <c r="D429" s="785" t="n"/>
      <c r="E429" s="785" t="n"/>
      <c r="F429" s="785" t="n"/>
      <c r="G429" s="785" t="n"/>
      <c r="H429" s="785" t="n"/>
      <c r="I429" s="785" t="n"/>
      <c r="J429" s="785" t="n"/>
      <c r="K429" s="785" t="n"/>
      <c r="L429" s="785" t="n"/>
      <c r="M429" s="785" t="n"/>
      <c r="N429" s="837" t="n"/>
      <c r="O429" s="838" t="inlineStr">
        <is>
          <t>Итого</t>
        </is>
      </c>
      <c r="P429" s="805" t="n"/>
      <c r="Q429" s="805" t="n"/>
      <c r="R429" s="805" t="n"/>
      <c r="S429" s="805" t="n"/>
      <c r="T429" s="805" t="n"/>
      <c r="U429" s="806" t="n"/>
      <c r="V429" s="43" t="inlineStr">
        <is>
          <t>кор</t>
        </is>
      </c>
      <c r="W429" s="839">
        <f>IFERROR(W427/H427,"0")+IFERROR(W428/H428,"0")</f>
        <v/>
      </c>
      <c r="X429" s="839">
        <f>IFERROR(X427/H427,"0")+IFERROR(X428/H428,"0")</f>
        <v/>
      </c>
      <c r="Y429" s="839">
        <f>IFERROR(IF(Y427="",0,Y427),"0")+IFERROR(IF(Y428="",0,Y428),"0")</f>
        <v/>
      </c>
      <c r="Z429" s="840" t="n"/>
      <c r="AA429" s="840" t="n"/>
    </row>
    <row r="430">
      <c r="A430" s="785" t="n"/>
      <c r="B430" s="785" t="n"/>
      <c r="C430" s="785" t="n"/>
      <c r="D430" s="785" t="n"/>
      <c r="E430" s="785" t="n"/>
      <c r="F430" s="785" t="n"/>
      <c r="G430" s="785" t="n"/>
      <c r="H430" s="785" t="n"/>
      <c r="I430" s="785" t="n"/>
      <c r="J430" s="785" t="n"/>
      <c r="K430" s="785" t="n"/>
      <c r="L430" s="785" t="n"/>
      <c r="M430" s="785" t="n"/>
      <c r="N430" s="837" t="n"/>
      <c r="O430" s="838" t="inlineStr">
        <is>
          <t>Итого</t>
        </is>
      </c>
      <c r="P430" s="805" t="n"/>
      <c r="Q430" s="805" t="n"/>
      <c r="R430" s="805" t="n"/>
      <c r="S430" s="805" t="n"/>
      <c r="T430" s="805" t="n"/>
      <c r="U430" s="806" t="n"/>
      <c r="V430" s="43" t="inlineStr">
        <is>
          <t>кг</t>
        </is>
      </c>
      <c r="W430" s="839">
        <f>IFERROR(SUM(W427:W428),"0")</f>
        <v/>
      </c>
      <c r="X430" s="839">
        <f>IFERROR(SUM(X427:X428),"0")</f>
        <v/>
      </c>
      <c r="Y430" s="43" t="n"/>
      <c r="Z430" s="840" t="n"/>
      <c r="AA430" s="840" t="n"/>
    </row>
    <row r="431" ht="14.25" customHeight="1">
      <c r="A431" s="457" t="inlineStr">
        <is>
          <t>Копченые колбасы</t>
        </is>
      </c>
      <c r="B431" s="785" t="n"/>
      <c r="C431" s="785" t="n"/>
      <c r="D431" s="785" t="n"/>
      <c r="E431" s="785" t="n"/>
      <c r="F431" s="785" t="n"/>
      <c r="G431" s="785" t="n"/>
      <c r="H431" s="785" t="n"/>
      <c r="I431" s="785" t="n"/>
      <c r="J431" s="785" t="n"/>
      <c r="K431" s="785" t="n"/>
      <c r="L431" s="785" t="n"/>
      <c r="M431" s="785" t="n"/>
      <c r="N431" s="785" t="n"/>
      <c r="O431" s="785" t="n"/>
      <c r="P431" s="785" t="n"/>
      <c r="Q431" s="785" t="n"/>
      <c r="R431" s="785" t="n"/>
      <c r="S431" s="785" t="n"/>
      <c r="T431" s="785" t="n"/>
      <c r="U431" s="785" t="n"/>
      <c r="V431" s="785" t="n"/>
      <c r="W431" s="785" t="n"/>
      <c r="X431" s="785" t="n"/>
      <c r="Y431" s="785" t="n"/>
      <c r="Z431" s="457" t="n"/>
      <c r="AA431" s="457" t="n"/>
    </row>
    <row r="432" ht="27" customHeight="1">
      <c r="A432" s="64" t="inlineStr">
        <is>
          <t>SU002612</t>
        </is>
      </c>
      <c r="B432" s="64" t="inlineStr">
        <is>
          <t>P003140</t>
        </is>
      </c>
      <c r="C432" s="37" t="n">
        <v>4301031212</v>
      </c>
      <c r="D432" s="458" t="n">
        <v>4607091389739</v>
      </c>
      <c r="E432" s="798" t="n"/>
      <c r="F432" s="831" t="n">
        <v>0.7</v>
      </c>
      <c r="G432" s="38" t="n">
        <v>6</v>
      </c>
      <c r="H432" s="831" t="n">
        <v>4.2</v>
      </c>
      <c r="I432" s="831" t="n">
        <v>4.43</v>
      </c>
      <c r="J432" s="38" t="n">
        <v>156</v>
      </c>
      <c r="K432" s="38" t="inlineStr">
        <is>
          <t>12</t>
        </is>
      </c>
      <c r="L432" s="39" t="inlineStr">
        <is>
          <t>СК1</t>
        </is>
      </c>
      <c r="M432" s="39" t="n"/>
      <c r="N432" s="38" t="n">
        <v>45</v>
      </c>
      <c r="O432" s="10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32" s="833" t="n"/>
      <c r="Q432" s="833" t="n"/>
      <c r="R432" s="833" t="n"/>
      <c r="S432" s="798" t="n"/>
      <c r="T432" s="40" t="inlineStr"/>
      <c r="U432" s="40" t="inlineStr"/>
      <c r="V432" s="41" t="inlineStr">
        <is>
          <t>кг</t>
        </is>
      </c>
      <c r="W432" s="834" t="n">
        <v>0</v>
      </c>
      <c r="X432" s="835">
        <f>IFERROR(IF(W432="",0,CEILING((W432/$H432),1)*$H432),"")</f>
        <v/>
      </c>
      <c r="Y432" s="42">
        <f>IFERROR(IF(X432=0,"",ROUNDUP(X432/H432,0)*0.00753),"")</f>
        <v/>
      </c>
      <c r="Z432" s="69" t="inlineStr"/>
      <c r="AA432" s="70" t="inlineStr"/>
      <c r="AE432" s="80" t="n"/>
      <c r="BB432" s="327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SU002545</t>
        </is>
      </c>
      <c r="B433" s="64" t="inlineStr">
        <is>
          <t>P003137</t>
        </is>
      </c>
      <c r="C433" s="37" t="n">
        <v>4301031176</v>
      </c>
      <c r="D433" s="458" t="n">
        <v>4607091389425</v>
      </c>
      <c r="E433" s="798" t="n"/>
      <c r="F433" s="831" t="n">
        <v>0.35</v>
      </c>
      <c r="G433" s="38" t="n">
        <v>6</v>
      </c>
      <c r="H433" s="831" t="n">
        <v>2.1</v>
      </c>
      <c r="I433" s="831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45</v>
      </c>
      <c r="O433" s="10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33" s="833" t="n"/>
      <c r="Q433" s="833" t="n"/>
      <c r="R433" s="833" t="n"/>
      <c r="S433" s="798" t="n"/>
      <c r="T433" s="40" t="inlineStr"/>
      <c r="U433" s="40" t="inlineStr"/>
      <c r="V433" s="41" t="inlineStr">
        <is>
          <t>кг</t>
        </is>
      </c>
      <c r="W433" s="834" t="n">
        <v>0</v>
      </c>
      <c r="X433" s="835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8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SU002917</t>
        </is>
      </c>
      <c r="B434" s="64" t="inlineStr">
        <is>
          <t>P003343</t>
        </is>
      </c>
      <c r="C434" s="37" t="n">
        <v>4301031215</v>
      </c>
      <c r="D434" s="458" t="n">
        <v>4680115882911</v>
      </c>
      <c r="E434" s="798" t="n"/>
      <c r="F434" s="831" t="n">
        <v>0.4</v>
      </c>
      <c r="G434" s="38" t="n">
        <v>6</v>
      </c>
      <c r="H434" s="831" t="n">
        <v>2.4</v>
      </c>
      <c r="I434" s="831" t="n">
        <v>2.53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8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4" s="833" t="n"/>
      <c r="Q434" s="833" t="n"/>
      <c r="R434" s="833" t="n"/>
      <c r="S434" s="798" t="n"/>
      <c r="T434" s="40" t="inlineStr"/>
      <c r="U434" s="40" t="inlineStr"/>
      <c r="V434" s="41" t="inlineStr">
        <is>
          <t>кг</t>
        </is>
      </c>
      <c r="W434" s="834" t="n">
        <v>0</v>
      </c>
      <c r="X434" s="835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9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SU002726</t>
        </is>
      </c>
      <c r="B435" s="64" t="inlineStr">
        <is>
          <t>P003095</t>
        </is>
      </c>
      <c r="C435" s="37" t="n">
        <v>4301031167</v>
      </c>
      <c r="D435" s="458" t="n">
        <v>4680115880771</v>
      </c>
      <c r="E435" s="798" t="n"/>
      <c r="F435" s="831" t="n">
        <v>0.28</v>
      </c>
      <c r="G435" s="38" t="n">
        <v>6</v>
      </c>
      <c r="H435" s="831" t="n">
        <v>1.68</v>
      </c>
      <c r="I435" s="831" t="n">
        <v>1.81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45</v>
      </c>
      <c r="O435" s="10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5" s="833" t="n"/>
      <c r="Q435" s="833" t="n"/>
      <c r="R435" s="833" t="n"/>
      <c r="S435" s="798" t="n"/>
      <c r="T435" s="40" t="inlineStr"/>
      <c r="U435" s="40" t="inlineStr"/>
      <c r="V435" s="41" t="inlineStr">
        <is>
          <t>кг</t>
        </is>
      </c>
      <c r="W435" s="834" t="n">
        <v>0</v>
      </c>
      <c r="X435" s="835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30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 ht="27" customHeight="1">
      <c r="A436" s="64" t="inlineStr">
        <is>
          <t>SU002604</t>
        </is>
      </c>
      <c r="B436" s="64" t="inlineStr">
        <is>
          <t>P003135</t>
        </is>
      </c>
      <c r="C436" s="37" t="n">
        <v>4301031173</v>
      </c>
      <c r="D436" s="458" t="n">
        <v>4607091389500</v>
      </c>
      <c r="E436" s="798" t="n"/>
      <c r="F436" s="831" t="n">
        <v>0.35</v>
      </c>
      <c r="G436" s="38" t="n">
        <v>6</v>
      </c>
      <c r="H436" s="831" t="n">
        <v>2.1</v>
      </c>
      <c r="I436" s="831" t="n">
        <v>2.23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45</v>
      </c>
      <c r="O436" s="10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6" s="833" t="n"/>
      <c r="Q436" s="833" t="n"/>
      <c r="R436" s="833" t="n"/>
      <c r="S436" s="798" t="n"/>
      <c r="T436" s="40" t="inlineStr"/>
      <c r="U436" s="40" t="inlineStr"/>
      <c r="V436" s="41" t="inlineStr">
        <is>
          <t>кг</t>
        </is>
      </c>
      <c r="W436" s="834" t="n">
        <v>0</v>
      </c>
      <c r="X436" s="835">
        <f>IFERROR(IF(W436="",0,CEILING((W436/$H436),1)*$H436),"")</f>
        <v/>
      </c>
      <c r="Y436" s="42">
        <f>IFERROR(IF(X436=0,"",ROUNDUP(X436/H436,0)*0.00502),"")</f>
        <v/>
      </c>
      <c r="Z436" s="69" t="inlineStr"/>
      <c r="AA436" s="70" t="inlineStr"/>
      <c r="AE436" s="80" t="n"/>
      <c r="BB436" s="331" t="inlineStr">
        <is>
          <t>КИ</t>
        </is>
      </c>
      <c r="BL436" s="80">
        <f>IFERROR(W436*I436/H436,"0")</f>
        <v/>
      </c>
      <c r="BM436" s="80">
        <f>IFERROR(X436*I436/H436,"0")</f>
        <v/>
      </c>
      <c r="BN436" s="80">
        <f>IFERROR(1/J436*(W436/H436),"0")</f>
        <v/>
      </c>
      <c r="BO436" s="80">
        <f>IFERROR(1/J436*(X436/H436),"0")</f>
        <v/>
      </c>
    </row>
    <row r="437" ht="27" customHeight="1">
      <c r="A437" s="64" t="inlineStr">
        <is>
          <t>SU002358</t>
        </is>
      </c>
      <c r="B437" s="64" t="inlineStr">
        <is>
          <t>P002642</t>
        </is>
      </c>
      <c r="C437" s="37" t="n">
        <v>4301031103</v>
      </c>
      <c r="D437" s="458" t="n">
        <v>4680115881983</v>
      </c>
      <c r="E437" s="798" t="n"/>
      <c r="F437" s="831" t="n">
        <v>0.28</v>
      </c>
      <c r="G437" s="38" t="n">
        <v>4</v>
      </c>
      <c r="H437" s="831" t="n">
        <v>1.12</v>
      </c>
      <c r="I437" s="831" t="n">
        <v>1.252</v>
      </c>
      <c r="J437" s="38" t="n">
        <v>234</v>
      </c>
      <c r="K437" s="38" t="inlineStr">
        <is>
          <t>18</t>
        </is>
      </c>
      <c r="L437" s="39" t="inlineStr">
        <is>
          <t>СК2</t>
        </is>
      </c>
      <c r="M437" s="39" t="n"/>
      <c r="N437" s="38" t="n">
        <v>40</v>
      </c>
      <c r="O437" s="10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7" s="833" t="n"/>
      <c r="Q437" s="833" t="n"/>
      <c r="R437" s="833" t="n"/>
      <c r="S437" s="798" t="n"/>
      <c r="T437" s="40" t="inlineStr"/>
      <c r="U437" s="40" t="inlineStr"/>
      <c r="V437" s="41" t="inlineStr">
        <is>
          <t>кг</t>
        </is>
      </c>
      <c r="W437" s="834" t="n">
        <v>0</v>
      </c>
      <c r="X437" s="835">
        <f>IFERROR(IF(W437="",0,CEILING((W437/$H437),1)*$H437),"")</f>
        <v/>
      </c>
      <c r="Y437" s="42">
        <f>IFERROR(IF(X437=0,"",ROUNDUP(X437/H437,0)*0.00502),"")</f>
        <v/>
      </c>
      <c r="Z437" s="69" t="inlineStr"/>
      <c r="AA437" s="70" t="inlineStr"/>
      <c r="AE437" s="80" t="n"/>
      <c r="BB437" s="332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>
      <c r="A438" s="467" t="n"/>
      <c r="B438" s="785" t="n"/>
      <c r="C438" s="785" t="n"/>
      <c r="D438" s="785" t="n"/>
      <c r="E438" s="785" t="n"/>
      <c r="F438" s="785" t="n"/>
      <c r="G438" s="785" t="n"/>
      <c r="H438" s="785" t="n"/>
      <c r="I438" s="785" t="n"/>
      <c r="J438" s="785" t="n"/>
      <c r="K438" s="785" t="n"/>
      <c r="L438" s="785" t="n"/>
      <c r="M438" s="785" t="n"/>
      <c r="N438" s="837" t="n"/>
      <c r="O438" s="838" t="inlineStr">
        <is>
          <t>Итого</t>
        </is>
      </c>
      <c r="P438" s="805" t="n"/>
      <c r="Q438" s="805" t="n"/>
      <c r="R438" s="805" t="n"/>
      <c r="S438" s="805" t="n"/>
      <c r="T438" s="805" t="n"/>
      <c r="U438" s="806" t="n"/>
      <c r="V438" s="43" t="inlineStr">
        <is>
          <t>кор</t>
        </is>
      </c>
      <c r="W438" s="839">
        <f>IFERROR(W432/H432,"0")+IFERROR(W433/H433,"0")+IFERROR(W434/H434,"0")+IFERROR(W435/H435,"0")+IFERROR(W436/H436,"0")+IFERROR(W437/H437,"0")</f>
        <v/>
      </c>
      <c r="X438" s="839">
        <f>IFERROR(X432/H432,"0")+IFERROR(X433/H433,"0")+IFERROR(X434/H434,"0")+IFERROR(X435/H435,"0")+IFERROR(X436/H436,"0")+IFERROR(X437/H437,"0")</f>
        <v/>
      </c>
      <c r="Y438" s="839">
        <f>IFERROR(IF(Y432="",0,Y432),"0")+IFERROR(IF(Y433="",0,Y433),"0")+IFERROR(IF(Y434="",0,Y434),"0")+IFERROR(IF(Y435="",0,Y435),"0")+IFERROR(IF(Y436="",0,Y436),"0")+IFERROR(IF(Y437="",0,Y437),"0")</f>
        <v/>
      </c>
      <c r="Z438" s="840" t="n"/>
      <c r="AA438" s="840" t="n"/>
    </row>
    <row r="439">
      <c r="A439" s="785" t="n"/>
      <c r="B439" s="785" t="n"/>
      <c r="C439" s="785" t="n"/>
      <c r="D439" s="785" t="n"/>
      <c r="E439" s="785" t="n"/>
      <c r="F439" s="785" t="n"/>
      <c r="G439" s="785" t="n"/>
      <c r="H439" s="785" t="n"/>
      <c r="I439" s="785" t="n"/>
      <c r="J439" s="785" t="n"/>
      <c r="K439" s="785" t="n"/>
      <c r="L439" s="785" t="n"/>
      <c r="M439" s="785" t="n"/>
      <c r="N439" s="837" t="n"/>
      <c r="O439" s="838" t="inlineStr">
        <is>
          <t>Итого</t>
        </is>
      </c>
      <c r="P439" s="805" t="n"/>
      <c r="Q439" s="805" t="n"/>
      <c r="R439" s="805" t="n"/>
      <c r="S439" s="805" t="n"/>
      <c r="T439" s="805" t="n"/>
      <c r="U439" s="806" t="n"/>
      <c r="V439" s="43" t="inlineStr">
        <is>
          <t>кг</t>
        </is>
      </c>
      <c r="W439" s="839">
        <f>IFERROR(SUM(W432:W437),"0")</f>
        <v/>
      </c>
      <c r="X439" s="839">
        <f>IFERROR(SUM(X432:X437),"0")</f>
        <v/>
      </c>
      <c r="Y439" s="43" t="n"/>
      <c r="Z439" s="840" t="n"/>
      <c r="AA439" s="840" t="n"/>
    </row>
    <row r="440" ht="14.25" customHeight="1">
      <c r="A440" s="457" t="inlineStr">
        <is>
          <t>Сырокопченые колбасы</t>
        </is>
      </c>
      <c r="B440" s="785" t="n"/>
      <c r="C440" s="785" t="n"/>
      <c r="D440" s="785" t="n"/>
      <c r="E440" s="785" t="n"/>
      <c r="F440" s="785" t="n"/>
      <c r="G440" s="785" t="n"/>
      <c r="H440" s="785" t="n"/>
      <c r="I440" s="785" t="n"/>
      <c r="J440" s="785" t="n"/>
      <c r="K440" s="785" t="n"/>
      <c r="L440" s="785" t="n"/>
      <c r="M440" s="785" t="n"/>
      <c r="N440" s="785" t="n"/>
      <c r="O440" s="785" t="n"/>
      <c r="P440" s="785" t="n"/>
      <c r="Q440" s="785" t="n"/>
      <c r="R440" s="785" t="n"/>
      <c r="S440" s="785" t="n"/>
      <c r="T440" s="785" t="n"/>
      <c r="U440" s="785" t="n"/>
      <c r="V440" s="785" t="n"/>
      <c r="W440" s="785" t="n"/>
      <c r="X440" s="785" t="n"/>
      <c r="Y440" s="785" t="n"/>
      <c r="Z440" s="457" t="n"/>
      <c r="AA440" s="457" t="n"/>
    </row>
    <row r="441" ht="27" customHeight="1">
      <c r="A441" s="64" t="inlineStr">
        <is>
          <t>SU003280</t>
        </is>
      </c>
      <c r="B441" s="64" t="inlineStr">
        <is>
          <t>P003776</t>
        </is>
      </c>
      <c r="C441" s="37" t="n">
        <v>4301032046</v>
      </c>
      <c r="D441" s="458" t="n">
        <v>4680115884359</v>
      </c>
      <c r="E441" s="798" t="n"/>
      <c r="F441" s="831" t="n">
        <v>0.06</v>
      </c>
      <c r="G441" s="38" t="n">
        <v>20</v>
      </c>
      <c r="H441" s="831" t="n">
        <v>1.2</v>
      </c>
      <c r="I441" s="831" t="n">
        <v>1.8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9" t="n"/>
      <c r="N441" s="38" t="n">
        <v>60</v>
      </c>
      <c r="O441" s="109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41" s="833" t="n"/>
      <c r="Q441" s="833" t="n"/>
      <c r="R441" s="833" t="n"/>
      <c r="S441" s="798" t="n"/>
      <c r="T441" s="40" t="inlineStr"/>
      <c r="U441" s="40" t="inlineStr"/>
      <c r="V441" s="41" t="inlineStr">
        <is>
          <t>кг</t>
        </is>
      </c>
      <c r="W441" s="834" t="n">
        <v>0</v>
      </c>
      <c r="X441" s="835">
        <f>IFERROR(IF(W441="",0,CEILING((W441/$H441),1)*$H441),"")</f>
        <v/>
      </c>
      <c r="Y441" s="42">
        <f>IFERROR(IF(X441=0,"",ROUNDUP(X441/H441,0)*0.00627),"")</f>
        <v/>
      </c>
      <c r="Z441" s="69" t="inlineStr"/>
      <c r="AA441" s="70" t="inlineStr"/>
      <c r="AE441" s="80" t="n"/>
      <c r="BB441" s="333" t="inlineStr">
        <is>
          <t>КИ</t>
        </is>
      </c>
      <c r="BL441" s="80">
        <f>IFERROR(W441*I441/H441,"0")</f>
        <v/>
      </c>
      <c r="BM441" s="80">
        <f>IFERROR(X441*I441/H441,"0")</f>
        <v/>
      </c>
      <c r="BN441" s="80">
        <f>IFERROR(1/J441*(W441/H441),"0")</f>
        <v/>
      </c>
      <c r="BO441" s="80">
        <f>IFERROR(1/J441*(X441/H441),"0")</f>
        <v/>
      </c>
    </row>
    <row r="442" ht="27" customHeight="1">
      <c r="A442" s="64" t="inlineStr">
        <is>
          <t>SU003315</t>
        </is>
      </c>
      <c r="B442" s="64" t="inlineStr">
        <is>
          <t>P004036</t>
        </is>
      </c>
      <c r="C442" s="37" t="n">
        <v>4301040358</v>
      </c>
      <c r="D442" s="458" t="n">
        <v>4680115884571</v>
      </c>
      <c r="E442" s="798" t="n"/>
      <c r="F442" s="831" t="n">
        <v>0.1</v>
      </c>
      <c r="G442" s="38" t="n">
        <v>20</v>
      </c>
      <c r="H442" s="831" t="n">
        <v>2</v>
      </c>
      <c r="I442" s="831" t="n">
        <v>2.6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60</v>
      </c>
      <c r="O442" s="1092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2" s="833" t="n"/>
      <c r="Q442" s="833" t="n"/>
      <c r="R442" s="833" t="n"/>
      <c r="S442" s="798" t="n"/>
      <c r="T442" s="40" t="inlineStr"/>
      <c r="U442" s="40" t="inlineStr"/>
      <c r="V442" s="41" t="inlineStr">
        <is>
          <t>кг</t>
        </is>
      </c>
      <c r="W442" s="834" t="n">
        <v>0</v>
      </c>
      <c r="X442" s="835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34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467" t="n"/>
      <c r="B443" s="785" t="n"/>
      <c r="C443" s="785" t="n"/>
      <c r="D443" s="785" t="n"/>
      <c r="E443" s="785" t="n"/>
      <c r="F443" s="785" t="n"/>
      <c r="G443" s="785" t="n"/>
      <c r="H443" s="785" t="n"/>
      <c r="I443" s="785" t="n"/>
      <c r="J443" s="785" t="n"/>
      <c r="K443" s="785" t="n"/>
      <c r="L443" s="785" t="n"/>
      <c r="M443" s="785" t="n"/>
      <c r="N443" s="837" t="n"/>
      <c r="O443" s="838" t="inlineStr">
        <is>
          <t>Итого</t>
        </is>
      </c>
      <c r="P443" s="805" t="n"/>
      <c r="Q443" s="805" t="n"/>
      <c r="R443" s="805" t="n"/>
      <c r="S443" s="805" t="n"/>
      <c r="T443" s="805" t="n"/>
      <c r="U443" s="806" t="n"/>
      <c r="V443" s="43" t="inlineStr">
        <is>
          <t>кор</t>
        </is>
      </c>
      <c r="W443" s="839">
        <f>IFERROR(W441/H441,"0")+IFERROR(W442/H442,"0")</f>
        <v/>
      </c>
      <c r="X443" s="839">
        <f>IFERROR(X441/H441,"0")+IFERROR(X442/H442,"0")</f>
        <v/>
      </c>
      <c r="Y443" s="839">
        <f>IFERROR(IF(Y441="",0,Y441),"0")+IFERROR(IF(Y442="",0,Y442),"0")</f>
        <v/>
      </c>
      <c r="Z443" s="840" t="n"/>
      <c r="AA443" s="840" t="n"/>
    </row>
    <row r="444">
      <c r="A444" s="785" t="n"/>
      <c r="B444" s="785" t="n"/>
      <c r="C444" s="785" t="n"/>
      <c r="D444" s="785" t="n"/>
      <c r="E444" s="785" t="n"/>
      <c r="F444" s="785" t="n"/>
      <c r="G444" s="785" t="n"/>
      <c r="H444" s="785" t="n"/>
      <c r="I444" s="785" t="n"/>
      <c r="J444" s="785" t="n"/>
      <c r="K444" s="785" t="n"/>
      <c r="L444" s="785" t="n"/>
      <c r="M444" s="785" t="n"/>
      <c r="N444" s="837" t="n"/>
      <c r="O444" s="838" t="inlineStr">
        <is>
          <t>Итого</t>
        </is>
      </c>
      <c r="P444" s="805" t="n"/>
      <c r="Q444" s="805" t="n"/>
      <c r="R444" s="805" t="n"/>
      <c r="S444" s="805" t="n"/>
      <c r="T444" s="805" t="n"/>
      <c r="U444" s="806" t="n"/>
      <c r="V444" s="43" t="inlineStr">
        <is>
          <t>кг</t>
        </is>
      </c>
      <c r="W444" s="839">
        <f>IFERROR(SUM(W441:W442),"0")</f>
        <v/>
      </c>
      <c r="X444" s="839">
        <f>IFERROR(SUM(X441:X442),"0")</f>
        <v/>
      </c>
      <c r="Y444" s="43" t="n"/>
      <c r="Z444" s="840" t="n"/>
      <c r="AA444" s="840" t="n"/>
    </row>
    <row r="445" ht="14.25" customHeight="1">
      <c r="A445" s="457" t="inlineStr">
        <is>
          <t>Сыровяленые колбасы</t>
        </is>
      </c>
      <c r="B445" s="785" t="n"/>
      <c r="C445" s="785" t="n"/>
      <c r="D445" s="785" t="n"/>
      <c r="E445" s="785" t="n"/>
      <c r="F445" s="785" t="n"/>
      <c r="G445" s="785" t="n"/>
      <c r="H445" s="785" t="n"/>
      <c r="I445" s="785" t="n"/>
      <c r="J445" s="785" t="n"/>
      <c r="K445" s="785" t="n"/>
      <c r="L445" s="785" t="n"/>
      <c r="M445" s="785" t="n"/>
      <c r="N445" s="785" t="n"/>
      <c r="O445" s="785" t="n"/>
      <c r="P445" s="785" t="n"/>
      <c r="Q445" s="785" t="n"/>
      <c r="R445" s="785" t="n"/>
      <c r="S445" s="785" t="n"/>
      <c r="T445" s="785" t="n"/>
      <c r="U445" s="785" t="n"/>
      <c r="V445" s="785" t="n"/>
      <c r="W445" s="785" t="n"/>
      <c r="X445" s="785" t="n"/>
      <c r="Y445" s="785" t="n"/>
      <c r="Z445" s="457" t="n"/>
      <c r="AA445" s="457" t="n"/>
    </row>
    <row r="446" ht="27" customHeight="1">
      <c r="A446" s="64" t="inlineStr">
        <is>
          <t>SU003279</t>
        </is>
      </c>
      <c r="B446" s="64" t="inlineStr">
        <is>
          <t>P003773</t>
        </is>
      </c>
      <c r="C446" s="37" t="n">
        <v>4301170010</v>
      </c>
      <c r="D446" s="458" t="n">
        <v>4680115884090</v>
      </c>
      <c r="E446" s="798" t="n"/>
      <c r="F446" s="831" t="n">
        <v>0.11</v>
      </c>
      <c r="G446" s="38" t="n">
        <v>12</v>
      </c>
      <c r="H446" s="831" t="n">
        <v>1.32</v>
      </c>
      <c r="I446" s="831" t="n">
        <v>1.88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150</v>
      </c>
      <c r="O446" s="109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6" s="833" t="n"/>
      <c r="Q446" s="833" t="n"/>
      <c r="R446" s="833" t="n"/>
      <c r="S446" s="798" t="n"/>
      <c r="T446" s="40" t="inlineStr"/>
      <c r="U446" s="40" t="inlineStr"/>
      <c r="V446" s="41" t="inlineStr">
        <is>
          <t>кг</t>
        </is>
      </c>
      <c r="W446" s="834" t="n">
        <v>0</v>
      </c>
      <c r="X446" s="835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35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467" t="n"/>
      <c r="B447" s="785" t="n"/>
      <c r="C447" s="785" t="n"/>
      <c r="D447" s="785" t="n"/>
      <c r="E447" s="785" t="n"/>
      <c r="F447" s="785" t="n"/>
      <c r="G447" s="785" t="n"/>
      <c r="H447" s="785" t="n"/>
      <c r="I447" s="785" t="n"/>
      <c r="J447" s="785" t="n"/>
      <c r="K447" s="785" t="n"/>
      <c r="L447" s="785" t="n"/>
      <c r="M447" s="785" t="n"/>
      <c r="N447" s="837" t="n"/>
      <c r="O447" s="838" t="inlineStr">
        <is>
          <t>Итого</t>
        </is>
      </c>
      <c r="P447" s="805" t="n"/>
      <c r="Q447" s="805" t="n"/>
      <c r="R447" s="805" t="n"/>
      <c r="S447" s="805" t="n"/>
      <c r="T447" s="805" t="n"/>
      <c r="U447" s="806" t="n"/>
      <c r="V447" s="43" t="inlineStr">
        <is>
          <t>кор</t>
        </is>
      </c>
      <c r="W447" s="839">
        <f>IFERROR(W446/H446,"0")</f>
        <v/>
      </c>
      <c r="X447" s="839">
        <f>IFERROR(X446/H446,"0")</f>
        <v/>
      </c>
      <c r="Y447" s="839">
        <f>IFERROR(IF(Y446="",0,Y446),"0")</f>
        <v/>
      </c>
      <c r="Z447" s="840" t="n"/>
      <c r="AA447" s="840" t="n"/>
    </row>
    <row r="448">
      <c r="A448" s="785" t="n"/>
      <c r="B448" s="785" t="n"/>
      <c r="C448" s="785" t="n"/>
      <c r="D448" s="785" t="n"/>
      <c r="E448" s="785" t="n"/>
      <c r="F448" s="785" t="n"/>
      <c r="G448" s="785" t="n"/>
      <c r="H448" s="785" t="n"/>
      <c r="I448" s="785" t="n"/>
      <c r="J448" s="785" t="n"/>
      <c r="K448" s="785" t="n"/>
      <c r="L448" s="785" t="n"/>
      <c r="M448" s="785" t="n"/>
      <c r="N448" s="837" t="n"/>
      <c r="O448" s="838" t="inlineStr">
        <is>
          <t>Итого</t>
        </is>
      </c>
      <c r="P448" s="805" t="n"/>
      <c r="Q448" s="805" t="n"/>
      <c r="R448" s="805" t="n"/>
      <c r="S448" s="805" t="n"/>
      <c r="T448" s="805" t="n"/>
      <c r="U448" s="806" t="n"/>
      <c r="V448" s="43" t="inlineStr">
        <is>
          <t>кг</t>
        </is>
      </c>
      <c r="W448" s="839">
        <f>IFERROR(SUM(W446:W446),"0")</f>
        <v/>
      </c>
      <c r="X448" s="839">
        <f>IFERROR(SUM(X446:X446),"0")</f>
        <v/>
      </c>
      <c r="Y448" s="43" t="n"/>
      <c r="Z448" s="840" t="n"/>
      <c r="AA448" s="840" t="n"/>
    </row>
    <row r="449" ht="14.25" customHeight="1">
      <c r="A449" s="457" t="inlineStr">
        <is>
          <t>Деликатесы</t>
        </is>
      </c>
      <c r="B449" s="785" t="n"/>
      <c r="C449" s="785" t="n"/>
      <c r="D449" s="785" t="n"/>
      <c r="E449" s="785" t="n"/>
      <c r="F449" s="785" t="n"/>
      <c r="G449" s="785" t="n"/>
      <c r="H449" s="785" t="n"/>
      <c r="I449" s="785" t="n"/>
      <c r="J449" s="785" t="n"/>
      <c r="K449" s="785" t="n"/>
      <c r="L449" s="785" t="n"/>
      <c r="M449" s="785" t="n"/>
      <c r="N449" s="785" t="n"/>
      <c r="O449" s="785" t="n"/>
      <c r="P449" s="785" t="n"/>
      <c r="Q449" s="785" t="n"/>
      <c r="R449" s="785" t="n"/>
      <c r="S449" s="785" t="n"/>
      <c r="T449" s="785" t="n"/>
      <c r="U449" s="785" t="n"/>
      <c r="V449" s="785" t="n"/>
      <c r="W449" s="785" t="n"/>
      <c r="X449" s="785" t="n"/>
      <c r="Y449" s="785" t="n"/>
      <c r="Z449" s="457" t="n"/>
      <c r="AA449" s="457" t="n"/>
    </row>
    <row r="450" ht="27" customHeight="1">
      <c r="A450" s="64" t="inlineStr">
        <is>
          <t>SU003314</t>
        </is>
      </c>
      <c r="B450" s="64" t="inlineStr">
        <is>
          <t>P004035</t>
        </is>
      </c>
      <c r="C450" s="37" t="n">
        <v>4301040357</v>
      </c>
      <c r="D450" s="458" t="n">
        <v>4680115884564</v>
      </c>
      <c r="E450" s="798" t="n"/>
      <c r="F450" s="831" t="n">
        <v>0.15</v>
      </c>
      <c r="G450" s="38" t="n">
        <v>20</v>
      </c>
      <c r="H450" s="831" t="n">
        <v>3</v>
      </c>
      <c r="I450" s="831" t="n">
        <v>3.6</v>
      </c>
      <c r="J450" s="38" t="n">
        <v>200</v>
      </c>
      <c r="K450" s="38" t="inlineStr">
        <is>
          <t>10</t>
        </is>
      </c>
      <c r="L450" s="39" t="inlineStr">
        <is>
          <t>ДК</t>
        </is>
      </c>
      <c r="M450" s="39" t="n"/>
      <c r="N450" s="38" t="n">
        <v>60</v>
      </c>
      <c r="O450" s="109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50" s="833" t="n"/>
      <c r="Q450" s="833" t="n"/>
      <c r="R450" s="833" t="n"/>
      <c r="S450" s="798" t="n"/>
      <c r="T450" s="40" t="inlineStr"/>
      <c r="U450" s="40" t="inlineStr"/>
      <c r="V450" s="41" t="inlineStr">
        <is>
          <t>кг</t>
        </is>
      </c>
      <c r="W450" s="834" t="n">
        <v>0</v>
      </c>
      <c r="X450" s="835">
        <f>IFERROR(IF(W450="",0,CEILING((W450/$H450),1)*$H450),"")</f>
        <v/>
      </c>
      <c r="Y450" s="42">
        <f>IFERROR(IF(X450=0,"",ROUNDUP(X450/H450,0)*0.00627),"")</f>
        <v/>
      </c>
      <c r="Z450" s="69" t="inlineStr"/>
      <c r="AA450" s="70" t="inlineStr"/>
      <c r="AE450" s="80" t="n"/>
      <c r="BB450" s="336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67" t="n"/>
      <c r="B451" s="785" t="n"/>
      <c r="C451" s="785" t="n"/>
      <c r="D451" s="785" t="n"/>
      <c r="E451" s="785" t="n"/>
      <c r="F451" s="785" t="n"/>
      <c r="G451" s="785" t="n"/>
      <c r="H451" s="785" t="n"/>
      <c r="I451" s="785" t="n"/>
      <c r="J451" s="785" t="n"/>
      <c r="K451" s="785" t="n"/>
      <c r="L451" s="785" t="n"/>
      <c r="M451" s="785" t="n"/>
      <c r="N451" s="837" t="n"/>
      <c r="O451" s="838" t="inlineStr">
        <is>
          <t>Итого</t>
        </is>
      </c>
      <c r="P451" s="805" t="n"/>
      <c r="Q451" s="805" t="n"/>
      <c r="R451" s="805" t="n"/>
      <c r="S451" s="805" t="n"/>
      <c r="T451" s="805" t="n"/>
      <c r="U451" s="806" t="n"/>
      <c r="V451" s="43" t="inlineStr">
        <is>
          <t>кор</t>
        </is>
      </c>
      <c r="W451" s="839">
        <f>IFERROR(W450/H450,"0")</f>
        <v/>
      </c>
      <c r="X451" s="839">
        <f>IFERROR(X450/H450,"0")</f>
        <v/>
      </c>
      <c r="Y451" s="839">
        <f>IFERROR(IF(Y450="",0,Y450),"0")</f>
        <v/>
      </c>
      <c r="Z451" s="840" t="n"/>
      <c r="AA451" s="840" t="n"/>
    </row>
    <row r="452">
      <c r="A452" s="785" t="n"/>
      <c r="B452" s="785" t="n"/>
      <c r="C452" s="785" t="n"/>
      <c r="D452" s="785" t="n"/>
      <c r="E452" s="785" t="n"/>
      <c r="F452" s="785" t="n"/>
      <c r="G452" s="785" t="n"/>
      <c r="H452" s="785" t="n"/>
      <c r="I452" s="785" t="n"/>
      <c r="J452" s="785" t="n"/>
      <c r="K452" s="785" t="n"/>
      <c r="L452" s="785" t="n"/>
      <c r="M452" s="785" t="n"/>
      <c r="N452" s="837" t="n"/>
      <c r="O452" s="838" t="inlineStr">
        <is>
          <t>Итого</t>
        </is>
      </c>
      <c r="P452" s="805" t="n"/>
      <c r="Q452" s="805" t="n"/>
      <c r="R452" s="805" t="n"/>
      <c r="S452" s="805" t="n"/>
      <c r="T452" s="805" t="n"/>
      <c r="U452" s="806" t="n"/>
      <c r="V452" s="43" t="inlineStr">
        <is>
          <t>кг</t>
        </is>
      </c>
      <c r="W452" s="839">
        <f>IFERROR(SUM(W450:W450),"0")</f>
        <v/>
      </c>
      <c r="X452" s="839">
        <f>IFERROR(SUM(X450:X450),"0")</f>
        <v/>
      </c>
      <c r="Y452" s="43" t="n"/>
      <c r="Z452" s="840" t="n"/>
      <c r="AA452" s="840" t="n"/>
    </row>
    <row r="453" ht="16.5" customHeight="1">
      <c r="A453" s="456" t="inlineStr">
        <is>
          <t>Краковюрст</t>
        </is>
      </c>
      <c r="B453" s="785" t="n"/>
      <c r="C453" s="785" t="n"/>
      <c r="D453" s="785" t="n"/>
      <c r="E453" s="785" t="n"/>
      <c r="F453" s="785" t="n"/>
      <c r="G453" s="785" t="n"/>
      <c r="H453" s="785" t="n"/>
      <c r="I453" s="785" t="n"/>
      <c r="J453" s="785" t="n"/>
      <c r="K453" s="785" t="n"/>
      <c r="L453" s="785" t="n"/>
      <c r="M453" s="785" t="n"/>
      <c r="N453" s="785" t="n"/>
      <c r="O453" s="785" t="n"/>
      <c r="P453" s="785" t="n"/>
      <c r="Q453" s="785" t="n"/>
      <c r="R453" s="785" t="n"/>
      <c r="S453" s="785" t="n"/>
      <c r="T453" s="785" t="n"/>
      <c r="U453" s="785" t="n"/>
      <c r="V453" s="785" t="n"/>
      <c r="W453" s="785" t="n"/>
      <c r="X453" s="785" t="n"/>
      <c r="Y453" s="785" t="n"/>
      <c r="Z453" s="456" t="n"/>
      <c r="AA453" s="456" t="n"/>
    </row>
    <row r="454" ht="14.25" customHeight="1">
      <c r="A454" s="457" t="inlineStr">
        <is>
          <t>Копченые колбасы</t>
        </is>
      </c>
      <c r="B454" s="785" t="n"/>
      <c r="C454" s="785" t="n"/>
      <c r="D454" s="785" t="n"/>
      <c r="E454" s="785" t="n"/>
      <c r="F454" s="785" t="n"/>
      <c r="G454" s="785" t="n"/>
      <c r="H454" s="785" t="n"/>
      <c r="I454" s="785" t="n"/>
      <c r="J454" s="785" t="n"/>
      <c r="K454" s="785" t="n"/>
      <c r="L454" s="785" t="n"/>
      <c r="M454" s="785" t="n"/>
      <c r="N454" s="785" t="n"/>
      <c r="O454" s="785" t="n"/>
      <c r="P454" s="785" t="n"/>
      <c r="Q454" s="785" t="n"/>
      <c r="R454" s="785" t="n"/>
      <c r="S454" s="785" t="n"/>
      <c r="T454" s="785" t="n"/>
      <c r="U454" s="785" t="n"/>
      <c r="V454" s="785" t="n"/>
      <c r="W454" s="785" t="n"/>
      <c r="X454" s="785" t="n"/>
      <c r="Y454" s="785" t="n"/>
      <c r="Z454" s="457" t="n"/>
      <c r="AA454" s="457" t="n"/>
    </row>
    <row r="455" ht="27" customHeight="1">
      <c r="A455" s="64" t="inlineStr">
        <is>
          <t>SU003345</t>
        </is>
      </c>
      <c r="B455" s="64" t="inlineStr">
        <is>
          <t>P004143</t>
        </is>
      </c>
      <c r="C455" s="37" t="n">
        <v>4301031294</v>
      </c>
      <c r="D455" s="458" t="n">
        <v>4680115885189</v>
      </c>
      <c r="E455" s="798" t="n"/>
      <c r="F455" s="831" t="n">
        <v>0.2</v>
      </c>
      <c r="G455" s="38" t="n">
        <v>6</v>
      </c>
      <c r="H455" s="831" t="n">
        <v>1.2</v>
      </c>
      <c r="I455" s="831" t="n">
        <v>1.372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40</v>
      </c>
      <c r="O455" s="1095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5" s="833" t="n"/>
      <c r="Q455" s="833" t="n"/>
      <c r="R455" s="833" t="n"/>
      <c r="S455" s="798" t="n"/>
      <c r="T455" s="40" t="inlineStr"/>
      <c r="U455" s="40" t="inlineStr"/>
      <c r="V455" s="41" t="inlineStr">
        <is>
          <t>кг</t>
        </is>
      </c>
      <c r="W455" s="834" t="n">
        <v>0</v>
      </c>
      <c r="X455" s="835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37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 ht="27" customHeight="1">
      <c r="A456" s="64" t="inlineStr">
        <is>
          <t>SU003344</t>
        </is>
      </c>
      <c r="B456" s="64" t="inlineStr">
        <is>
          <t>P004142</t>
        </is>
      </c>
      <c r="C456" s="37" t="n">
        <v>4301031293</v>
      </c>
      <c r="D456" s="458" t="n">
        <v>4680115885172</v>
      </c>
      <c r="E456" s="798" t="n"/>
      <c r="F456" s="831" t="n">
        <v>0.2</v>
      </c>
      <c r="G456" s="38" t="n">
        <v>6</v>
      </c>
      <c r="H456" s="831" t="n">
        <v>1.2</v>
      </c>
      <c r="I456" s="831" t="n">
        <v>1.3</v>
      </c>
      <c r="J456" s="38" t="n">
        <v>234</v>
      </c>
      <c r="K456" s="38" t="inlineStr">
        <is>
          <t>18</t>
        </is>
      </c>
      <c r="L456" s="39" t="inlineStr">
        <is>
          <t>СК2</t>
        </is>
      </c>
      <c r="M456" s="39" t="n"/>
      <c r="N456" s="38" t="n">
        <v>40</v>
      </c>
      <c r="O456" s="1096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6" s="833" t="n"/>
      <c r="Q456" s="833" t="n"/>
      <c r="R456" s="833" t="n"/>
      <c r="S456" s="798" t="n"/>
      <c r="T456" s="40" t="inlineStr"/>
      <c r="U456" s="40" t="inlineStr"/>
      <c r="V456" s="41" t="inlineStr">
        <is>
          <t>кг</t>
        </is>
      </c>
      <c r="W456" s="834" t="n">
        <v>0</v>
      </c>
      <c r="X456" s="835">
        <f>IFERROR(IF(W456="",0,CEILING((W456/$H456),1)*$H456),"")</f>
        <v/>
      </c>
      <c r="Y456" s="42">
        <f>IFERROR(IF(X456=0,"",ROUNDUP(X456/H456,0)*0.00502),"")</f>
        <v/>
      </c>
      <c r="Z456" s="69" t="inlineStr"/>
      <c r="AA456" s="70" t="inlineStr"/>
      <c r="AE456" s="80" t="n"/>
      <c r="BB456" s="338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SU003342</t>
        </is>
      </c>
      <c r="B457" s="64" t="inlineStr">
        <is>
          <t>P004140</t>
        </is>
      </c>
      <c r="C457" s="37" t="n">
        <v>4301031291</v>
      </c>
      <c r="D457" s="458" t="n">
        <v>4680115885110</v>
      </c>
      <c r="E457" s="798" t="n"/>
      <c r="F457" s="831" t="n">
        <v>0.2</v>
      </c>
      <c r="G457" s="38" t="n">
        <v>6</v>
      </c>
      <c r="H457" s="831" t="n">
        <v>1.2</v>
      </c>
      <c r="I457" s="831" t="n">
        <v>2.02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9" t="n"/>
      <c r="N457" s="38" t="n">
        <v>35</v>
      </c>
      <c r="O457" s="1097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7" s="833" t="n"/>
      <c r="Q457" s="833" t="n"/>
      <c r="R457" s="833" t="n"/>
      <c r="S457" s="798" t="n"/>
      <c r="T457" s="40" t="inlineStr"/>
      <c r="U457" s="40" t="inlineStr"/>
      <c r="V457" s="41" t="inlineStr">
        <is>
          <t>кг</t>
        </is>
      </c>
      <c r="W457" s="834" t="n">
        <v>0</v>
      </c>
      <c r="X457" s="835">
        <f>IFERROR(IF(W457="",0,CEILING((W457/$H457),1)*$H457),"")</f>
        <v/>
      </c>
      <c r="Y457" s="42">
        <f>IFERROR(IF(X457=0,"",ROUNDUP(X457/H457,0)*0.00502),"")</f>
        <v/>
      </c>
      <c r="Z457" s="69" t="inlineStr"/>
      <c r="AA457" s="70" t="inlineStr"/>
      <c r="AE457" s="80" t="n"/>
      <c r="BB457" s="339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>
      <c r="A458" s="467" t="n"/>
      <c r="B458" s="785" t="n"/>
      <c r="C458" s="785" t="n"/>
      <c r="D458" s="785" t="n"/>
      <c r="E458" s="785" t="n"/>
      <c r="F458" s="785" t="n"/>
      <c r="G458" s="785" t="n"/>
      <c r="H458" s="785" t="n"/>
      <c r="I458" s="785" t="n"/>
      <c r="J458" s="785" t="n"/>
      <c r="K458" s="785" t="n"/>
      <c r="L458" s="785" t="n"/>
      <c r="M458" s="785" t="n"/>
      <c r="N458" s="837" t="n"/>
      <c r="O458" s="838" t="inlineStr">
        <is>
          <t>Итого</t>
        </is>
      </c>
      <c r="P458" s="805" t="n"/>
      <c r="Q458" s="805" t="n"/>
      <c r="R458" s="805" t="n"/>
      <c r="S458" s="805" t="n"/>
      <c r="T458" s="805" t="n"/>
      <c r="U458" s="806" t="n"/>
      <c r="V458" s="43" t="inlineStr">
        <is>
          <t>кор</t>
        </is>
      </c>
      <c r="W458" s="839">
        <f>IFERROR(W455/H455,"0")+IFERROR(W456/H456,"0")+IFERROR(W457/H457,"0")</f>
        <v/>
      </c>
      <c r="X458" s="839">
        <f>IFERROR(X455/H455,"0")+IFERROR(X456/H456,"0")+IFERROR(X457/H457,"0")</f>
        <v/>
      </c>
      <c r="Y458" s="839">
        <f>IFERROR(IF(Y455="",0,Y455),"0")+IFERROR(IF(Y456="",0,Y456),"0")+IFERROR(IF(Y457="",0,Y457),"0")</f>
        <v/>
      </c>
      <c r="Z458" s="840" t="n"/>
      <c r="AA458" s="840" t="n"/>
    </row>
    <row r="459">
      <c r="A459" s="785" t="n"/>
      <c r="B459" s="785" t="n"/>
      <c r="C459" s="785" t="n"/>
      <c r="D459" s="785" t="n"/>
      <c r="E459" s="785" t="n"/>
      <c r="F459" s="785" t="n"/>
      <c r="G459" s="785" t="n"/>
      <c r="H459" s="785" t="n"/>
      <c r="I459" s="785" t="n"/>
      <c r="J459" s="785" t="n"/>
      <c r="K459" s="785" t="n"/>
      <c r="L459" s="785" t="n"/>
      <c r="M459" s="785" t="n"/>
      <c r="N459" s="837" t="n"/>
      <c r="O459" s="838" t="inlineStr">
        <is>
          <t>Итого</t>
        </is>
      </c>
      <c r="P459" s="805" t="n"/>
      <c r="Q459" s="805" t="n"/>
      <c r="R459" s="805" t="n"/>
      <c r="S459" s="805" t="n"/>
      <c r="T459" s="805" t="n"/>
      <c r="U459" s="806" t="n"/>
      <c r="V459" s="43" t="inlineStr">
        <is>
          <t>кг</t>
        </is>
      </c>
      <c r="W459" s="839">
        <f>IFERROR(SUM(W455:W457),"0")</f>
        <v/>
      </c>
      <c r="X459" s="839">
        <f>IFERROR(SUM(X455:X457),"0")</f>
        <v/>
      </c>
      <c r="Y459" s="43" t="n"/>
      <c r="Z459" s="840" t="n"/>
      <c r="AA459" s="840" t="n"/>
    </row>
    <row r="460" ht="16.5" customHeight="1">
      <c r="A460" s="456" t="inlineStr">
        <is>
          <t>Бюргерсы</t>
        </is>
      </c>
      <c r="B460" s="785" t="n"/>
      <c r="C460" s="785" t="n"/>
      <c r="D460" s="785" t="n"/>
      <c r="E460" s="785" t="n"/>
      <c r="F460" s="785" t="n"/>
      <c r="G460" s="785" t="n"/>
      <c r="H460" s="785" t="n"/>
      <c r="I460" s="785" t="n"/>
      <c r="J460" s="785" t="n"/>
      <c r="K460" s="785" t="n"/>
      <c r="L460" s="785" t="n"/>
      <c r="M460" s="785" t="n"/>
      <c r="N460" s="785" t="n"/>
      <c r="O460" s="785" t="n"/>
      <c r="P460" s="785" t="n"/>
      <c r="Q460" s="785" t="n"/>
      <c r="R460" s="785" t="n"/>
      <c r="S460" s="785" t="n"/>
      <c r="T460" s="785" t="n"/>
      <c r="U460" s="785" t="n"/>
      <c r="V460" s="785" t="n"/>
      <c r="W460" s="785" t="n"/>
      <c r="X460" s="785" t="n"/>
      <c r="Y460" s="785" t="n"/>
      <c r="Z460" s="456" t="n"/>
      <c r="AA460" s="456" t="n"/>
    </row>
    <row r="461" ht="14.25" customHeight="1">
      <c r="A461" s="457" t="inlineStr">
        <is>
          <t>Копченые колбасы</t>
        </is>
      </c>
      <c r="B461" s="785" t="n"/>
      <c r="C461" s="785" t="n"/>
      <c r="D461" s="785" t="n"/>
      <c r="E461" s="785" t="n"/>
      <c r="F461" s="785" t="n"/>
      <c r="G461" s="785" t="n"/>
      <c r="H461" s="785" t="n"/>
      <c r="I461" s="785" t="n"/>
      <c r="J461" s="785" t="n"/>
      <c r="K461" s="785" t="n"/>
      <c r="L461" s="785" t="n"/>
      <c r="M461" s="785" t="n"/>
      <c r="N461" s="785" t="n"/>
      <c r="O461" s="785" t="n"/>
      <c r="P461" s="785" t="n"/>
      <c r="Q461" s="785" t="n"/>
      <c r="R461" s="785" t="n"/>
      <c r="S461" s="785" t="n"/>
      <c r="T461" s="785" t="n"/>
      <c r="U461" s="785" t="n"/>
      <c r="V461" s="785" t="n"/>
      <c r="W461" s="785" t="n"/>
      <c r="X461" s="785" t="n"/>
      <c r="Y461" s="785" t="n"/>
      <c r="Z461" s="457" t="n"/>
      <c r="AA461" s="457" t="n"/>
    </row>
    <row r="462" ht="27" customHeight="1">
      <c r="A462" s="64" t="inlineStr">
        <is>
          <t>SU003132</t>
        </is>
      </c>
      <c r="B462" s="64" t="inlineStr">
        <is>
          <t>P003718</t>
        </is>
      </c>
      <c r="C462" s="37" t="n">
        <v>4301031261</v>
      </c>
      <c r="D462" s="458" t="n">
        <v>4680115885103</v>
      </c>
      <c r="E462" s="798" t="n"/>
      <c r="F462" s="831" t="n">
        <v>0.27</v>
      </c>
      <c r="G462" s="38" t="n">
        <v>6</v>
      </c>
      <c r="H462" s="831" t="n">
        <v>1.62</v>
      </c>
      <c r="I462" s="831" t="n">
        <v>1.82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9" t="n"/>
      <c r="N462" s="38" t="n">
        <v>40</v>
      </c>
      <c r="O462" s="1098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2" s="833" t="n"/>
      <c r="Q462" s="833" t="n"/>
      <c r="R462" s="833" t="n"/>
      <c r="S462" s="798" t="n"/>
      <c r="T462" s="40" t="inlineStr"/>
      <c r="U462" s="40" t="inlineStr"/>
      <c r="V462" s="41" t="inlineStr">
        <is>
          <t>кг</t>
        </is>
      </c>
      <c r="W462" s="834" t="n">
        <v>0</v>
      </c>
      <c r="X462" s="835">
        <f>IFERROR(IF(W462="",0,CEILING((W462/$H462),1)*$H462),"")</f>
        <v/>
      </c>
      <c r="Y462" s="42">
        <f>IFERROR(IF(X462=0,"",ROUNDUP(X462/H462,0)*0.00753),"")</f>
        <v/>
      </c>
      <c r="Z462" s="69" t="inlineStr"/>
      <c r="AA462" s="70" t="inlineStr">
        <is>
          <t>Новинка</t>
        </is>
      </c>
      <c r="AE462" s="80" t="n"/>
      <c r="BB462" s="340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>
      <c r="A463" s="467" t="n"/>
      <c r="B463" s="785" t="n"/>
      <c r="C463" s="785" t="n"/>
      <c r="D463" s="785" t="n"/>
      <c r="E463" s="785" t="n"/>
      <c r="F463" s="785" t="n"/>
      <c r="G463" s="785" t="n"/>
      <c r="H463" s="785" t="n"/>
      <c r="I463" s="785" t="n"/>
      <c r="J463" s="785" t="n"/>
      <c r="K463" s="785" t="n"/>
      <c r="L463" s="785" t="n"/>
      <c r="M463" s="785" t="n"/>
      <c r="N463" s="837" t="n"/>
      <c r="O463" s="838" t="inlineStr">
        <is>
          <t>Итого</t>
        </is>
      </c>
      <c r="P463" s="805" t="n"/>
      <c r="Q463" s="805" t="n"/>
      <c r="R463" s="805" t="n"/>
      <c r="S463" s="805" t="n"/>
      <c r="T463" s="805" t="n"/>
      <c r="U463" s="806" t="n"/>
      <c r="V463" s="43" t="inlineStr">
        <is>
          <t>кор</t>
        </is>
      </c>
      <c r="W463" s="839">
        <f>IFERROR(W462/H462,"0")</f>
        <v/>
      </c>
      <c r="X463" s="839">
        <f>IFERROR(X462/H462,"0")</f>
        <v/>
      </c>
      <c r="Y463" s="839">
        <f>IFERROR(IF(Y462="",0,Y462),"0")</f>
        <v/>
      </c>
      <c r="Z463" s="840" t="n"/>
      <c r="AA463" s="840" t="n"/>
    </row>
    <row r="464">
      <c r="A464" s="785" t="n"/>
      <c r="B464" s="785" t="n"/>
      <c r="C464" s="785" t="n"/>
      <c r="D464" s="785" t="n"/>
      <c r="E464" s="785" t="n"/>
      <c r="F464" s="785" t="n"/>
      <c r="G464" s="785" t="n"/>
      <c r="H464" s="785" t="n"/>
      <c r="I464" s="785" t="n"/>
      <c r="J464" s="785" t="n"/>
      <c r="K464" s="785" t="n"/>
      <c r="L464" s="785" t="n"/>
      <c r="M464" s="785" t="n"/>
      <c r="N464" s="837" t="n"/>
      <c r="O464" s="838" t="inlineStr">
        <is>
          <t>Итого</t>
        </is>
      </c>
      <c r="P464" s="805" t="n"/>
      <c r="Q464" s="805" t="n"/>
      <c r="R464" s="805" t="n"/>
      <c r="S464" s="805" t="n"/>
      <c r="T464" s="805" t="n"/>
      <c r="U464" s="806" t="n"/>
      <c r="V464" s="43" t="inlineStr">
        <is>
          <t>кг</t>
        </is>
      </c>
      <c r="W464" s="839">
        <f>IFERROR(SUM(W462:W462),"0")</f>
        <v/>
      </c>
      <c r="X464" s="839">
        <f>IFERROR(SUM(X462:X462),"0")</f>
        <v/>
      </c>
      <c r="Y464" s="43" t="n"/>
      <c r="Z464" s="840" t="n"/>
      <c r="AA464" s="840" t="n"/>
    </row>
    <row r="465" ht="14.25" customHeight="1">
      <c r="A465" s="457" t="inlineStr">
        <is>
          <t>Сардельки</t>
        </is>
      </c>
      <c r="B465" s="785" t="n"/>
      <c r="C465" s="785" t="n"/>
      <c r="D465" s="785" t="n"/>
      <c r="E465" s="785" t="n"/>
      <c r="F465" s="785" t="n"/>
      <c r="G465" s="785" t="n"/>
      <c r="H465" s="785" t="n"/>
      <c r="I465" s="785" t="n"/>
      <c r="J465" s="785" t="n"/>
      <c r="K465" s="785" t="n"/>
      <c r="L465" s="785" t="n"/>
      <c r="M465" s="785" t="n"/>
      <c r="N465" s="785" t="n"/>
      <c r="O465" s="785" t="n"/>
      <c r="P465" s="785" t="n"/>
      <c r="Q465" s="785" t="n"/>
      <c r="R465" s="785" t="n"/>
      <c r="S465" s="785" t="n"/>
      <c r="T465" s="785" t="n"/>
      <c r="U465" s="785" t="n"/>
      <c r="V465" s="785" t="n"/>
      <c r="W465" s="785" t="n"/>
      <c r="X465" s="785" t="n"/>
      <c r="Y465" s="785" t="n"/>
      <c r="Z465" s="457" t="n"/>
      <c r="AA465" s="457" t="n"/>
    </row>
    <row r="466" ht="27" customHeight="1">
      <c r="A466" s="64" t="inlineStr">
        <is>
          <t>SU002437</t>
        </is>
      </c>
      <c r="B466" s="64" t="inlineStr">
        <is>
          <t>P004446</t>
        </is>
      </c>
      <c r="C466" s="37" t="n">
        <v>4301060412</v>
      </c>
      <c r="D466" s="458" t="n">
        <v>4680115885509</v>
      </c>
      <c r="E466" s="798" t="n"/>
      <c r="F466" s="831" t="n">
        <v>0.27</v>
      </c>
      <c r="G466" s="38" t="n">
        <v>6</v>
      </c>
      <c r="H466" s="831" t="n">
        <v>1.62</v>
      </c>
      <c r="I466" s="831" t="n">
        <v>1.886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9" t="n"/>
      <c r="N466" s="38" t="n">
        <v>35</v>
      </c>
      <c r="O466" s="1099" t="inlineStr">
        <is>
          <t>Сардельки «Шпикачки Бюргерсы с натуральным шпиком» ф/в 0,27 н/о ТМ «Баварушка»</t>
        </is>
      </c>
      <c r="P466" s="833" t="n"/>
      <c r="Q466" s="833" t="n"/>
      <c r="R466" s="833" t="n"/>
      <c r="S466" s="798" t="n"/>
      <c r="T466" s="40" t="inlineStr"/>
      <c r="U466" s="40" t="inlineStr"/>
      <c r="V466" s="41" t="inlineStr">
        <is>
          <t>кг</t>
        </is>
      </c>
      <c r="W466" s="834" t="n">
        <v>0</v>
      </c>
      <c r="X466" s="835">
        <f>IFERROR(IF(W466="",0,CEILING((W466/$H466),1)*$H466),"")</f>
        <v/>
      </c>
      <c r="Y466" s="42">
        <f>IFERROR(IF(X466=0,"",ROUNDUP(X466/H466,0)*0.00753),"")</f>
        <v/>
      </c>
      <c r="Z466" s="69" t="inlineStr"/>
      <c r="AA466" s="70" t="inlineStr">
        <is>
          <t>Новинка</t>
        </is>
      </c>
      <c r="AE466" s="80" t="n"/>
      <c r="BB466" s="341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>
      <c r="A467" s="467" t="n"/>
      <c r="B467" s="785" t="n"/>
      <c r="C467" s="785" t="n"/>
      <c r="D467" s="785" t="n"/>
      <c r="E467" s="785" t="n"/>
      <c r="F467" s="785" t="n"/>
      <c r="G467" s="785" t="n"/>
      <c r="H467" s="785" t="n"/>
      <c r="I467" s="785" t="n"/>
      <c r="J467" s="785" t="n"/>
      <c r="K467" s="785" t="n"/>
      <c r="L467" s="785" t="n"/>
      <c r="M467" s="785" t="n"/>
      <c r="N467" s="837" t="n"/>
      <c r="O467" s="838" t="inlineStr">
        <is>
          <t>Итого</t>
        </is>
      </c>
      <c r="P467" s="805" t="n"/>
      <c r="Q467" s="805" t="n"/>
      <c r="R467" s="805" t="n"/>
      <c r="S467" s="805" t="n"/>
      <c r="T467" s="805" t="n"/>
      <c r="U467" s="806" t="n"/>
      <c r="V467" s="43" t="inlineStr">
        <is>
          <t>кор</t>
        </is>
      </c>
      <c r="W467" s="839">
        <f>IFERROR(W466/H466,"0")</f>
        <v/>
      </c>
      <c r="X467" s="839">
        <f>IFERROR(X466/H466,"0")</f>
        <v/>
      </c>
      <c r="Y467" s="839">
        <f>IFERROR(IF(Y466="",0,Y466),"0")</f>
        <v/>
      </c>
      <c r="Z467" s="840" t="n"/>
      <c r="AA467" s="840" t="n"/>
    </row>
    <row r="468">
      <c r="A468" s="785" t="n"/>
      <c r="B468" s="785" t="n"/>
      <c r="C468" s="785" t="n"/>
      <c r="D468" s="785" t="n"/>
      <c r="E468" s="785" t="n"/>
      <c r="F468" s="785" t="n"/>
      <c r="G468" s="785" t="n"/>
      <c r="H468" s="785" t="n"/>
      <c r="I468" s="785" t="n"/>
      <c r="J468" s="785" t="n"/>
      <c r="K468" s="785" t="n"/>
      <c r="L468" s="785" t="n"/>
      <c r="M468" s="785" t="n"/>
      <c r="N468" s="837" t="n"/>
      <c r="O468" s="838" t="inlineStr">
        <is>
          <t>Итого</t>
        </is>
      </c>
      <c r="P468" s="805" t="n"/>
      <c r="Q468" s="805" t="n"/>
      <c r="R468" s="805" t="n"/>
      <c r="S468" s="805" t="n"/>
      <c r="T468" s="805" t="n"/>
      <c r="U468" s="806" t="n"/>
      <c r="V468" s="43" t="inlineStr">
        <is>
          <t>кг</t>
        </is>
      </c>
      <c r="W468" s="839">
        <f>IFERROR(SUM(W466:W466),"0")</f>
        <v/>
      </c>
      <c r="X468" s="839">
        <f>IFERROR(SUM(X466:X466),"0")</f>
        <v/>
      </c>
      <c r="Y468" s="43" t="n"/>
      <c r="Z468" s="840" t="n"/>
      <c r="AA468" s="840" t="n"/>
    </row>
    <row r="469" ht="27.75" customHeight="1">
      <c r="A469" s="455" t="inlineStr">
        <is>
          <t>Дугушка</t>
        </is>
      </c>
      <c r="B469" s="830" t="n"/>
      <c r="C469" s="830" t="n"/>
      <c r="D469" s="830" t="n"/>
      <c r="E469" s="830" t="n"/>
      <c r="F469" s="830" t="n"/>
      <c r="G469" s="830" t="n"/>
      <c r="H469" s="830" t="n"/>
      <c r="I469" s="830" t="n"/>
      <c r="J469" s="830" t="n"/>
      <c r="K469" s="830" t="n"/>
      <c r="L469" s="830" t="n"/>
      <c r="M469" s="830" t="n"/>
      <c r="N469" s="830" t="n"/>
      <c r="O469" s="830" t="n"/>
      <c r="P469" s="830" t="n"/>
      <c r="Q469" s="830" t="n"/>
      <c r="R469" s="830" t="n"/>
      <c r="S469" s="830" t="n"/>
      <c r="T469" s="830" t="n"/>
      <c r="U469" s="830" t="n"/>
      <c r="V469" s="830" t="n"/>
      <c r="W469" s="830" t="n"/>
      <c r="X469" s="830" t="n"/>
      <c r="Y469" s="830" t="n"/>
      <c r="Z469" s="55" t="n"/>
      <c r="AA469" s="55" t="n"/>
    </row>
    <row r="470" ht="16.5" customHeight="1">
      <c r="A470" s="456" t="inlineStr">
        <is>
          <t>Дугушка</t>
        </is>
      </c>
      <c r="B470" s="785" t="n"/>
      <c r="C470" s="785" t="n"/>
      <c r="D470" s="785" t="n"/>
      <c r="E470" s="785" t="n"/>
      <c r="F470" s="785" t="n"/>
      <c r="G470" s="785" t="n"/>
      <c r="H470" s="785" t="n"/>
      <c r="I470" s="785" t="n"/>
      <c r="J470" s="785" t="n"/>
      <c r="K470" s="785" t="n"/>
      <c r="L470" s="785" t="n"/>
      <c r="M470" s="785" t="n"/>
      <c r="N470" s="785" t="n"/>
      <c r="O470" s="785" t="n"/>
      <c r="P470" s="785" t="n"/>
      <c r="Q470" s="785" t="n"/>
      <c r="R470" s="785" t="n"/>
      <c r="S470" s="785" t="n"/>
      <c r="T470" s="785" t="n"/>
      <c r="U470" s="785" t="n"/>
      <c r="V470" s="785" t="n"/>
      <c r="W470" s="785" t="n"/>
      <c r="X470" s="785" t="n"/>
      <c r="Y470" s="785" t="n"/>
      <c r="Z470" s="456" t="n"/>
      <c r="AA470" s="456" t="n"/>
    </row>
    <row r="471" ht="14.25" customHeight="1">
      <c r="A471" s="457" t="inlineStr">
        <is>
          <t>Вареные колбасы</t>
        </is>
      </c>
      <c r="B471" s="785" t="n"/>
      <c r="C471" s="785" t="n"/>
      <c r="D471" s="785" t="n"/>
      <c r="E471" s="785" t="n"/>
      <c r="F471" s="785" t="n"/>
      <c r="G471" s="785" t="n"/>
      <c r="H471" s="785" t="n"/>
      <c r="I471" s="785" t="n"/>
      <c r="J471" s="785" t="n"/>
      <c r="K471" s="785" t="n"/>
      <c r="L471" s="785" t="n"/>
      <c r="M471" s="785" t="n"/>
      <c r="N471" s="785" t="n"/>
      <c r="O471" s="785" t="n"/>
      <c r="P471" s="785" t="n"/>
      <c r="Q471" s="785" t="n"/>
      <c r="R471" s="785" t="n"/>
      <c r="S471" s="785" t="n"/>
      <c r="T471" s="785" t="n"/>
      <c r="U471" s="785" t="n"/>
      <c r="V471" s="785" t="n"/>
      <c r="W471" s="785" t="n"/>
      <c r="X471" s="785" t="n"/>
      <c r="Y471" s="785" t="n"/>
      <c r="Z471" s="457" t="n"/>
      <c r="AA471" s="457" t="n"/>
    </row>
    <row r="472" ht="27" customHeight="1">
      <c r="A472" s="64" t="inlineStr">
        <is>
          <t>SU002011</t>
        </is>
      </c>
      <c r="B472" s="64" t="inlineStr">
        <is>
          <t>P004028</t>
        </is>
      </c>
      <c r="C472" s="37" t="n">
        <v>4301011795</v>
      </c>
      <c r="D472" s="458" t="n">
        <v>4607091389067</v>
      </c>
      <c r="E472" s="798" t="n"/>
      <c r="F472" s="831" t="n">
        <v>0.88</v>
      </c>
      <c r="G472" s="38" t="n">
        <v>6</v>
      </c>
      <c r="H472" s="831" t="n">
        <v>5.28</v>
      </c>
      <c r="I472" s="831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9" t="n"/>
      <c r="N472" s="38" t="n">
        <v>60</v>
      </c>
      <c r="O472" s="110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2" s="833" t="n"/>
      <c r="Q472" s="833" t="n"/>
      <c r="R472" s="833" t="n"/>
      <c r="S472" s="798" t="n"/>
      <c r="T472" s="40" t="inlineStr"/>
      <c r="U472" s="40" t="inlineStr"/>
      <c r="V472" s="41" t="inlineStr">
        <is>
          <t>кг</t>
        </is>
      </c>
      <c r="W472" s="834" t="n">
        <v>0</v>
      </c>
      <c r="X472" s="835">
        <f>IFERROR(IF(W472="",0,CEILING((W472/$H472),1)*$H472),"")</f>
        <v/>
      </c>
      <c r="Y472" s="42">
        <f>IFERROR(IF(X472=0,"",ROUNDUP(X472/H472,0)*0.01196),"")</f>
        <v/>
      </c>
      <c r="Z472" s="69" t="inlineStr"/>
      <c r="AA472" s="70" t="inlineStr"/>
      <c r="AE472" s="80" t="n"/>
      <c r="BB472" s="342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 ht="27" customHeight="1">
      <c r="A473" s="64" t="inlineStr">
        <is>
          <t>SU002094</t>
        </is>
      </c>
      <c r="B473" s="64" t="inlineStr">
        <is>
          <t>P004044</t>
        </is>
      </c>
      <c r="C473" s="37" t="n">
        <v>4301011779</v>
      </c>
      <c r="D473" s="458" t="n">
        <v>4607091383522</v>
      </c>
      <c r="E473" s="798" t="n"/>
      <c r="F473" s="831" t="n">
        <v>0.88</v>
      </c>
      <c r="G473" s="38" t="n">
        <v>6</v>
      </c>
      <c r="H473" s="831" t="n">
        <v>5.28</v>
      </c>
      <c r="I473" s="831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101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73" s="833" t="n"/>
      <c r="Q473" s="833" t="n"/>
      <c r="R473" s="833" t="n"/>
      <c r="S473" s="798" t="n"/>
      <c r="T473" s="40" t="inlineStr"/>
      <c r="U473" s="40" t="inlineStr"/>
      <c r="V473" s="41" t="inlineStr">
        <is>
          <t>кг</t>
        </is>
      </c>
      <c r="W473" s="834" t="n">
        <v>0</v>
      </c>
      <c r="X473" s="835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3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SU002634</t>
        </is>
      </c>
      <c r="B474" s="64" t="inlineStr">
        <is>
          <t>P002989</t>
        </is>
      </c>
      <c r="C474" s="37" t="n">
        <v>4301011376</v>
      </c>
      <c r="D474" s="458" t="n">
        <v>4680115885226</v>
      </c>
      <c r="E474" s="798" t="n"/>
      <c r="F474" s="831" t="n">
        <v>0.85</v>
      </c>
      <c r="G474" s="38" t="n">
        <v>6</v>
      </c>
      <c r="H474" s="831" t="n">
        <v>5.1</v>
      </c>
      <c r="I474" s="831" t="n">
        <v>5.46</v>
      </c>
      <c r="J474" s="38" t="n">
        <v>104</v>
      </c>
      <c r="K474" s="38" t="inlineStr">
        <is>
          <t>8</t>
        </is>
      </c>
      <c r="L474" s="39" t="inlineStr">
        <is>
          <t>СК3</t>
        </is>
      </c>
      <c r="M474" s="39" t="n"/>
      <c r="N474" s="38" t="n">
        <v>60</v>
      </c>
      <c r="O474" s="110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4" s="833" t="n"/>
      <c r="Q474" s="833" t="n"/>
      <c r="R474" s="833" t="n"/>
      <c r="S474" s="798" t="n"/>
      <c r="T474" s="40" t="inlineStr"/>
      <c r="U474" s="40" t="inlineStr"/>
      <c r="V474" s="41" t="inlineStr">
        <is>
          <t>кг</t>
        </is>
      </c>
      <c r="W474" s="834" t="n">
        <v>0</v>
      </c>
      <c r="X474" s="835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4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27" customHeight="1">
      <c r="A475" s="64" t="inlineStr">
        <is>
          <t>SU002182</t>
        </is>
      </c>
      <c r="B475" s="64" t="inlineStr">
        <is>
          <t>P004049</t>
        </is>
      </c>
      <c r="C475" s="37" t="n">
        <v>4301011785</v>
      </c>
      <c r="D475" s="458" t="n">
        <v>4607091384437</v>
      </c>
      <c r="E475" s="798" t="n"/>
      <c r="F475" s="831" t="n">
        <v>0.88</v>
      </c>
      <c r="G475" s="38" t="n">
        <v>6</v>
      </c>
      <c r="H475" s="831" t="n">
        <v>5.28</v>
      </c>
      <c r="I475" s="831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103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75" s="833" t="n"/>
      <c r="Q475" s="833" t="n"/>
      <c r="R475" s="833" t="n"/>
      <c r="S475" s="798" t="n"/>
      <c r="T475" s="40" t="inlineStr"/>
      <c r="U475" s="40" t="inlineStr"/>
      <c r="V475" s="41" t="inlineStr">
        <is>
          <t>кг</t>
        </is>
      </c>
      <c r="W475" s="834" t="n">
        <v>0</v>
      </c>
      <c r="X475" s="835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5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16.5" customHeight="1">
      <c r="A476" s="64" t="inlineStr">
        <is>
          <t>SU002998</t>
        </is>
      </c>
      <c r="B476" s="64" t="inlineStr">
        <is>
          <t>P004033</t>
        </is>
      </c>
      <c r="C476" s="37" t="n">
        <v>4301011774</v>
      </c>
      <c r="D476" s="458" t="n">
        <v>4680115884502</v>
      </c>
      <c r="E476" s="798" t="n"/>
      <c r="F476" s="831" t="n">
        <v>0.88</v>
      </c>
      <c r="G476" s="38" t="n">
        <v>6</v>
      </c>
      <c r="H476" s="831" t="n">
        <v>5.28</v>
      </c>
      <c r="I476" s="831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10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6" s="833" t="n"/>
      <c r="Q476" s="833" t="n"/>
      <c r="R476" s="833" t="n"/>
      <c r="S476" s="798" t="n"/>
      <c r="T476" s="40" t="inlineStr"/>
      <c r="U476" s="40" t="inlineStr"/>
      <c r="V476" s="41" t="inlineStr">
        <is>
          <t>кг</t>
        </is>
      </c>
      <c r="W476" s="834" t="n">
        <v>0</v>
      </c>
      <c r="X476" s="835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6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SU002010</t>
        </is>
      </c>
      <c r="B477" s="64" t="inlineStr">
        <is>
          <t>P004030</t>
        </is>
      </c>
      <c r="C477" s="37" t="n">
        <v>4301011771</v>
      </c>
      <c r="D477" s="458" t="n">
        <v>4607091389104</v>
      </c>
      <c r="E477" s="798" t="n"/>
      <c r="F477" s="831" t="n">
        <v>0.88</v>
      </c>
      <c r="G477" s="38" t="n">
        <v>6</v>
      </c>
      <c r="H477" s="831" t="n">
        <v>5.28</v>
      </c>
      <c r="I477" s="831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9" t="n"/>
      <c r="N477" s="38" t="n">
        <v>60</v>
      </c>
      <c r="O477" s="1105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7" s="833" t="n"/>
      <c r="Q477" s="833" t="n"/>
      <c r="R477" s="833" t="n"/>
      <c r="S477" s="798" t="n"/>
      <c r="T477" s="40" t="inlineStr"/>
      <c r="U477" s="40" t="inlineStr"/>
      <c r="V477" s="41" t="inlineStr">
        <is>
          <t>кг</t>
        </is>
      </c>
      <c r="W477" s="834" t="n">
        <v>0</v>
      </c>
      <c r="X477" s="835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7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16.5" customHeight="1">
      <c r="A478" s="64" t="inlineStr">
        <is>
          <t>SU002999</t>
        </is>
      </c>
      <c r="B478" s="64" t="inlineStr">
        <is>
          <t>P004045</t>
        </is>
      </c>
      <c r="C478" s="37" t="n">
        <v>4301011799</v>
      </c>
      <c r="D478" s="458" t="n">
        <v>4680115884519</v>
      </c>
      <c r="E478" s="798" t="n"/>
      <c r="F478" s="831" t="n">
        <v>0.88</v>
      </c>
      <c r="G478" s="38" t="n">
        <v>6</v>
      </c>
      <c r="H478" s="831" t="n">
        <v>5.28</v>
      </c>
      <c r="I478" s="831" t="n">
        <v>5.64</v>
      </c>
      <c r="J478" s="38" t="n">
        <v>104</v>
      </c>
      <c r="K478" s="38" t="inlineStr">
        <is>
          <t>8</t>
        </is>
      </c>
      <c r="L478" s="39" t="inlineStr">
        <is>
          <t>СК3</t>
        </is>
      </c>
      <c r="M478" s="39" t="n"/>
      <c r="N478" s="38" t="n">
        <v>60</v>
      </c>
      <c r="O478" s="1106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8" s="833" t="n"/>
      <c r="Q478" s="833" t="n"/>
      <c r="R478" s="833" t="n"/>
      <c r="S478" s="798" t="n"/>
      <c r="T478" s="40" t="inlineStr"/>
      <c r="U478" s="40" t="inlineStr"/>
      <c r="V478" s="41" t="inlineStr">
        <is>
          <t>кг</t>
        </is>
      </c>
      <c r="W478" s="834" t="n">
        <v>0</v>
      </c>
      <c r="X478" s="835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8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SU002632</t>
        </is>
      </c>
      <c r="B479" s="64" t="inlineStr">
        <is>
          <t>P004043</t>
        </is>
      </c>
      <c r="C479" s="37" t="n">
        <v>4301011778</v>
      </c>
      <c r="D479" s="458" t="n">
        <v>4680115880603</v>
      </c>
      <c r="E479" s="798" t="n"/>
      <c r="F479" s="831" t="n">
        <v>0.6</v>
      </c>
      <c r="G479" s="38" t="n">
        <v>6</v>
      </c>
      <c r="H479" s="831" t="n">
        <v>3.6</v>
      </c>
      <c r="I479" s="831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107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9" s="833" t="n"/>
      <c r="Q479" s="833" t="n"/>
      <c r="R479" s="833" t="n"/>
      <c r="S479" s="798" t="n"/>
      <c r="T479" s="40" t="inlineStr"/>
      <c r="U479" s="40" t="inlineStr"/>
      <c r="V479" s="41" t="inlineStr">
        <is>
          <t>кг</t>
        </is>
      </c>
      <c r="W479" s="834" t="n">
        <v>0</v>
      </c>
      <c r="X479" s="835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9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SU002220</t>
        </is>
      </c>
      <c r="B480" s="64" t="inlineStr">
        <is>
          <t>P004034</t>
        </is>
      </c>
      <c r="C480" s="37" t="n">
        <v>4301011775</v>
      </c>
      <c r="D480" s="458" t="n">
        <v>4607091389999</v>
      </c>
      <c r="E480" s="798" t="n"/>
      <c r="F480" s="831" t="n">
        <v>0.6</v>
      </c>
      <c r="G480" s="38" t="n">
        <v>6</v>
      </c>
      <c r="H480" s="831" t="n">
        <v>3.6</v>
      </c>
      <c r="I480" s="831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9" t="n"/>
      <c r="N480" s="38" t="n">
        <v>60</v>
      </c>
      <c r="O480" s="1108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80" s="833" t="n"/>
      <c r="Q480" s="833" t="n"/>
      <c r="R480" s="833" t="n"/>
      <c r="S480" s="798" t="n"/>
      <c r="T480" s="40" t="inlineStr"/>
      <c r="U480" s="40" t="inlineStr"/>
      <c r="V480" s="41" t="inlineStr">
        <is>
          <t>кг</t>
        </is>
      </c>
      <c r="W480" s="834" t="n">
        <v>0</v>
      </c>
      <c r="X480" s="835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50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SU002635</t>
        </is>
      </c>
      <c r="B481" s="64" t="inlineStr">
        <is>
          <t>P004029</t>
        </is>
      </c>
      <c r="C481" s="37" t="n">
        <v>4301011770</v>
      </c>
      <c r="D481" s="458" t="n">
        <v>4680115882782</v>
      </c>
      <c r="E481" s="798" t="n"/>
      <c r="F481" s="831" t="n">
        <v>0.6</v>
      </c>
      <c r="G481" s="38" t="n">
        <v>6</v>
      </c>
      <c r="H481" s="831" t="n">
        <v>3.6</v>
      </c>
      <c r="I481" s="831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109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81" s="833" t="n"/>
      <c r="Q481" s="833" t="n"/>
      <c r="R481" s="833" t="n"/>
      <c r="S481" s="798" t="n"/>
      <c r="T481" s="40" t="inlineStr"/>
      <c r="U481" s="40" t="inlineStr"/>
      <c r="V481" s="41" t="inlineStr">
        <is>
          <t>кг</t>
        </is>
      </c>
      <c r="W481" s="834" t="n">
        <v>0</v>
      </c>
      <c r="X481" s="835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80" t="n"/>
      <c r="BB481" s="351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SU002020</t>
        </is>
      </c>
      <c r="B482" s="64" t="inlineStr">
        <is>
          <t>P002308</t>
        </is>
      </c>
      <c r="C482" s="37" t="n">
        <v>4301011190</v>
      </c>
      <c r="D482" s="458" t="n">
        <v>4607091389098</v>
      </c>
      <c r="E482" s="798" t="n"/>
      <c r="F482" s="831" t="n">
        <v>0.4</v>
      </c>
      <c r="G482" s="38" t="n">
        <v>6</v>
      </c>
      <c r="H482" s="831" t="n">
        <v>2.4</v>
      </c>
      <c r="I482" s="831" t="n">
        <v>2.6</v>
      </c>
      <c r="J482" s="38" t="n">
        <v>156</v>
      </c>
      <c r="K482" s="38" t="inlineStr">
        <is>
          <t>12</t>
        </is>
      </c>
      <c r="L482" s="39" t="inlineStr">
        <is>
          <t>СК3</t>
        </is>
      </c>
      <c r="M482" s="39" t="n"/>
      <c r="N482" s="38" t="n">
        <v>50</v>
      </c>
      <c r="O482" s="11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2" s="833" t="n"/>
      <c r="Q482" s="833" t="n"/>
      <c r="R482" s="833" t="n"/>
      <c r="S482" s="798" t="n"/>
      <c r="T482" s="40" t="inlineStr"/>
      <c r="U482" s="40" t="inlineStr"/>
      <c r="V482" s="41" t="inlineStr">
        <is>
          <t>кг</t>
        </is>
      </c>
      <c r="W482" s="834" t="n">
        <v>0</v>
      </c>
      <c r="X482" s="835">
        <f>IFERROR(IF(W482="",0,CEILING((W482/$H482),1)*$H482),"")</f>
        <v/>
      </c>
      <c r="Y482" s="42">
        <f>IFERROR(IF(X482=0,"",ROUNDUP(X482/H482,0)*0.00753),"")</f>
        <v/>
      </c>
      <c r="Z482" s="69" t="inlineStr"/>
      <c r="AA482" s="70" t="inlineStr"/>
      <c r="AE482" s="80" t="n"/>
      <c r="BB482" s="352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SU002631</t>
        </is>
      </c>
      <c r="B483" s="64" t="inlineStr">
        <is>
          <t>P004048</t>
        </is>
      </c>
      <c r="C483" s="37" t="n">
        <v>4301011784</v>
      </c>
      <c r="D483" s="458" t="n">
        <v>4607091389982</v>
      </c>
      <c r="E483" s="798" t="n"/>
      <c r="F483" s="831" t="n">
        <v>0.6</v>
      </c>
      <c r="G483" s="38" t="n">
        <v>6</v>
      </c>
      <c r="H483" s="831" t="n">
        <v>3.6</v>
      </c>
      <c r="I483" s="831" t="n">
        <v>3.84</v>
      </c>
      <c r="J483" s="38" t="n">
        <v>120</v>
      </c>
      <c r="K483" s="38" t="inlineStr">
        <is>
          <t>12</t>
        </is>
      </c>
      <c r="L483" s="39" t="inlineStr">
        <is>
          <t>СК1</t>
        </is>
      </c>
      <c r="M483" s="39" t="n"/>
      <c r="N483" s="38" t="n">
        <v>60</v>
      </c>
      <c r="O483" s="111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3" s="833" t="n"/>
      <c r="Q483" s="833" t="n"/>
      <c r="R483" s="833" t="n"/>
      <c r="S483" s="798" t="n"/>
      <c r="T483" s="40" t="inlineStr"/>
      <c r="U483" s="40" t="inlineStr"/>
      <c r="V483" s="41" t="inlineStr">
        <is>
          <t>кг</t>
        </is>
      </c>
      <c r="W483" s="834" t="n">
        <v>0</v>
      </c>
      <c r="X483" s="835">
        <f>IFERROR(IF(W483="",0,CEILING((W483/$H483),1)*$H483),"")</f>
        <v/>
      </c>
      <c r="Y483" s="42">
        <f>IFERROR(IF(X483=0,"",ROUNDUP(X483/H483,0)*0.00937),"")</f>
        <v/>
      </c>
      <c r="Z483" s="69" t="inlineStr"/>
      <c r="AA483" s="70" t="inlineStr"/>
      <c r="AE483" s="80" t="n"/>
      <c r="BB483" s="353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>
      <c r="A484" s="467" t="n"/>
      <c r="B484" s="785" t="n"/>
      <c r="C484" s="785" t="n"/>
      <c r="D484" s="785" t="n"/>
      <c r="E484" s="785" t="n"/>
      <c r="F484" s="785" t="n"/>
      <c r="G484" s="785" t="n"/>
      <c r="H484" s="785" t="n"/>
      <c r="I484" s="785" t="n"/>
      <c r="J484" s="785" t="n"/>
      <c r="K484" s="785" t="n"/>
      <c r="L484" s="785" t="n"/>
      <c r="M484" s="785" t="n"/>
      <c r="N484" s="837" t="n"/>
      <c r="O484" s="838" t="inlineStr">
        <is>
          <t>Итого</t>
        </is>
      </c>
      <c r="P484" s="805" t="n"/>
      <c r="Q484" s="805" t="n"/>
      <c r="R484" s="805" t="n"/>
      <c r="S484" s="805" t="n"/>
      <c r="T484" s="805" t="n"/>
      <c r="U484" s="806" t="n"/>
      <c r="V484" s="43" t="inlineStr">
        <is>
          <t>кор</t>
        </is>
      </c>
      <c r="W484" s="839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/>
      </c>
      <c r="X484" s="839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/>
      </c>
      <c r="Y484" s="839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/>
      </c>
      <c r="Z484" s="840" t="n"/>
      <c r="AA484" s="840" t="n"/>
    </row>
    <row r="485">
      <c r="A485" s="785" t="n"/>
      <c r="B485" s="785" t="n"/>
      <c r="C485" s="785" t="n"/>
      <c r="D485" s="785" t="n"/>
      <c r="E485" s="785" t="n"/>
      <c r="F485" s="785" t="n"/>
      <c r="G485" s="785" t="n"/>
      <c r="H485" s="785" t="n"/>
      <c r="I485" s="785" t="n"/>
      <c r="J485" s="785" t="n"/>
      <c r="K485" s="785" t="n"/>
      <c r="L485" s="785" t="n"/>
      <c r="M485" s="785" t="n"/>
      <c r="N485" s="837" t="n"/>
      <c r="O485" s="838" t="inlineStr">
        <is>
          <t>Итого</t>
        </is>
      </c>
      <c r="P485" s="805" t="n"/>
      <c r="Q485" s="805" t="n"/>
      <c r="R485" s="805" t="n"/>
      <c r="S485" s="805" t="n"/>
      <c r="T485" s="805" t="n"/>
      <c r="U485" s="806" t="n"/>
      <c r="V485" s="43" t="inlineStr">
        <is>
          <t>кг</t>
        </is>
      </c>
      <c r="W485" s="839">
        <f>IFERROR(SUM(W472:W483),"0")</f>
        <v/>
      </c>
      <c r="X485" s="839">
        <f>IFERROR(SUM(X472:X483),"0")</f>
        <v/>
      </c>
      <c r="Y485" s="43" t="n"/>
      <c r="Z485" s="840" t="n"/>
      <c r="AA485" s="840" t="n"/>
    </row>
    <row r="486" ht="14.25" customHeight="1">
      <c r="A486" s="457" t="inlineStr">
        <is>
          <t>Ветчины</t>
        </is>
      </c>
      <c r="B486" s="785" t="n"/>
      <c r="C486" s="785" t="n"/>
      <c r="D486" s="785" t="n"/>
      <c r="E486" s="785" t="n"/>
      <c r="F486" s="785" t="n"/>
      <c r="G486" s="785" t="n"/>
      <c r="H486" s="785" t="n"/>
      <c r="I486" s="785" t="n"/>
      <c r="J486" s="785" t="n"/>
      <c r="K486" s="785" t="n"/>
      <c r="L486" s="785" t="n"/>
      <c r="M486" s="785" t="n"/>
      <c r="N486" s="785" t="n"/>
      <c r="O486" s="785" t="n"/>
      <c r="P486" s="785" t="n"/>
      <c r="Q486" s="785" t="n"/>
      <c r="R486" s="785" t="n"/>
      <c r="S486" s="785" t="n"/>
      <c r="T486" s="785" t="n"/>
      <c r="U486" s="785" t="n"/>
      <c r="V486" s="785" t="n"/>
      <c r="W486" s="785" t="n"/>
      <c r="X486" s="785" t="n"/>
      <c r="Y486" s="785" t="n"/>
      <c r="Z486" s="457" t="n"/>
      <c r="AA486" s="457" t="n"/>
    </row>
    <row r="487" ht="16.5" customHeight="1">
      <c r="A487" s="64" t="inlineStr">
        <is>
          <t>SU002035</t>
        </is>
      </c>
      <c r="B487" s="64" t="inlineStr">
        <is>
          <t>P003146</t>
        </is>
      </c>
      <c r="C487" s="37" t="n">
        <v>4301020222</v>
      </c>
      <c r="D487" s="458" t="n">
        <v>4607091388930</v>
      </c>
      <c r="E487" s="798" t="n"/>
      <c r="F487" s="831" t="n">
        <v>0.88</v>
      </c>
      <c r="G487" s="38" t="n">
        <v>6</v>
      </c>
      <c r="H487" s="831" t="n">
        <v>5.28</v>
      </c>
      <c r="I487" s="831" t="n">
        <v>5.64</v>
      </c>
      <c r="J487" s="38" t="n">
        <v>104</v>
      </c>
      <c r="K487" s="38" t="inlineStr">
        <is>
          <t>8</t>
        </is>
      </c>
      <c r="L487" s="39" t="inlineStr">
        <is>
          <t>СК1</t>
        </is>
      </c>
      <c r="M487" s="39" t="n"/>
      <c r="N487" s="38" t="n">
        <v>55</v>
      </c>
      <c r="O487" s="1112">
        <f>HYPERLINK("https://abi.ru/products/Охлажденные/Дугушка/Дугушка/Ветчины/P003146/","Ветчины Дугушка Дугушка Вес б/о Дугушка")</f>
        <v/>
      </c>
      <c r="P487" s="833" t="n"/>
      <c r="Q487" s="833" t="n"/>
      <c r="R487" s="833" t="n"/>
      <c r="S487" s="798" t="n"/>
      <c r="T487" s="40" t="inlineStr"/>
      <c r="U487" s="40" t="inlineStr"/>
      <c r="V487" s="41" t="inlineStr">
        <is>
          <t>кг</t>
        </is>
      </c>
      <c r="W487" s="834" t="n">
        <v>0</v>
      </c>
      <c r="X487" s="835">
        <f>IFERROR(IF(W487="",0,CEILING((W487/$H487),1)*$H487),"")</f>
        <v/>
      </c>
      <c r="Y487" s="42">
        <f>IFERROR(IF(X487=0,"",ROUNDUP(X487/H487,0)*0.01196),"")</f>
        <v/>
      </c>
      <c r="Z487" s="69" t="inlineStr"/>
      <c r="AA487" s="70" t="inlineStr"/>
      <c r="AE487" s="80" t="n"/>
      <c r="BB487" s="354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 ht="16.5" customHeight="1">
      <c r="A488" s="64" t="inlineStr">
        <is>
          <t>SU002643</t>
        </is>
      </c>
      <c r="B488" s="64" t="inlineStr">
        <is>
          <t>P002993</t>
        </is>
      </c>
      <c r="C488" s="37" t="n">
        <v>4301020206</v>
      </c>
      <c r="D488" s="458" t="n">
        <v>4680115880054</v>
      </c>
      <c r="E488" s="798" t="n"/>
      <c r="F488" s="831" t="n">
        <v>0.6</v>
      </c>
      <c r="G488" s="38" t="n">
        <v>6</v>
      </c>
      <c r="H488" s="831" t="n">
        <v>3.6</v>
      </c>
      <c r="I488" s="831" t="n">
        <v>3.84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9" t="n"/>
      <c r="N488" s="38" t="n">
        <v>55</v>
      </c>
      <c r="O488" s="1113">
        <f>HYPERLINK("https://abi.ru/products/Охлажденные/Дугушка/Дугушка/Ветчины/P002993/","Ветчины «Дугушка» Фикс.вес 0,6 П/а ТМ «Дугушка»")</f>
        <v/>
      </c>
      <c r="P488" s="833" t="n"/>
      <c r="Q488" s="833" t="n"/>
      <c r="R488" s="833" t="n"/>
      <c r="S488" s="798" t="n"/>
      <c r="T488" s="40" t="inlineStr"/>
      <c r="U488" s="40" t="inlineStr"/>
      <c r="V488" s="41" t="inlineStr">
        <is>
          <t>кг</t>
        </is>
      </c>
      <c r="W488" s="834" t="n">
        <v>0</v>
      </c>
      <c r="X488" s="835">
        <f>IFERROR(IF(W488="",0,CEILING((W488/$H488),1)*$H488),"")</f>
        <v/>
      </c>
      <c r="Y488" s="42">
        <f>IFERROR(IF(X488=0,"",ROUNDUP(X488/H488,0)*0.00937),"")</f>
        <v/>
      </c>
      <c r="Z488" s="69" t="inlineStr"/>
      <c r="AA488" s="70" t="inlineStr"/>
      <c r="AE488" s="80" t="n"/>
      <c r="BB488" s="355" t="inlineStr">
        <is>
          <t>КИ</t>
        </is>
      </c>
      <c r="BL488" s="80">
        <f>IFERROR(W488*I488/H488,"0")</f>
        <v/>
      </c>
      <c r="BM488" s="80">
        <f>IFERROR(X488*I488/H488,"0")</f>
        <v/>
      </c>
      <c r="BN488" s="80">
        <f>IFERROR(1/J488*(W488/H488),"0")</f>
        <v/>
      </c>
      <c r="BO488" s="80">
        <f>IFERROR(1/J488*(X488/H488),"0")</f>
        <v/>
      </c>
    </row>
    <row r="489">
      <c r="A489" s="467" t="n"/>
      <c r="B489" s="785" t="n"/>
      <c r="C489" s="785" t="n"/>
      <c r="D489" s="785" t="n"/>
      <c r="E489" s="785" t="n"/>
      <c r="F489" s="785" t="n"/>
      <c r="G489" s="785" t="n"/>
      <c r="H489" s="785" t="n"/>
      <c r="I489" s="785" t="n"/>
      <c r="J489" s="785" t="n"/>
      <c r="K489" s="785" t="n"/>
      <c r="L489" s="785" t="n"/>
      <c r="M489" s="785" t="n"/>
      <c r="N489" s="837" t="n"/>
      <c r="O489" s="838" t="inlineStr">
        <is>
          <t>Итого</t>
        </is>
      </c>
      <c r="P489" s="805" t="n"/>
      <c r="Q489" s="805" t="n"/>
      <c r="R489" s="805" t="n"/>
      <c r="S489" s="805" t="n"/>
      <c r="T489" s="805" t="n"/>
      <c r="U489" s="806" t="n"/>
      <c r="V489" s="43" t="inlineStr">
        <is>
          <t>кор</t>
        </is>
      </c>
      <c r="W489" s="839">
        <f>IFERROR(W487/H487,"0")+IFERROR(W488/H488,"0")</f>
        <v/>
      </c>
      <c r="X489" s="839">
        <f>IFERROR(X487/H487,"0")+IFERROR(X488/H488,"0")</f>
        <v/>
      </c>
      <c r="Y489" s="839">
        <f>IFERROR(IF(Y487="",0,Y487),"0")+IFERROR(IF(Y488="",0,Y488),"0")</f>
        <v/>
      </c>
      <c r="Z489" s="840" t="n"/>
      <c r="AA489" s="840" t="n"/>
    </row>
    <row r="490">
      <c r="A490" s="785" t="n"/>
      <c r="B490" s="785" t="n"/>
      <c r="C490" s="785" t="n"/>
      <c r="D490" s="785" t="n"/>
      <c r="E490" s="785" t="n"/>
      <c r="F490" s="785" t="n"/>
      <c r="G490" s="785" t="n"/>
      <c r="H490" s="785" t="n"/>
      <c r="I490" s="785" t="n"/>
      <c r="J490" s="785" t="n"/>
      <c r="K490" s="785" t="n"/>
      <c r="L490" s="785" t="n"/>
      <c r="M490" s="785" t="n"/>
      <c r="N490" s="837" t="n"/>
      <c r="O490" s="838" t="inlineStr">
        <is>
          <t>Итого</t>
        </is>
      </c>
      <c r="P490" s="805" t="n"/>
      <c r="Q490" s="805" t="n"/>
      <c r="R490" s="805" t="n"/>
      <c r="S490" s="805" t="n"/>
      <c r="T490" s="805" t="n"/>
      <c r="U490" s="806" t="n"/>
      <c r="V490" s="43" t="inlineStr">
        <is>
          <t>кг</t>
        </is>
      </c>
      <c r="W490" s="839">
        <f>IFERROR(SUM(W487:W488),"0")</f>
        <v/>
      </c>
      <c r="X490" s="839">
        <f>IFERROR(SUM(X487:X488),"0")</f>
        <v/>
      </c>
      <c r="Y490" s="43" t="n"/>
      <c r="Z490" s="840" t="n"/>
      <c r="AA490" s="840" t="n"/>
    </row>
    <row r="491" ht="14.25" customHeight="1">
      <c r="A491" s="457" t="inlineStr">
        <is>
          <t>Копченые колбасы</t>
        </is>
      </c>
      <c r="B491" s="785" t="n"/>
      <c r="C491" s="785" t="n"/>
      <c r="D491" s="785" t="n"/>
      <c r="E491" s="785" t="n"/>
      <c r="F491" s="785" t="n"/>
      <c r="G491" s="785" t="n"/>
      <c r="H491" s="785" t="n"/>
      <c r="I491" s="785" t="n"/>
      <c r="J491" s="785" t="n"/>
      <c r="K491" s="785" t="n"/>
      <c r="L491" s="785" t="n"/>
      <c r="M491" s="785" t="n"/>
      <c r="N491" s="785" t="n"/>
      <c r="O491" s="785" t="n"/>
      <c r="P491" s="785" t="n"/>
      <c r="Q491" s="785" t="n"/>
      <c r="R491" s="785" t="n"/>
      <c r="S491" s="785" t="n"/>
      <c r="T491" s="785" t="n"/>
      <c r="U491" s="785" t="n"/>
      <c r="V491" s="785" t="n"/>
      <c r="W491" s="785" t="n"/>
      <c r="X491" s="785" t="n"/>
      <c r="Y491" s="785" t="n"/>
      <c r="Z491" s="457" t="n"/>
      <c r="AA491" s="457" t="n"/>
    </row>
    <row r="492" ht="27" customHeight="1">
      <c r="A492" s="64" t="inlineStr">
        <is>
          <t>SU002150</t>
        </is>
      </c>
      <c r="B492" s="64" t="inlineStr">
        <is>
          <t>P003636</t>
        </is>
      </c>
      <c r="C492" s="37" t="n">
        <v>4301031252</v>
      </c>
      <c r="D492" s="458" t="n">
        <v>4680115883116</v>
      </c>
      <c r="E492" s="798" t="n"/>
      <c r="F492" s="831" t="n">
        <v>0.88</v>
      </c>
      <c r="G492" s="38" t="n">
        <v>6</v>
      </c>
      <c r="H492" s="831" t="n">
        <v>5.28</v>
      </c>
      <c r="I492" s="831" t="n">
        <v>5.64</v>
      </c>
      <c r="J492" s="38" t="n">
        <v>104</v>
      </c>
      <c r="K492" s="38" t="inlineStr">
        <is>
          <t>8</t>
        </is>
      </c>
      <c r="L492" s="39" t="inlineStr">
        <is>
          <t>СК1</t>
        </is>
      </c>
      <c r="M492" s="39" t="n"/>
      <c r="N492" s="38" t="n">
        <v>60</v>
      </c>
      <c r="O492" s="11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2" s="833" t="n"/>
      <c r="Q492" s="833" t="n"/>
      <c r="R492" s="833" t="n"/>
      <c r="S492" s="798" t="n"/>
      <c r="T492" s="40" t="inlineStr"/>
      <c r="U492" s="40" t="inlineStr"/>
      <c r="V492" s="41" t="inlineStr">
        <is>
          <t>кг</t>
        </is>
      </c>
      <c r="W492" s="834" t="n">
        <v>0</v>
      </c>
      <c r="X492" s="835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6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SU002158</t>
        </is>
      </c>
      <c r="B493" s="64" t="inlineStr">
        <is>
          <t>P003632</t>
        </is>
      </c>
      <c r="C493" s="37" t="n">
        <v>4301031248</v>
      </c>
      <c r="D493" s="458" t="n">
        <v>4680115883093</v>
      </c>
      <c r="E493" s="798" t="n"/>
      <c r="F493" s="831" t="n">
        <v>0.88</v>
      </c>
      <c r="G493" s="38" t="n">
        <v>6</v>
      </c>
      <c r="H493" s="831" t="n">
        <v>5.28</v>
      </c>
      <c r="I493" s="831" t="n">
        <v>5.64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60</v>
      </c>
      <c r="O493" s="11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3" s="833" t="n"/>
      <c r="Q493" s="833" t="n"/>
      <c r="R493" s="833" t="n"/>
      <c r="S493" s="798" t="n"/>
      <c r="T493" s="40" t="inlineStr"/>
      <c r="U493" s="40" t="inlineStr"/>
      <c r="V493" s="41" t="inlineStr">
        <is>
          <t>кг</t>
        </is>
      </c>
      <c r="W493" s="834" t="n">
        <v>0</v>
      </c>
      <c r="X493" s="835">
        <f>IFERROR(IF(W493="",0,CEILING((W493/$H493),1)*$H493),"")</f>
        <v/>
      </c>
      <c r="Y493" s="42">
        <f>IFERROR(IF(X493=0,"",ROUNDUP(X493/H493,0)*0.01196),"")</f>
        <v/>
      </c>
      <c r="Z493" s="69" t="inlineStr"/>
      <c r="AA493" s="70" t="inlineStr"/>
      <c r="AE493" s="80" t="n"/>
      <c r="BB493" s="357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SU002151</t>
        </is>
      </c>
      <c r="B494" s="64" t="inlineStr">
        <is>
          <t>P003634</t>
        </is>
      </c>
      <c r="C494" s="37" t="n">
        <v>4301031250</v>
      </c>
      <c r="D494" s="458" t="n">
        <v>4680115883109</v>
      </c>
      <c r="E494" s="798" t="n"/>
      <c r="F494" s="831" t="n">
        <v>0.88</v>
      </c>
      <c r="G494" s="38" t="n">
        <v>6</v>
      </c>
      <c r="H494" s="831" t="n">
        <v>5.28</v>
      </c>
      <c r="I494" s="831" t="n">
        <v>5.64</v>
      </c>
      <c r="J494" s="38" t="n">
        <v>104</v>
      </c>
      <c r="K494" s="38" t="inlineStr">
        <is>
          <t>8</t>
        </is>
      </c>
      <c r="L494" s="39" t="inlineStr">
        <is>
          <t>СК2</t>
        </is>
      </c>
      <c r="M494" s="39" t="n"/>
      <c r="N494" s="38" t="n">
        <v>60</v>
      </c>
      <c r="O494" s="11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4" s="833" t="n"/>
      <c r="Q494" s="833" t="n"/>
      <c r="R494" s="833" t="n"/>
      <c r="S494" s="798" t="n"/>
      <c r="T494" s="40" t="inlineStr"/>
      <c r="U494" s="40" t="inlineStr"/>
      <c r="V494" s="41" t="inlineStr">
        <is>
          <t>кг</t>
        </is>
      </c>
      <c r="W494" s="834" t="n">
        <v>0</v>
      </c>
      <c r="X494" s="835">
        <f>IFERROR(IF(W494="",0,CEILING((W494/$H494),1)*$H494),"")</f>
        <v/>
      </c>
      <c r="Y494" s="42">
        <f>IFERROR(IF(X494=0,"",ROUNDUP(X494/H494,0)*0.01196),"")</f>
        <v/>
      </c>
      <c r="Z494" s="69" t="inlineStr"/>
      <c r="AA494" s="70" t="inlineStr"/>
      <c r="AE494" s="80" t="n"/>
      <c r="BB494" s="358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SU002916</t>
        </is>
      </c>
      <c r="B495" s="64" t="inlineStr">
        <is>
          <t>P003633</t>
        </is>
      </c>
      <c r="C495" s="37" t="n">
        <v>4301031249</v>
      </c>
      <c r="D495" s="458" t="n">
        <v>4680115882072</v>
      </c>
      <c r="E495" s="798" t="n"/>
      <c r="F495" s="831" t="n">
        <v>0.6</v>
      </c>
      <c r="G495" s="38" t="n">
        <v>6</v>
      </c>
      <c r="H495" s="831" t="n">
        <v>3.6</v>
      </c>
      <c r="I495" s="831" t="n">
        <v>3.84</v>
      </c>
      <c r="J495" s="38" t="n">
        <v>120</v>
      </c>
      <c r="K495" s="38" t="inlineStr">
        <is>
          <t>12</t>
        </is>
      </c>
      <c r="L495" s="39" t="inlineStr">
        <is>
          <t>СК1</t>
        </is>
      </c>
      <c r="M495" s="39" t="n"/>
      <c r="N495" s="38" t="n">
        <v>60</v>
      </c>
      <c r="O495" s="111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5" s="833" t="n"/>
      <c r="Q495" s="833" t="n"/>
      <c r="R495" s="833" t="n"/>
      <c r="S495" s="798" t="n"/>
      <c r="T495" s="40" t="inlineStr"/>
      <c r="U495" s="40" t="inlineStr"/>
      <c r="V495" s="41" t="inlineStr">
        <is>
          <t>кг</t>
        </is>
      </c>
      <c r="W495" s="834" t="n">
        <v>0</v>
      </c>
      <c r="X495" s="835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59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 ht="27" customHeight="1">
      <c r="A496" s="64" t="inlineStr">
        <is>
          <t>SU002919</t>
        </is>
      </c>
      <c r="B496" s="64" t="inlineStr">
        <is>
          <t>P003635</t>
        </is>
      </c>
      <c r="C496" s="37" t="n">
        <v>4301031251</v>
      </c>
      <c r="D496" s="458" t="n">
        <v>4680115882102</v>
      </c>
      <c r="E496" s="798" t="n"/>
      <c r="F496" s="831" t="n">
        <v>0.6</v>
      </c>
      <c r="G496" s="38" t="n">
        <v>6</v>
      </c>
      <c r="H496" s="831" t="n">
        <v>3.6</v>
      </c>
      <c r="I496" s="831" t="n">
        <v>3.81</v>
      </c>
      <c r="J496" s="38" t="n">
        <v>120</v>
      </c>
      <c r="K496" s="38" t="inlineStr">
        <is>
          <t>12</t>
        </is>
      </c>
      <c r="L496" s="39" t="inlineStr">
        <is>
          <t>СК2</t>
        </is>
      </c>
      <c r="M496" s="39" t="n"/>
      <c r="N496" s="38" t="n">
        <v>60</v>
      </c>
      <c r="O496" s="111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6" s="833" t="n"/>
      <c r="Q496" s="833" t="n"/>
      <c r="R496" s="833" t="n"/>
      <c r="S496" s="798" t="n"/>
      <c r="T496" s="40" t="inlineStr"/>
      <c r="U496" s="40" t="inlineStr"/>
      <c r="V496" s="41" t="inlineStr">
        <is>
          <t>кг</t>
        </is>
      </c>
      <c r="W496" s="834" t="n">
        <v>0</v>
      </c>
      <c r="X496" s="835">
        <f>IFERROR(IF(W496="",0,CEILING((W496/$H496),1)*$H496),"")</f>
        <v/>
      </c>
      <c r="Y496" s="42">
        <f>IFERROR(IF(X496=0,"",ROUNDUP(X496/H496,0)*0.00937),"")</f>
        <v/>
      </c>
      <c r="Z496" s="69" t="inlineStr"/>
      <c r="AA496" s="70" t="inlineStr"/>
      <c r="AE496" s="80" t="n"/>
      <c r="BB496" s="360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 ht="27" customHeight="1">
      <c r="A497" s="64" t="inlineStr">
        <is>
          <t>SU002918</t>
        </is>
      </c>
      <c r="B497" s="64" t="inlineStr">
        <is>
          <t>P003637</t>
        </is>
      </c>
      <c r="C497" s="37" t="n">
        <v>4301031253</v>
      </c>
      <c r="D497" s="458" t="n">
        <v>4680115882096</v>
      </c>
      <c r="E497" s="798" t="n"/>
      <c r="F497" s="831" t="n">
        <v>0.6</v>
      </c>
      <c r="G497" s="38" t="n">
        <v>6</v>
      </c>
      <c r="H497" s="831" t="n">
        <v>3.6</v>
      </c>
      <c r="I497" s="831" t="n">
        <v>3.81</v>
      </c>
      <c r="J497" s="38" t="n">
        <v>120</v>
      </c>
      <c r="K497" s="38" t="inlineStr">
        <is>
          <t>12</t>
        </is>
      </c>
      <c r="L497" s="39" t="inlineStr">
        <is>
          <t>СК2</t>
        </is>
      </c>
      <c r="M497" s="39" t="n"/>
      <c r="N497" s="38" t="n">
        <v>60</v>
      </c>
      <c r="O497" s="111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7" s="833" t="n"/>
      <c r="Q497" s="833" t="n"/>
      <c r="R497" s="833" t="n"/>
      <c r="S497" s="798" t="n"/>
      <c r="T497" s="40" t="inlineStr"/>
      <c r="U497" s="40" t="inlineStr"/>
      <c r="V497" s="41" t="inlineStr">
        <is>
          <t>кг</t>
        </is>
      </c>
      <c r="W497" s="834" t="n">
        <v>0</v>
      </c>
      <c r="X497" s="835">
        <f>IFERROR(IF(W497="",0,CEILING((W497/$H497),1)*$H497),"")</f>
        <v/>
      </c>
      <c r="Y497" s="42">
        <f>IFERROR(IF(X497=0,"",ROUNDUP(X497/H497,0)*0.00937),"")</f>
        <v/>
      </c>
      <c r="Z497" s="69" t="inlineStr"/>
      <c r="AA497" s="70" t="inlineStr"/>
      <c r="AE497" s="80" t="n"/>
      <c r="BB497" s="361" t="inlineStr">
        <is>
          <t>КИ</t>
        </is>
      </c>
      <c r="BL497" s="80">
        <f>IFERROR(W497*I497/H497,"0")</f>
        <v/>
      </c>
      <c r="BM497" s="80">
        <f>IFERROR(X497*I497/H497,"0")</f>
        <v/>
      </c>
      <c r="BN497" s="80">
        <f>IFERROR(1/J497*(W497/H497),"0")</f>
        <v/>
      </c>
      <c r="BO497" s="80">
        <f>IFERROR(1/J497*(X497/H497),"0")</f>
        <v/>
      </c>
    </row>
    <row r="498">
      <c r="A498" s="467" t="n"/>
      <c r="B498" s="785" t="n"/>
      <c r="C498" s="785" t="n"/>
      <c r="D498" s="785" t="n"/>
      <c r="E498" s="785" t="n"/>
      <c r="F498" s="785" t="n"/>
      <c r="G498" s="785" t="n"/>
      <c r="H498" s="785" t="n"/>
      <c r="I498" s="785" t="n"/>
      <c r="J498" s="785" t="n"/>
      <c r="K498" s="785" t="n"/>
      <c r="L498" s="785" t="n"/>
      <c r="M498" s="785" t="n"/>
      <c r="N498" s="837" t="n"/>
      <c r="O498" s="838" t="inlineStr">
        <is>
          <t>Итого</t>
        </is>
      </c>
      <c r="P498" s="805" t="n"/>
      <c r="Q498" s="805" t="n"/>
      <c r="R498" s="805" t="n"/>
      <c r="S498" s="805" t="n"/>
      <c r="T498" s="805" t="n"/>
      <c r="U498" s="806" t="n"/>
      <c r="V498" s="43" t="inlineStr">
        <is>
          <t>кор</t>
        </is>
      </c>
      <c r="W498" s="839">
        <f>IFERROR(W492/H492,"0")+IFERROR(W493/H493,"0")+IFERROR(W494/H494,"0")+IFERROR(W495/H495,"0")+IFERROR(W496/H496,"0")+IFERROR(W497/H497,"0")</f>
        <v/>
      </c>
      <c r="X498" s="839">
        <f>IFERROR(X492/H492,"0")+IFERROR(X493/H493,"0")+IFERROR(X494/H494,"0")+IFERROR(X495/H495,"0")+IFERROR(X496/H496,"0")+IFERROR(X497/H497,"0")</f>
        <v/>
      </c>
      <c r="Y498" s="839">
        <f>IFERROR(IF(Y492="",0,Y492),"0")+IFERROR(IF(Y493="",0,Y493),"0")+IFERROR(IF(Y494="",0,Y494),"0")+IFERROR(IF(Y495="",0,Y495),"0")+IFERROR(IF(Y496="",0,Y496),"0")+IFERROR(IF(Y497="",0,Y497),"0")</f>
        <v/>
      </c>
      <c r="Z498" s="840" t="n"/>
      <c r="AA498" s="840" t="n"/>
    </row>
    <row r="499">
      <c r="A499" s="785" t="n"/>
      <c r="B499" s="785" t="n"/>
      <c r="C499" s="785" t="n"/>
      <c r="D499" s="785" t="n"/>
      <c r="E499" s="785" t="n"/>
      <c r="F499" s="785" t="n"/>
      <c r="G499" s="785" t="n"/>
      <c r="H499" s="785" t="n"/>
      <c r="I499" s="785" t="n"/>
      <c r="J499" s="785" t="n"/>
      <c r="K499" s="785" t="n"/>
      <c r="L499" s="785" t="n"/>
      <c r="M499" s="785" t="n"/>
      <c r="N499" s="837" t="n"/>
      <c r="O499" s="838" t="inlineStr">
        <is>
          <t>Итого</t>
        </is>
      </c>
      <c r="P499" s="805" t="n"/>
      <c r="Q499" s="805" t="n"/>
      <c r="R499" s="805" t="n"/>
      <c r="S499" s="805" t="n"/>
      <c r="T499" s="805" t="n"/>
      <c r="U499" s="806" t="n"/>
      <c r="V499" s="43" t="inlineStr">
        <is>
          <t>кг</t>
        </is>
      </c>
      <c r="W499" s="839">
        <f>IFERROR(SUM(W492:W497),"0")</f>
        <v/>
      </c>
      <c r="X499" s="839">
        <f>IFERROR(SUM(X492:X497),"0")</f>
        <v/>
      </c>
      <c r="Y499" s="43" t="n"/>
      <c r="Z499" s="840" t="n"/>
      <c r="AA499" s="840" t="n"/>
    </row>
    <row r="500" ht="14.25" customHeight="1">
      <c r="A500" s="457" t="inlineStr">
        <is>
          <t>Сосиски</t>
        </is>
      </c>
      <c r="B500" s="785" t="n"/>
      <c r="C500" s="785" t="n"/>
      <c r="D500" s="785" t="n"/>
      <c r="E500" s="785" t="n"/>
      <c r="F500" s="785" t="n"/>
      <c r="G500" s="785" t="n"/>
      <c r="H500" s="785" t="n"/>
      <c r="I500" s="785" t="n"/>
      <c r="J500" s="785" t="n"/>
      <c r="K500" s="785" t="n"/>
      <c r="L500" s="785" t="n"/>
      <c r="M500" s="785" t="n"/>
      <c r="N500" s="785" t="n"/>
      <c r="O500" s="785" t="n"/>
      <c r="P500" s="785" t="n"/>
      <c r="Q500" s="785" t="n"/>
      <c r="R500" s="785" t="n"/>
      <c r="S500" s="785" t="n"/>
      <c r="T500" s="785" t="n"/>
      <c r="U500" s="785" t="n"/>
      <c r="V500" s="785" t="n"/>
      <c r="W500" s="785" t="n"/>
      <c r="X500" s="785" t="n"/>
      <c r="Y500" s="785" t="n"/>
      <c r="Z500" s="457" t="n"/>
      <c r="AA500" s="457" t="n"/>
    </row>
    <row r="501" ht="16.5" customHeight="1">
      <c r="A501" s="64" t="inlineStr">
        <is>
          <t>SU002218</t>
        </is>
      </c>
      <c r="B501" s="64" t="inlineStr">
        <is>
          <t>P002854</t>
        </is>
      </c>
      <c r="C501" s="37" t="n">
        <v>4301051230</v>
      </c>
      <c r="D501" s="458" t="n">
        <v>4607091383409</v>
      </c>
      <c r="E501" s="798" t="n"/>
      <c r="F501" s="831" t="n">
        <v>1.3</v>
      </c>
      <c r="G501" s="38" t="n">
        <v>6</v>
      </c>
      <c r="H501" s="831" t="n">
        <v>7.8</v>
      </c>
      <c r="I501" s="831" t="n">
        <v>8.346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9" t="n"/>
      <c r="N501" s="38" t="n">
        <v>45</v>
      </c>
      <c r="O501" s="1120">
        <f>HYPERLINK("https://abi.ru/products/Охлажденные/Дугушка/Дугушка/Сосиски/P002854/","Сосиски Молочные Дугушки Дугушка Весовые П/а мгс Дугушка")</f>
        <v/>
      </c>
      <c r="P501" s="833" t="n"/>
      <c r="Q501" s="833" t="n"/>
      <c r="R501" s="833" t="n"/>
      <c r="S501" s="798" t="n"/>
      <c r="T501" s="40" t="inlineStr"/>
      <c r="U501" s="40" t="inlineStr"/>
      <c r="V501" s="41" t="inlineStr">
        <is>
          <t>кг</t>
        </is>
      </c>
      <c r="W501" s="834" t="n">
        <v>0</v>
      </c>
      <c r="X501" s="835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62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16.5" customHeight="1">
      <c r="A502" s="64" t="inlineStr">
        <is>
          <t>SU002219</t>
        </is>
      </c>
      <c r="B502" s="64" t="inlineStr">
        <is>
          <t>P002855</t>
        </is>
      </c>
      <c r="C502" s="37" t="n">
        <v>4301051231</v>
      </c>
      <c r="D502" s="458" t="n">
        <v>4607091383416</v>
      </c>
      <c r="E502" s="798" t="n"/>
      <c r="F502" s="831" t="n">
        <v>1.3</v>
      </c>
      <c r="G502" s="38" t="n">
        <v>6</v>
      </c>
      <c r="H502" s="831" t="n">
        <v>7.8</v>
      </c>
      <c r="I502" s="831" t="n">
        <v>8.346</v>
      </c>
      <c r="J502" s="38" t="n">
        <v>56</v>
      </c>
      <c r="K502" s="38" t="inlineStr">
        <is>
          <t>8</t>
        </is>
      </c>
      <c r="L502" s="39" t="inlineStr">
        <is>
          <t>СК2</t>
        </is>
      </c>
      <c r="M502" s="39" t="n"/>
      <c r="N502" s="38" t="n">
        <v>45</v>
      </c>
      <c r="O502" s="1121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2" s="833" t="n"/>
      <c r="Q502" s="833" t="n"/>
      <c r="R502" s="833" t="n"/>
      <c r="S502" s="798" t="n"/>
      <c r="T502" s="40" t="inlineStr"/>
      <c r="U502" s="40" t="inlineStr"/>
      <c r="V502" s="41" t="inlineStr">
        <is>
          <t>кг</t>
        </is>
      </c>
      <c r="W502" s="834" t="n">
        <v>0</v>
      </c>
      <c r="X502" s="835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63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SU002146</t>
        </is>
      </c>
      <c r="B503" s="64" t="inlineStr">
        <is>
          <t>P002319</t>
        </is>
      </c>
      <c r="C503" s="37" t="n">
        <v>4301051058</v>
      </c>
      <c r="D503" s="458" t="n">
        <v>4680115883536</v>
      </c>
      <c r="E503" s="798" t="n"/>
      <c r="F503" s="831" t="n">
        <v>0.3</v>
      </c>
      <c r="G503" s="38" t="n">
        <v>6</v>
      </c>
      <c r="H503" s="831" t="n">
        <v>1.8</v>
      </c>
      <c r="I503" s="831" t="n">
        <v>2.066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9" t="n"/>
      <c r="N503" s="38" t="n">
        <v>45</v>
      </c>
      <c r="O503" s="1122">
        <f>HYPERLINK("https://abi.ru/products/Охлажденные/Дугушка/Дугушка/Сосиски/P002319/","Сосиски «Молочные Дугушки» ф/в 0,3 амицел ТМ «Дугушка»")</f>
        <v/>
      </c>
      <c r="P503" s="833" t="n"/>
      <c r="Q503" s="833" t="n"/>
      <c r="R503" s="833" t="n"/>
      <c r="S503" s="798" t="n"/>
      <c r="T503" s="40" t="inlineStr"/>
      <c r="U503" s="40" t="inlineStr"/>
      <c r="V503" s="41" t="inlineStr">
        <is>
          <t>кг</t>
        </is>
      </c>
      <c r="W503" s="834" t="n">
        <v>0</v>
      </c>
      <c r="X503" s="835">
        <f>IFERROR(IF(W503="",0,CEILING((W503/$H503),1)*$H503),"")</f>
        <v/>
      </c>
      <c r="Y503" s="42">
        <f>IFERROR(IF(X503=0,"",ROUNDUP(X503/H503,0)*0.00753),"")</f>
        <v/>
      </c>
      <c r="Z503" s="69" t="inlineStr"/>
      <c r="AA503" s="70" t="inlineStr"/>
      <c r="AE503" s="80" t="n"/>
      <c r="BB503" s="364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>
      <c r="A504" s="467" t="n"/>
      <c r="B504" s="785" t="n"/>
      <c r="C504" s="785" t="n"/>
      <c r="D504" s="785" t="n"/>
      <c r="E504" s="785" t="n"/>
      <c r="F504" s="785" t="n"/>
      <c r="G504" s="785" t="n"/>
      <c r="H504" s="785" t="n"/>
      <c r="I504" s="785" t="n"/>
      <c r="J504" s="785" t="n"/>
      <c r="K504" s="785" t="n"/>
      <c r="L504" s="785" t="n"/>
      <c r="M504" s="785" t="n"/>
      <c r="N504" s="837" t="n"/>
      <c r="O504" s="838" t="inlineStr">
        <is>
          <t>Итого</t>
        </is>
      </c>
      <c r="P504" s="805" t="n"/>
      <c r="Q504" s="805" t="n"/>
      <c r="R504" s="805" t="n"/>
      <c r="S504" s="805" t="n"/>
      <c r="T504" s="805" t="n"/>
      <c r="U504" s="806" t="n"/>
      <c r="V504" s="43" t="inlineStr">
        <is>
          <t>кор</t>
        </is>
      </c>
      <c r="W504" s="839">
        <f>IFERROR(W501/H501,"0")+IFERROR(W502/H502,"0")+IFERROR(W503/H503,"0")</f>
        <v/>
      </c>
      <c r="X504" s="839">
        <f>IFERROR(X501/H501,"0")+IFERROR(X502/H502,"0")+IFERROR(X503/H503,"0")</f>
        <v/>
      </c>
      <c r="Y504" s="839">
        <f>IFERROR(IF(Y501="",0,Y501),"0")+IFERROR(IF(Y502="",0,Y502),"0")+IFERROR(IF(Y503="",0,Y503),"0")</f>
        <v/>
      </c>
      <c r="Z504" s="840" t="n"/>
      <c r="AA504" s="840" t="n"/>
    </row>
    <row r="505">
      <c r="A505" s="785" t="n"/>
      <c r="B505" s="785" t="n"/>
      <c r="C505" s="785" t="n"/>
      <c r="D505" s="785" t="n"/>
      <c r="E505" s="785" t="n"/>
      <c r="F505" s="785" t="n"/>
      <c r="G505" s="785" t="n"/>
      <c r="H505" s="785" t="n"/>
      <c r="I505" s="785" t="n"/>
      <c r="J505" s="785" t="n"/>
      <c r="K505" s="785" t="n"/>
      <c r="L505" s="785" t="n"/>
      <c r="M505" s="785" t="n"/>
      <c r="N505" s="837" t="n"/>
      <c r="O505" s="838" t="inlineStr">
        <is>
          <t>Итого</t>
        </is>
      </c>
      <c r="P505" s="805" t="n"/>
      <c r="Q505" s="805" t="n"/>
      <c r="R505" s="805" t="n"/>
      <c r="S505" s="805" t="n"/>
      <c r="T505" s="805" t="n"/>
      <c r="U505" s="806" t="n"/>
      <c r="V505" s="43" t="inlineStr">
        <is>
          <t>кг</t>
        </is>
      </c>
      <c r="W505" s="839">
        <f>IFERROR(SUM(W501:W503),"0")</f>
        <v/>
      </c>
      <c r="X505" s="839">
        <f>IFERROR(SUM(X501:X503),"0")</f>
        <v/>
      </c>
      <c r="Y505" s="43" t="n"/>
      <c r="Z505" s="840" t="n"/>
      <c r="AA505" s="840" t="n"/>
    </row>
    <row r="506" ht="14.25" customHeight="1">
      <c r="A506" s="457" t="inlineStr">
        <is>
          <t>Сардельки</t>
        </is>
      </c>
      <c r="B506" s="785" t="n"/>
      <c r="C506" s="785" t="n"/>
      <c r="D506" s="785" t="n"/>
      <c r="E506" s="785" t="n"/>
      <c r="F506" s="785" t="n"/>
      <c r="G506" s="785" t="n"/>
      <c r="H506" s="785" t="n"/>
      <c r="I506" s="785" t="n"/>
      <c r="J506" s="785" t="n"/>
      <c r="K506" s="785" t="n"/>
      <c r="L506" s="785" t="n"/>
      <c r="M506" s="785" t="n"/>
      <c r="N506" s="785" t="n"/>
      <c r="O506" s="785" t="n"/>
      <c r="P506" s="785" t="n"/>
      <c r="Q506" s="785" t="n"/>
      <c r="R506" s="785" t="n"/>
      <c r="S506" s="785" t="n"/>
      <c r="T506" s="785" t="n"/>
      <c r="U506" s="785" t="n"/>
      <c r="V506" s="785" t="n"/>
      <c r="W506" s="785" t="n"/>
      <c r="X506" s="785" t="n"/>
      <c r="Y506" s="785" t="n"/>
      <c r="Z506" s="457" t="n"/>
      <c r="AA506" s="457" t="n"/>
    </row>
    <row r="507" ht="16.5" customHeight="1">
      <c r="A507" s="64" t="inlineStr">
        <is>
          <t>SU003136</t>
        </is>
      </c>
      <c r="B507" s="64" t="inlineStr">
        <is>
          <t>P003722</t>
        </is>
      </c>
      <c r="C507" s="37" t="n">
        <v>4301060363</v>
      </c>
      <c r="D507" s="458" t="n">
        <v>4680115885035</v>
      </c>
      <c r="E507" s="798" t="n"/>
      <c r="F507" s="831" t="n">
        <v>1</v>
      </c>
      <c r="G507" s="38" t="n">
        <v>4</v>
      </c>
      <c r="H507" s="831" t="n">
        <v>4</v>
      </c>
      <c r="I507" s="831" t="n">
        <v>4.416</v>
      </c>
      <c r="J507" s="38" t="n">
        <v>104</v>
      </c>
      <c r="K507" s="38" t="inlineStr">
        <is>
          <t>8</t>
        </is>
      </c>
      <c r="L507" s="39" t="inlineStr">
        <is>
          <t>СК2</t>
        </is>
      </c>
      <c r="M507" s="39" t="n"/>
      <c r="N507" s="38" t="n">
        <v>35</v>
      </c>
      <c r="O507" s="1123">
        <f>HYPERLINK("https://abi.ru/products/Охлажденные/Дугушка/Дугушка/Сардельки/P003722/","Сардельки «Дугушки» Весовой н/о ТМ «Дугушка»")</f>
        <v/>
      </c>
      <c r="P507" s="833" t="n"/>
      <c r="Q507" s="833" t="n"/>
      <c r="R507" s="833" t="n"/>
      <c r="S507" s="798" t="n"/>
      <c r="T507" s="40" t="inlineStr"/>
      <c r="U507" s="40" t="inlineStr"/>
      <c r="V507" s="41" t="inlineStr">
        <is>
          <t>кг</t>
        </is>
      </c>
      <c r="W507" s="834" t="n">
        <v>0</v>
      </c>
      <c r="X507" s="835">
        <f>IFERROR(IF(W507="",0,CEILING((W507/$H507),1)*$H507),"")</f>
        <v/>
      </c>
      <c r="Y507" s="42">
        <f>IFERROR(IF(X507=0,"",ROUNDUP(X507/H507,0)*0.01196),"")</f>
        <v/>
      </c>
      <c r="Z507" s="69" t="inlineStr"/>
      <c r="AA507" s="70" t="inlineStr"/>
      <c r="AE507" s="80" t="n"/>
      <c r="BB507" s="365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>
      <c r="A508" s="467" t="n"/>
      <c r="B508" s="785" t="n"/>
      <c r="C508" s="785" t="n"/>
      <c r="D508" s="785" t="n"/>
      <c r="E508" s="785" t="n"/>
      <c r="F508" s="785" t="n"/>
      <c r="G508" s="785" t="n"/>
      <c r="H508" s="785" t="n"/>
      <c r="I508" s="785" t="n"/>
      <c r="J508" s="785" t="n"/>
      <c r="K508" s="785" t="n"/>
      <c r="L508" s="785" t="n"/>
      <c r="M508" s="785" t="n"/>
      <c r="N508" s="837" t="n"/>
      <c r="O508" s="838" t="inlineStr">
        <is>
          <t>Итого</t>
        </is>
      </c>
      <c r="P508" s="805" t="n"/>
      <c r="Q508" s="805" t="n"/>
      <c r="R508" s="805" t="n"/>
      <c r="S508" s="805" t="n"/>
      <c r="T508" s="805" t="n"/>
      <c r="U508" s="806" t="n"/>
      <c r="V508" s="43" t="inlineStr">
        <is>
          <t>кор</t>
        </is>
      </c>
      <c r="W508" s="839">
        <f>IFERROR(W507/H507,"0")</f>
        <v/>
      </c>
      <c r="X508" s="839">
        <f>IFERROR(X507/H507,"0")</f>
        <v/>
      </c>
      <c r="Y508" s="839">
        <f>IFERROR(IF(Y507="",0,Y507),"0")</f>
        <v/>
      </c>
      <c r="Z508" s="840" t="n"/>
      <c r="AA508" s="840" t="n"/>
    </row>
    <row r="509">
      <c r="A509" s="785" t="n"/>
      <c r="B509" s="785" t="n"/>
      <c r="C509" s="785" t="n"/>
      <c r="D509" s="785" t="n"/>
      <c r="E509" s="785" t="n"/>
      <c r="F509" s="785" t="n"/>
      <c r="G509" s="785" t="n"/>
      <c r="H509" s="785" t="n"/>
      <c r="I509" s="785" t="n"/>
      <c r="J509" s="785" t="n"/>
      <c r="K509" s="785" t="n"/>
      <c r="L509" s="785" t="n"/>
      <c r="M509" s="785" t="n"/>
      <c r="N509" s="837" t="n"/>
      <c r="O509" s="838" t="inlineStr">
        <is>
          <t>Итого</t>
        </is>
      </c>
      <c r="P509" s="805" t="n"/>
      <c r="Q509" s="805" t="n"/>
      <c r="R509" s="805" t="n"/>
      <c r="S509" s="805" t="n"/>
      <c r="T509" s="805" t="n"/>
      <c r="U509" s="806" t="n"/>
      <c r="V509" s="43" t="inlineStr">
        <is>
          <t>кг</t>
        </is>
      </c>
      <c r="W509" s="839">
        <f>IFERROR(SUM(W507:W507),"0")</f>
        <v/>
      </c>
      <c r="X509" s="839">
        <f>IFERROR(SUM(X507:X507),"0")</f>
        <v/>
      </c>
      <c r="Y509" s="43" t="n"/>
      <c r="Z509" s="840" t="n"/>
      <c r="AA509" s="840" t="n"/>
    </row>
    <row r="510" ht="27.75" customHeight="1">
      <c r="A510" s="455" t="inlineStr">
        <is>
          <t>Зареченские</t>
        </is>
      </c>
      <c r="B510" s="830" t="n"/>
      <c r="C510" s="830" t="n"/>
      <c r="D510" s="830" t="n"/>
      <c r="E510" s="830" t="n"/>
      <c r="F510" s="830" t="n"/>
      <c r="G510" s="830" t="n"/>
      <c r="H510" s="830" t="n"/>
      <c r="I510" s="830" t="n"/>
      <c r="J510" s="830" t="n"/>
      <c r="K510" s="830" t="n"/>
      <c r="L510" s="830" t="n"/>
      <c r="M510" s="830" t="n"/>
      <c r="N510" s="830" t="n"/>
      <c r="O510" s="830" t="n"/>
      <c r="P510" s="830" t="n"/>
      <c r="Q510" s="830" t="n"/>
      <c r="R510" s="830" t="n"/>
      <c r="S510" s="830" t="n"/>
      <c r="T510" s="830" t="n"/>
      <c r="U510" s="830" t="n"/>
      <c r="V510" s="830" t="n"/>
      <c r="W510" s="830" t="n"/>
      <c r="X510" s="830" t="n"/>
      <c r="Y510" s="830" t="n"/>
      <c r="Z510" s="55" t="n"/>
      <c r="AA510" s="55" t="n"/>
    </row>
    <row r="511" ht="16.5" customHeight="1">
      <c r="A511" s="456" t="inlineStr">
        <is>
          <t>Зареченские продукты</t>
        </is>
      </c>
      <c r="B511" s="785" t="n"/>
      <c r="C511" s="785" t="n"/>
      <c r="D511" s="785" t="n"/>
      <c r="E511" s="785" t="n"/>
      <c r="F511" s="785" t="n"/>
      <c r="G511" s="785" t="n"/>
      <c r="H511" s="785" t="n"/>
      <c r="I511" s="785" t="n"/>
      <c r="J511" s="785" t="n"/>
      <c r="K511" s="785" t="n"/>
      <c r="L511" s="785" t="n"/>
      <c r="M511" s="785" t="n"/>
      <c r="N511" s="785" t="n"/>
      <c r="O511" s="785" t="n"/>
      <c r="P511" s="785" t="n"/>
      <c r="Q511" s="785" t="n"/>
      <c r="R511" s="785" t="n"/>
      <c r="S511" s="785" t="n"/>
      <c r="T511" s="785" t="n"/>
      <c r="U511" s="785" t="n"/>
      <c r="V511" s="785" t="n"/>
      <c r="W511" s="785" t="n"/>
      <c r="X511" s="785" t="n"/>
      <c r="Y511" s="785" t="n"/>
      <c r="Z511" s="456" t="n"/>
      <c r="AA511" s="456" t="n"/>
    </row>
    <row r="512" ht="14.25" customHeight="1">
      <c r="A512" s="457" t="inlineStr">
        <is>
          <t>Вареные колбасы</t>
        </is>
      </c>
      <c r="B512" s="785" t="n"/>
      <c r="C512" s="785" t="n"/>
      <c r="D512" s="785" t="n"/>
      <c r="E512" s="785" t="n"/>
      <c r="F512" s="785" t="n"/>
      <c r="G512" s="785" t="n"/>
      <c r="H512" s="785" t="n"/>
      <c r="I512" s="785" t="n"/>
      <c r="J512" s="785" t="n"/>
      <c r="K512" s="785" t="n"/>
      <c r="L512" s="785" t="n"/>
      <c r="M512" s="785" t="n"/>
      <c r="N512" s="785" t="n"/>
      <c r="O512" s="785" t="n"/>
      <c r="P512" s="785" t="n"/>
      <c r="Q512" s="785" t="n"/>
      <c r="R512" s="785" t="n"/>
      <c r="S512" s="785" t="n"/>
      <c r="T512" s="785" t="n"/>
      <c r="U512" s="785" t="n"/>
      <c r="V512" s="785" t="n"/>
      <c r="W512" s="785" t="n"/>
      <c r="X512" s="785" t="n"/>
      <c r="Y512" s="785" t="n"/>
      <c r="Z512" s="457" t="n"/>
      <c r="AA512" s="457" t="n"/>
    </row>
    <row r="513" ht="27" customHeight="1">
      <c r="A513" s="64" t="inlineStr">
        <is>
          <t>SU003290</t>
        </is>
      </c>
      <c r="B513" s="64" t="inlineStr">
        <is>
          <t>P004000</t>
        </is>
      </c>
      <c r="C513" s="37" t="n">
        <v>4301011763</v>
      </c>
      <c r="D513" s="458" t="n">
        <v>4640242181011</v>
      </c>
      <c r="E513" s="798" t="n"/>
      <c r="F513" s="831" t="n">
        <v>1.35</v>
      </c>
      <c r="G513" s="38" t="n">
        <v>8</v>
      </c>
      <c r="H513" s="831" t="n">
        <v>10.8</v>
      </c>
      <c r="I513" s="831" t="n">
        <v>11.28</v>
      </c>
      <c r="J513" s="38" t="n">
        <v>56</v>
      </c>
      <c r="K513" s="38" t="inlineStr">
        <is>
          <t>8</t>
        </is>
      </c>
      <c r="L513" s="39" t="inlineStr">
        <is>
          <t>СК3</t>
        </is>
      </c>
      <c r="M513" s="39" t="n"/>
      <c r="N513" s="38" t="n">
        <v>55</v>
      </c>
      <c r="O513" s="1124" t="inlineStr">
        <is>
          <t>Вареные колбасы «Молочная» Весовой п/а ТМ «Зареченские»</t>
        </is>
      </c>
      <c r="P513" s="833" t="n"/>
      <c r="Q513" s="833" t="n"/>
      <c r="R513" s="833" t="n"/>
      <c r="S513" s="798" t="n"/>
      <c r="T513" s="40" t="inlineStr"/>
      <c r="U513" s="40" t="inlineStr"/>
      <c r="V513" s="41" t="inlineStr">
        <is>
          <t>кг</t>
        </is>
      </c>
      <c r="W513" s="834" t="n">
        <v>0</v>
      </c>
      <c r="X513" s="835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6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SU002963</t>
        </is>
      </c>
      <c r="B514" s="64" t="inlineStr">
        <is>
          <t>P004322</t>
        </is>
      </c>
      <c r="C514" s="37" t="n">
        <v>4301011951</v>
      </c>
      <c r="D514" s="458" t="n">
        <v>4640242180045</v>
      </c>
      <c r="E514" s="798" t="n"/>
      <c r="F514" s="831" t="n">
        <v>1.35</v>
      </c>
      <c r="G514" s="38" t="n">
        <v>8</v>
      </c>
      <c r="H514" s="831" t="n">
        <v>10.8</v>
      </c>
      <c r="I514" s="831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55</v>
      </c>
      <c r="O514" s="1125" t="inlineStr">
        <is>
          <t>Вареные колбасы «Молочная классическая» Весовой п/а ТМ «Зареченские» HR</t>
        </is>
      </c>
      <c r="P514" s="833" t="n"/>
      <c r="Q514" s="833" t="n"/>
      <c r="R514" s="833" t="n"/>
      <c r="S514" s="798" t="n"/>
      <c r="T514" s="40" t="inlineStr"/>
      <c r="U514" s="40" t="inlineStr"/>
      <c r="V514" s="41" t="inlineStr">
        <is>
          <t>кг</t>
        </is>
      </c>
      <c r="W514" s="834" t="n">
        <v>0</v>
      </c>
      <c r="X514" s="835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67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SU002807</t>
        </is>
      </c>
      <c r="B515" s="64" t="inlineStr">
        <is>
          <t>P003583</t>
        </is>
      </c>
      <c r="C515" s="37" t="n">
        <v>4301011585</v>
      </c>
      <c r="D515" s="458" t="n">
        <v>4640242180441</v>
      </c>
      <c r="E515" s="798" t="n"/>
      <c r="F515" s="831" t="n">
        <v>1.5</v>
      </c>
      <c r="G515" s="38" t="n">
        <v>8</v>
      </c>
      <c r="H515" s="831" t="n">
        <v>12</v>
      </c>
      <c r="I515" s="831" t="n">
        <v>12.48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26" t="inlineStr">
        <is>
          <t>Вареные колбасы «Муромская» Весовой п/а ТМ «Зареченские»</t>
        </is>
      </c>
      <c r="P515" s="833" t="n"/>
      <c r="Q515" s="833" t="n"/>
      <c r="R515" s="833" t="n"/>
      <c r="S515" s="798" t="n"/>
      <c r="T515" s="40" t="inlineStr"/>
      <c r="U515" s="40" t="inlineStr"/>
      <c r="V515" s="41" t="inlineStr">
        <is>
          <t>кг</t>
        </is>
      </c>
      <c r="W515" s="834" t="n">
        <v>0</v>
      </c>
      <c r="X515" s="835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8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SU003055</t>
        </is>
      </c>
      <c r="B516" s="64" t="inlineStr">
        <is>
          <t>P004323</t>
        </is>
      </c>
      <c r="C516" s="37" t="n">
        <v>4301011950</v>
      </c>
      <c r="D516" s="458" t="n">
        <v>4640242180601</v>
      </c>
      <c r="E516" s="798" t="n"/>
      <c r="F516" s="831" t="n">
        <v>1.35</v>
      </c>
      <c r="G516" s="38" t="n">
        <v>8</v>
      </c>
      <c r="H516" s="831" t="n">
        <v>10.8</v>
      </c>
      <c r="I516" s="831" t="n">
        <v>11.28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55</v>
      </c>
      <c r="O516" s="1127" t="inlineStr">
        <is>
          <t>Вареные колбасы «Мясная со шпиком» Весовой п/а ТМ «Зареченские» HR</t>
        </is>
      </c>
      <c r="P516" s="833" t="n"/>
      <c r="Q516" s="833" t="n"/>
      <c r="R516" s="833" t="n"/>
      <c r="S516" s="798" t="n"/>
      <c r="T516" s="40" t="inlineStr"/>
      <c r="U516" s="40" t="inlineStr"/>
      <c r="V516" s="41" t="inlineStr">
        <is>
          <t>кг</t>
        </is>
      </c>
      <c r="W516" s="834" t="n">
        <v>0</v>
      </c>
      <c r="X516" s="835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9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SU002808</t>
        </is>
      </c>
      <c r="B517" s="64" t="inlineStr">
        <is>
          <t>P003582</t>
        </is>
      </c>
      <c r="C517" s="37" t="n">
        <v>4301011584</v>
      </c>
      <c r="D517" s="458" t="n">
        <v>4640242180564</v>
      </c>
      <c r="E517" s="798" t="n"/>
      <c r="F517" s="831" t="n">
        <v>1.5</v>
      </c>
      <c r="G517" s="38" t="n">
        <v>8</v>
      </c>
      <c r="H517" s="831" t="n">
        <v>12</v>
      </c>
      <c r="I517" s="831" t="n">
        <v>12.48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50</v>
      </c>
      <c r="O517" s="1128" t="inlineStr">
        <is>
          <t>Вареные колбасы «Нежная» НТУ Весовые П/а ТМ «Зареченские»</t>
        </is>
      </c>
      <c r="P517" s="833" t="n"/>
      <c r="Q517" s="833" t="n"/>
      <c r="R517" s="833" t="n"/>
      <c r="S517" s="798" t="n"/>
      <c r="T517" s="40" t="inlineStr"/>
      <c r="U517" s="40" t="inlineStr"/>
      <c r="V517" s="41" t="inlineStr">
        <is>
          <t>кг</t>
        </is>
      </c>
      <c r="W517" s="834" t="n">
        <v>0</v>
      </c>
      <c r="X517" s="835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70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SU003289</t>
        </is>
      </c>
      <c r="B518" s="64" t="inlineStr">
        <is>
          <t>P003999</t>
        </is>
      </c>
      <c r="C518" s="37" t="n">
        <v>4301011762</v>
      </c>
      <c r="D518" s="458" t="n">
        <v>4640242180922</v>
      </c>
      <c r="E518" s="798" t="n"/>
      <c r="F518" s="831" t="n">
        <v>1.35</v>
      </c>
      <c r="G518" s="38" t="n">
        <v>8</v>
      </c>
      <c r="H518" s="831" t="n">
        <v>10.8</v>
      </c>
      <c r="I518" s="831" t="n">
        <v>11.28</v>
      </c>
      <c r="J518" s="38" t="n">
        <v>56</v>
      </c>
      <c r="K518" s="38" t="inlineStr">
        <is>
          <t>8</t>
        </is>
      </c>
      <c r="L518" s="39" t="inlineStr">
        <is>
          <t>СК1</t>
        </is>
      </c>
      <c r="M518" s="39" t="n"/>
      <c r="N518" s="38" t="n">
        <v>55</v>
      </c>
      <c r="O518" s="1129" t="inlineStr">
        <is>
          <t>Вареные колбасы «Нежная со шпиком» Весовой п/а ТМ «Зареченские»</t>
        </is>
      </c>
      <c r="P518" s="833" t="n"/>
      <c r="Q518" s="833" t="n"/>
      <c r="R518" s="833" t="n"/>
      <c r="S518" s="798" t="n"/>
      <c r="T518" s="40" t="inlineStr"/>
      <c r="U518" s="40" t="inlineStr"/>
      <c r="V518" s="41" t="inlineStr">
        <is>
          <t>кг</t>
        </is>
      </c>
      <c r="W518" s="834" t="n">
        <v>0</v>
      </c>
      <c r="X518" s="835">
        <f>IFERROR(IF(W518="",0,CEILING((W518/$H518),1)*$H518),"")</f>
        <v/>
      </c>
      <c r="Y518" s="42">
        <f>IFERROR(IF(X518=0,"",ROUNDUP(X518/H518,0)*0.02175),"")</f>
        <v/>
      </c>
      <c r="Z518" s="69" t="inlineStr"/>
      <c r="AA518" s="70" t="inlineStr"/>
      <c r="AE518" s="80" t="n"/>
      <c r="BB518" s="371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SU003296</t>
        </is>
      </c>
      <c r="B519" s="64" t="inlineStr">
        <is>
          <t>P004002</t>
        </is>
      </c>
      <c r="C519" s="37" t="n">
        <v>4301011764</v>
      </c>
      <c r="D519" s="458" t="n">
        <v>4640242181189</v>
      </c>
      <c r="E519" s="798" t="n"/>
      <c r="F519" s="831" t="n">
        <v>0.4</v>
      </c>
      <c r="G519" s="38" t="n">
        <v>10</v>
      </c>
      <c r="H519" s="831" t="n">
        <v>4</v>
      </c>
      <c r="I519" s="831" t="n">
        <v>4.24</v>
      </c>
      <c r="J519" s="38" t="n">
        <v>120</v>
      </c>
      <c r="K519" s="38" t="inlineStr">
        <is>
          <t>12</t>
        </is>
      </c>
      <c r="L519" s="39" t="inlineStr">
        <is>
          <t>СК3</t>
        </is>
      </c>
      <c r="M519" s="39" t="n"/>
      <c r="N519" s="38" t="n">
        <v>55</v>
      </c>
      <c r="O519" s="1130" t="inlineStr">
        <is>
          <t>Вареные колбасы «Молочная» Фикс.вес 0,4 п/а ТМ «Зареченские»</t>
        </is>
      </c>
      <c r="P519" s="833" t="n"/>
      <c r="Q519" s="833" t="n"/>
      <c r="R519" s="833" t="n"/>
      <c r="S519" s="798" t="n"/>
      <c r="T519" s="40" t="inlineStr"/>
      <c r="U519" s="40" t="inlineStr"/>
      <c r="V519" s="41" t="inlineStr">
        <is>
          <t>кг</t>
        </is>
      </c>
      <c r="W519" s="834" t="n">
        <v>0</v>
      </c>
      <c r="X519" s="835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2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SU002974</t>
        </is>
      </c>
      <c r="B520" s="64" t="inlineStr">
        <is>
          <t>P003426</t>
        </is>
      </c>
      <c r="C520" s="37" t="n">
        <v>4301011551</v>
      </c>
      <c r="D520" s="458" t="n">
        <v>4640242180038</v>
      </c>
      <c r="E520" s="798" t="n"/>
      <c r="F520" s="831" t="n">
        <v>0.4</v>
      </c>
      <c r="G520" s="38" t="n">
        <v>10</v>
      </c>
      <c r="H520" s="831" t="n">
        <v>4</v>
      </c>
      <c r="I520" s="831" t="n">
        <v>4.24</v>
      </c>
      <c r="J520" s="38" t="n">
        <v>120</v>
      </c>
      <c r="K520" s="38" t="inlineStr">
        <is>
          <t>12</t>
        </is>
      </c>
      <c r="L520" s="39" t="inlineStr">
        <is>
          <t>СК1</t>
        </is>
      </c>
      <c r="M520" s="39" t="n"/>
      <c r="N520" s="38" t="n">
        <v>50</v>
      </c>
      <c r="O520" s="1131" t="inlineStr">
        <is>
          <t>Вареные колбасы «Нежная» ф/в 0,4 п/а ТМ «Зареченские»</t>
        </is>
      </c>
      <c r="P520" s="833" t="n"/>
      <c r="Q520" s="833" t="n"/>
      <c r="R520" s="833" t="n"/>
      <c r="S520" s="798" t="n"/>
      <c r="T520" s="40" t="inlineStr"/>
      <c r="U520" s="40" t="inlineStr"/>
      <c r="V520" s="41" t="inlineStr">
        <is>
          <t>кг</t>
        </is>
      </c>
      <c r="W520" s="834" t="n">
        <v>0</v>
      </c>
      <c r="X520" s="835">
        <f>IFERROR(IF(W520="",0,CEILING((W520/$H520),1)*$H520),"")</f>
        <v/>
      </c>
      <c r="Y520" s="42">
        <f>IFERROR(IF(X520=0,"",ROUNDUP(X520/H520,0)*0.00937),"")</f>
        <v/>
      </c>
      <c r="Z520" s="69" t="inlineStr"/>
      <c r="AA520" s="70" t="inlineStr"/>
      <c r="AE520" s="80" t="n"/>
      <c r="BB520" s="373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 ht="27" customHeight="1">
      <c r="A521" s="64" t="inlineStr">
        <is>
          <t>SU003295</t>
        </is>
      </c>
      <c r="B521" s="64" t="inlineStr">
        <is>
          <t>P004004</t>
        </is>
      </c>
      <c r="C521" s="37" t="n">
        <v>4301011765</v>
      </c>
      <c r="D521" s="458" t="n">
        <v>4640242181172</v>
      </c>
      <c r="E521" s="798" t="n"/>
      <c r="F521" s="831" t="n">
        <v>0.4</v>
      </c>
      <c r="G521" s="38" t="n">
        <v>10</v>
      </c>
      <c r="H521" s="831" t="n">
        <v>4</v>
      </c>
      <c r="I521" s="831" t="n">
        <v>4.24</v>
      </c>
      <c r="J521" s="38" t="n">
        <v>120</v>
      </c>
      <c r="K521" s="38" t="inlineStr">
        <is>
          <t>12</t>
        </is>
      </c>
      <c r="L521" s="39" t="inlineStr">
        <is>
          <t>СК1</t>
        </is>
      </c>
      <c r="M521" s="39" t="n"/>
      <c r="N521" s="38" t="n">
        <v>55</v>
      </c>
      <c r="O521" s="1132" t="inlineStr">
        <is>
          <t>Вареные колбасы «Нежная со шпиком» Фикс.вес 0,4 п/а ТМ «Зареченские»</t>
        </is>
      </c>
      <c r="P521" s="833" t="n"/>
      <c r="Q521" s="833" t="n"/>
      <c r="R521" s="833" t="n"/>
      <c r="S521" s="798" t="n"/>
      <c r="T521" s="40" t="inlineStr"/>
      <c r="U521" s="40" t="inlineStr"/>
      <c r="V521" s="41" t="inlineStr">
        <is>
          <t>кг</t>
        </is>
      </c>
      <c r="W521" s="834" t="n">
        <v>0</v>
      </c>
      <c r="X521" s="835">
        <f>IFERROR(IF(W521="",0,CEILING((W521/$H521),1)*$H521),"")</f>
        <v/>
      </c>
      <c r="Y521" s="42">
        <f>IFERROR(IF(X521=0,"",ROUNDUP(X521/H521,0)*0.00937),"")</f>
        <v/>
      </c>
      <c r="Z521" s="69" t="inlineStr"/>
      <c r="AA521" s="70" t="inlineStr"/>
      <c r="AE521" s="80" t="n"/>
      <c r="BB521" s="374" t="inlineStr">
        <is>
          <t>КИ</t>
        </is>
      </c>
      <c r="BL521" s="80">
        <f>IFERROR(W521*I521/H521,"0")</f>
        <v/>
      </c>
      <c r="BM521" s="80">
        <f>IFERROR(X521*I521/H521,"0")</f>
        <v/>
      </c>
      <c r="BN521" s="80">
        <f>IFERROR(1/J521*(W521/H521),"0")</f>
        <v/>
      </c>
      <c r="BO521" s="80">
        <f>IFERROR(1/J521*(X521/H521),"0")</f>
        <v/>
      </c>
    </row>
    <row r="522">
      <c r="A522" s="467" t="n"/>
      <c r="B522" s="785" t="n"/>
      <c r="C522" s="785" t="n"/>
      <c r="D522" s="785" t="n"/>
      <c r="E522" s="785" t="n"/>
      <c r="F522" s="785" t="n"/>
      <c r="G522" s="785" t="n"/>
      <c r="H522" s="785" t="n"/>
      <c r="I522" s="785" t="n"/>
      <c r="J522" s="785" t="n"/>
      <c r="K522" s="785" t="n"/>
      <c r="L522" s="785" t="n"/>
      <c r="M522" s="785" t="n"/>
      <c r="N522" s="837" t="n"/>
      <c r="O522" s="838" t="inlineStr">
        <is>
          <t>Итого</t>
        </is>
      </c>
      <c r="P522" s="805" t="n"/>
      <c r="Q522" s="805" t="n"/>
      <c r="R522" s="805" t="n"/>
      <c r="S522" s="805" t="n"/>
      <c r="T522" s="805" t="n"/>
      <c r="U522" s="806" t="n"/>
      <c r="V522" s="43" t="inlineStr">
        <is>
          <t>кор</t>
        </is>
      </c>
      <c r="W522" s="839">
        <f>IFERROR(W513/H513,"0")+IFERROR(W514/H514,"0")+IFERROR(W515/H515,"0")+IFERROR(W516/H516,"0")+IFERROR(W517/H517,"0")+IFERROR(W518/H518,"0")+IFERROR(W519/H519,"0")+IFERROR(W520/H520,"0")+IFERROR(W521/H521,"0")</f>
        <v/>
      </c>
      <c r="X522" s="839">
        <f>IFERROR(X513/H513,"0")+IFERROR(X514/H514,"0")+IFERROR(X515/H515,"0")+IFERROR(X516/H516,"0")+IFERROR(X517/H517,"0")+IFERROR(X518/H518,"0")+IFERROR(X519/H519,"0")+IFERROR(X520/H520,"0")+IFERROR(X521/H521,"0")</f>
        <v/>
      </c>
      <c r="Y522" s="839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/>
      </c>
      <c r="Z522" s="840" t="n"/>
      <c r="AA522" s="840" t="n"/>
    </row>
    <row r="523">
      <c r="A523" s="785" t="n"/>
      <c r="B523" s="785" t="n"/>
      <c r="C523" s="785" t="n"/>
      <c r="D523" s="785" t="n"/>
      <c r="E523" s="785" t="n"/>
      <c r="F523" s="785" t="n"/>
      <c r="G523" s="785" t="n"/>
      <c r="H523" s="785" t="n"/>
      <c r="I523" s="785" t="n"/>
      <c r="J523" s="785" t="n"/>
      <c r="K523" s="785" t="n"/>
      <c r="L523" s="785" t="n"/>
      <c r="M523" s="785" t="n"/>
      <c r="N523" s="837" t="n"/>
      <c r="O523" s="838" t="inlineStr">
        <is>
          <t>Итого</t>
        </is>
      </c>
      <c r="P523" s="805" t="n"/>
      <c r="Q523" s="805" t="n"/>
      <c r="R523" s="805" t="n"/>
      <c r="S523" s="805" t="n"/>
      <c r="T523" s="805" t="n"/>
      <c r="U523" s="806" t="n"/>
      <c r="V523" s="43" t="inlineStr">
        <is>
          <t>кг</t>
        </is>
      </c>
      <c r="W523" s="839">
        <f>IFERROR(SUM(W513:W521),"0")</f>
        <v/>
      </c>
      <c r="X523" s="839">
        <f>IFERROR(SUM(X513:X521),"0")</f>
        <v/>
      </c>
      <c r="Y523" s="43" t="n"/>
      <c r="Z523" s="840" t="n"/>
      <c r="AA523" s="840" t="n"/>
    </row>
    <row r="524" ht="14.25" customHeight="1">
      <c r="A524" s="457" t="inlineStr">
        <is>
          <t>Ветчины</t>
        </is>
      </c>
      <c r="B524" s="785" t="n"/>
      <c r="C524" s="785" t="n"/>
      <c r="D524" s="785" t="n"/>
      <c r="E524" s="785" t="n"/>
      <c r="F524" s="785" t="n"/>
      <c r="G524" s="785" t="n"/>
      <c r="H524" s="785" t="n"/>
      <c r="I524" s="785" t="n"/>
      <c r="J524" s="785" t="n"/>
      <c r="K524" s="785" t="n"/>
      <c r="L524" s="785" t="n"/>
      <c r="M524" s="785" t="n"/>
      <c r="N524" s="785" t="n"/>
      <c r="O524" s="785" t="n"/>
      <c r="P524" s="785" t="n"/>
      <c r="Q524" s="785" t="n"/>
      <c r="R524" s="785" t="n"/>
      <c r="S524" s="785" t="n"/>
      <c r="T524" s="785" t="n"/>
      <c r="U524" s="785" t="n"/>
      <c r="V524" s="785" t="n"/>
      <c r="W524" s="785" t="n"/>
      <c r="X524" s="785" t="n"/>
      <c r="Y524" s="785" t="n"/>
      <c r="Z524" s="457" t="n"/>
      <c r="AA524" s="457" t="n"/>
    </row>
    <row r="525" ht="27" customHeight="1">
      <c r="A525" s="64" t="inlineStr">
        <is>
          <t>SU002811</t>
        </is>
      </c>
      <c r="B525" s="64" t="inlineStr">
        <is>
          <t>P003588</t>
        </is>
      </c>
      <c r="C525" s="37" t="n">
        <v>4301020260</v>
      </c>
      <c r="D525" s="458" t="n">
        <v>4640242180526</v>
      </c>
      <c r="E525" s="798" t="n"/>
      <c r="F525" s="831" t="n">
        <v>1.8</v>
      </c>
      <c r="G525" s="38" t="n">
        <v>6</v>
      </c>
      <c r="H525" s="831" t="n">
        <v>10.8</v>
      </c>
      <c r="I525" s="831" t="n">
        <v>11.28</v>
      </c>
      <c r="J525" s="38" t="n">
        <v>56</v>
      </c>
      <c r="K525" s="38" t="inlineStr">
        <is>
          <t>8</t>
        </is>
      </c>
      <c r="L525" s="39" t="inlineStr">
        <is>
          <t>СК1</t>
        </is>
      </c>
      <c r="M525" s="39" t="n"/>
      <c r="N525" s="38" t="n">
        <v>50</v>
      </c>
      <c r="O525" s="1133" t="inlineStr">
        <is>
          <t>Ветчины «Нежная» Весовой п/а ТМ «Зареченские» большой батон</t>
        </is>
      </c>
      <c r="P525" s="833" t="n"/>
      <c r="Q525" s="833" t="n"/>
      <c r="R525" s="833" t="n"/>
      <c r="S525" s="798" t="n"/>
      <c r="T525" s="40" t="inlineStr"/>
      <c r="U525" s="40" t="inlineStr"/>
      <c r="V525" s="41" t="inlineStr">
        <is>
          <t>кг</t>
        </is>
      </c>
      <c r="W525" s="834" t="n">
        <v>0</v>
      </c>
      <c r="X525" s="835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5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16.5" customHeight="1">
      <c r="A526" s="64" t="inlineStr">
        <is>
          <t>SU002806</t>
        </is>
      </c>
      <c r="B526" s="64" t="inlineStr">
        <is>
          <t>P003591</t>
        </is>
      </c>
      <c r="C526" s="37" t="n">
        <v>4301020269</v>
      </c>
      <c r="D526" s="458" t="n">
        <v>4640242180519</v>
      </c>
      <c r="E526" s="798" t="n"/>
      <c r="F526" s="831" t="n">
        <v>1.35</v>
      </c>
      <c r="G526" s="38" t="n">
        <v>8</v>
      </c>
      <c r="H526" s="831" t="n">
        <v>10.8</v>
      </c>
      <c r="I526" s="831" t="n">
        <v>11.28</v>
      </c>
      <c r="J526" s="38" t="n">
        <v>56</v>
      </c>
      <c r="K526" s="38" t="inlineStr">
        <is>
          <t>8</t>
        </is>
      </c>
      <c r="L526" s="39" t="inlineStr">
        <is>
          <t>СК3</t>
        </is>
      </c>
      <c r="M526" s="39" t="n"/>
      <c r="N526" s="38" t="n">
        <v>50</v>
      </c>
      <c r="O526" s="1134" t="inlineStr">
        <is>
          <t>Ветчины «Нежная» Весовой п/а ТМ «Зареченские»</t>
        </is>
      </c>
      <c r="P526" s="833" t="n"/>
      <c r="Q526" s="833" t="n"/>
      <c r="R526" s="833" t="n"/>
      <c r="S526" s="798" t="n"/>
      <c r="T526" s="40" t="inlineStr"/>
      <c r="U526" s="40" t="inlineStr"/>
      <c r="V526" s="41" t="inlineStr">
        <is>
          <t>кг</t>
        </is>
      </c>
      <c r="W526" s="834" t="n">
        <v>0</v>
      </c>
      <c r="X526" s="835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6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SU003398</t>
        </is>
      </c>
      <c r="B527" s="64" t="inlineStr">
        <is>
          <t>P004217</t>
        </is>
      </c>
      <c r="C527" s="37" t="n">
        <v>4301020309</v>
      </c>
      <c r="D527" s="458" t="n">
        <v>4640242180090</v>
      </c>
      <c r="E527" s="798" t="n"/>
      <c r="F527" s="831" t="n">
        <v>1.35</v>
      </c>
      <c r="G527" s="38" t="n">
        <v>8</v>
      </c>
      <c r="H527" s="831" t="n">
        <v>10.8</v>
      </c>
      <c r="I527" s="831" t="n">
        <v>11.28</v>
      </c>
      <c r="J527" s="38" t="n">
        <v>56</v>
      </c>
      <c r="K527" s="38" t="inlineStr">
        <is>
          <t>8</t>
        </is>
      </c>
      <c r="L527" s="39" t="inlineStr">
        <is>
          <t>СК1</t>
        </is>
      </c>
      <c r="M527" s="39" t="n"/>
      <c r="N527" s="38" t="n">
        <v>50</v>
      </c>
      <c r="O527" s="1135" t="inlineStr">
        <is>
          <t>Ветчины «Рубленая» Весовой п/а ТМ «Зареченские»</t>
        </is>
      </c>
      <c r="P527" s="833" t="n"/>
      <c r="Q527" s="833" t="n"/>
      <c r="R527" s="833" t="n"/>
      <c r="S527" s="798" t="n"/>
      <c r="T527" s="40" t="inlineStr"/>
      <c r="U527" s="40" t="inlineStr"/>
      <c r="V527" s="41" t="inlineStr">
        <is>
          <t>кг</t>
        </is>
      </c>
      <c r="W527" s="834" t="n">
        <v>0</v>
      </c>
      <c r="X527" s="835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7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SU002967</t>
        </is>
      </c>
      <c r="B528" s="64" t="inlineStr">
        <is>
          <t>P004317</t>
        </is>
      </c>
      <c r="C528" s="37" t="n">
        <v>4301020314</v>
      </c>
      <c r="D528" s="458" t="n">
        <v>4640242180090</v>
      </c>
      <c r="E528" s="798" t="n"/>
      <c r="F528" s="831" t="n">
        <v>1.35</v>
      </c>
      <c r="G528" s="38" t="n">
        <v>8</v>
      </c>
      <c r="H528" s="831" t="n">
        <v>10.8</v>
      </c>
      <c r="I528" s="831" t="n">
        <v>11.28</v>
      </c>
      <c r="J528" s="38" t="n">
        <v>56</v>
      </c>
      <c r="K528" s="38" t="inlineStr">
        <is>
          <t>8</t>
        </is>
      </c>
      <c r="L528" s="39" t="inlineStr">
        <is>
          <t>СК1</t>
        </is>
      </c>
      <c r="M528" s="39" t="n"/>
      <c r="N528" s="38" t="n">
        <v>50</v>
      </c>
      <c r="O528" s="1136" t="inlineStr">
        <is>
          <t>Ветчины «Рубленая» Весовой п/а ТМ «Зареченские» НТУ HR</t>
        </is>
      </c>
      <c r="P528" s="833" t="n"/>
      <c r="Q528" s="833" t="n"/>
      <c r="R528" s="833" t="n"/>
      <c r="S528" s="798" t="n"/>
      <c r="T528" s="40" t="inlineStr"/>
      <c r="U528" s="40" t="inlineStr"/>
      <c r="V528" s="41" t="inlineStr">
        <is>
          <t>кг</t>
        </is>
      </c>
      <c r="W528" s="834" t="n">
        <v>0</v>
      </c>
      <c r="X528" s="835">
        <f>IFERROR(IF(W528="",0,CEILING((W528/$H528),1)*$H528),"")</f>
        <v/>
      </c>
      <c r="Y528" s="42">
        <f>IFERROR(IF(X528=0,"",ROUNDUP(X528/H528,0)*0.02175),"")</f>
        <v/>
      </c>
      <c r="Z528" s="69" t="inlineStr"/>
      <c r="AA528" s="70" t="inlineStr"/>
      <c r="AE528" s="80" t="n"/>
      <c r="BB528" s="378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 ht="27" customHeight="1">
      <c r="A529" s="64" t="inlineStr">
        <is>
          <t>SU003298</t>
        </is>
      </c>
      <c r="B529" s="64" t="inlineStr">
        <is>
          <t>P004003</t>
        </is>
      </c>
      <c r="C529" s="37" t="n">
        <v>4301020295</v>
      </c>
      <c r="D529" s="458" t="n">
        <v>4640242181363</v>
      </c>
      <c r="E529" s="798" t="n"/>
      <c r="F529" s="831" t="n">
        <v>0.4</v>
      </c>
      <c r="G529" s="38" t="n">
        <v>10</v>
      </c>
      <c r="H529" s="831" t="n">
        <v>4</v>
      </c>
      <c r="I529" s="831" t="n">
        <v>4.24</v>
      </c>
      <c r="J529" s="38" t="n">
        <v>120</v>
      </c>
      <c r="K529" s="38" t="inlineStr">
        <is>
          <t>12</t>
        </is>
      </c>
      <c r="L529" s="39" t="inlineStr">
        <is>
          <t>СК1</t>
        </is>
      </c>
      <c r="M529" s="39" t="n"/>
      <c r="N529" s="38" t="n">
        <v>50</v>
      </c>
      <c r="O529" s="1137" t="inlineStr">
        <is>
          <t>Ветчины «Рубленая» Фикс.вес 0,4 п/а ТМ «Зареченские»</t>
        </is>
      </c>
      <c r="P529" s="833" t="n"/>
      <c r="Q529" s="833" t="n"/>
      <c r="R529" s="833" t="n"/>
      <c r="S529" s="798" t="n"/>
      <c r="T529" s="40" t="inlineStr"/>
      <c r="U529" s="40" t="inlineStr"/>
      <c r="V529" s="41" t="inlineStr">
        <is>
          <t>кг</t>
        </is>
      </c>
      <c r="W529" s="834" t="n">
        <v>0</v>
      </c>
      <c r="X529" s="835">
        <f>IFERROR(IF(W529="",0,CEILING((W529/$H529),1)*$H529),"")</f>
        <v/>
      </c>
      <c r="Y529" s="42">
        <f>IFERROR(IF(X529=0,"",ROUNDUP(X529/H529,0)*0.00937),"")</f>
        <v/>
      </c>
      <c r="Z529" s="69" t="inlineStr"/>
      <c r="AA529" s="70" t="inlineStr"/>
      <c r="AE529" s="80" t="n"/>
      <c r="BB529" s="379" t="inlineStr">
        <is>
          <t>КИ</t>
        </is>
      </c>
      <c r="BL529" s="80">
        <f>IFERROR(W529*I529/H529,"0")</f>
        <v/>
      </c>
      <c r="BM529" s="80">
        <f>IFERROR(X529*I529/H529,"0")</f>
        <v/>
      </c>
      <c r="BN529" s="80">
        <f>IFERROR(1/J529*(W529/H529),"0")</f>
        <v/>
      </c>
      <c r="BO529" s="80">
        <f>IFERROR(1/J529*(X529/H529),"0")</f>
        <v/>
      </c>
    </row>
    <row r="530">
      <c r="A530" s="467" t="n"/>
      <c r="B530" s="785" t="n"/>
      <c r="C530" s="785" t="n"/>
      <c r="D530" s="785" t="n"/>
      <c r="E530" s="785" t="n"/>
      <c r="F530" s="785" t="n"/>
      <c r="G530" s="785" t="n"/>
      <c r="H530" s="785" t="n"/>
      <c r="I530" s="785" t="n"/>
      <c r="J530" s="785" t="n"/>
      <c r="K530" s="785" t="n"/>
      <c r="L530" s="785" t="n"/>
      <c r="M530" s="785" t="n"/>
      <c r="N530" s="837" t="n"/>
      <c r="O530" s="838" t="inlineStr">
        <is>
          <t>Итого</t>
        </is>
      </c>
      <c r="P530" s="805" t="n"/>
      <c r="Q530" s="805" t="n"/>
      <c r="R530" s="805" t="n"/>
      <c r="S530" s="805" t="n"/>
      <c r="T530" s="805" t="n"/>
      <c r="U530" s="806" t="n"/>
      <c r="V530" s="43" t="inlineStr">
        <is>
          <t>кор</t>
        </is>
      </c>
      <c r="W530" s="839">
        <f>IFERROR(W525/H525,"0")+IFERROR(W526/H526,"0")+IFERROR(W527/H527,"0")+IFERROR(W528/H528,"0")+IFERROR(W529/H529,"0")</f>
        <v/>
      </c>
      <c r="X530" s="839">
        <f>IFERROR(X525/H525,"0")+IFERROR(X526/H526,"0")+IFERROR(X527/H527,"0")+IFERROR(X528/H528,"0")+IFERROR(X529/H529,"0")</f>
        <v/>
      </c>
      <c r="Y530" s="839">
        <f>IFERROR(IF(Y525="",0,Y525),"0")+IFERROR(IF(Y526="",0,Y526),"0")+IFERROR(IF(Y527="",0,Y527),"0")+IFERROR(IF(Y528="",0,Y528),"0")+IFERROR(IF(Y529="",0,Y529),"0")</f>
        <v/>
      </c>
      <c r="Z530" s="840" t="n"/>
      <c r="AA530" s="840" t="n"/>
    </row>
    <row r="531">
      <c r="A531" s="785" t="n"/>
      <c r="B531" s="785" t="n"/>
      <c r="C531" s="785" t="n"/>
      <c r="D531" s="785" t="n"/>
      <c r="E531" s="785" t="n"/>
      <c r="F531" s="785" t="n"/>
      <c r="G531" s="785" t="n"/>
      <c r="H531" s="785" t="n"/>
      <c r="I531" s="785" t="n"/>
      <c r="J531" s="785" t="n"/>
      <c r="K531" s="785" t="n"/>
      <c r="L531" s="785" t="n"/>
      <c r="M531" s="785" t="n"/>
      <c r="N531" s="837" t="n"/>
      <c r="O531" s="838" t="inlineStr">
        <is>
          <t>Итого</t>
        </is>
      </c>
      <c r="P531" s="805" t="n"/>
      <c r="Q531" s="805" t="n"/>
      <c r="R531" s="805" t="n"/>
      <c r="S531" s="805" t="n"/>
      <c r="T531" s="805" t="n"/>
      <c r="U531" s="806" t="n"/>
      <c r="V531" s="43" t="inlineStr">
        <is>
          <t>кг</t>
        </is>
      </c>
      <c r="W531" s="839">
        <f>IFERROR(SUM(W525:W529),"0")</f>
        <v/>
      </c>
      <c r="X531" s="839">
        <f>IFERROR(SUM(X525:X529),"0")</f>
        <v/>
      </c>
      <c r="Y531" s="43" t="n"/>
      <c r="Z531" s="840" t="n"/>
      <c r="AA531" s="840" t="n"/>
    </row>
    <row r="532" ht="14.25" customHeight="1">
      <c r="A532" s="457" t="inlineStr">
        <is>
          <t>Копченые колбасы</t>
        </is>
      </c>
      <c r="B532" s="785" t="n"/>
      <c r="C532" s="785" t="n"/>
      <c r="D532" s="785" t="n"/>
      <c r="E532" s="785" t="n"/>
      <c r="F532" s="785" t="n"/>
      <c r="G532" s="785" t="n"/>
      <c r="H532" s="785" t="n"/>
      <c r="I532" s="785" t="n"/>
      <c r="J532" s="785" t="n"/>
      <c r="K532" s="785" t="n"/>
      <c r="L532" s="785" t="n"/>
      <c r="M532" s="785" t="n"/>
      <c r="N532" s="785" t="n"/>
      <c r="O532" s="785" t="n"/>
      <c r="P532" s="785" t="n"/>
      <c r="Q532" s="785" t="n"/>
      <c r="R532" s="785" t="n"/>
      <c r="S532" s="785" t="n"/>
      <c r="T532" s="785" t="n"/>
      <c r="U532" s="785" t="n"/>
      <c r="V532" s="785" t="n"/>
      <c r="W532" s="785" t="n"/>
      <c r="X532" s="785" t="n"/>
      <c r="Y532" s="785" t="n"/>
      <c r="Z532" s="457" t="n"/>
      <c r="AA532" s="457" t="n"/>
    </row>
    <row r="533" ht="27" customHeight="1">
      <c r="A533" s="64" t="inlineStr">
        <is>
          <t>SU002805</t>
        </is>
      </c>
      <c r="B533" s="64" t="inlineStr">
        <is>
          <t>P003584</t>
        </is>
      </c>
      <c r="C533" s="37" t="n">
        <v>4301031280</v>
      </c>
      <c r="D533" s="458" t="n">
        <v>4640242180816</v>
      </c>
      <c r="E533" s="798" t="n"/>
      <c r="F533" s="831" t="n">
        <v>0.7</v>
      </c>
      <c r="G533" s="38" t="n">
        <v>6</v>
      </c>
      <c r="H533" s="831" t="n">
        <v>4.2</v>
      </c>
      <c r="I533" s="831" t="n">
        <v>4.46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38" t="inlineStr">
        <is>
          <t>Копченые колбасы «Сервелат Пражский» Весовой фиброуз ТМ «Зареченские»</t>
        </is>
      </c>
      <c r="P533" s="833" t="n"/>
      <c r="Q533" s="833" t="n"/>
      <c r="R533" s="833" t="n"/>
      <c r="S533" s="798" t="n"/>
      <c r="T533" s="40" t="inlineStr"/>
      <c r="U533" s="40" t="inlineStr"/>
      <c r="V533" s="41" t="inlineStr">
        <is>
          <t>кг</t>
        </is>
      </c>
      <c r="W533" s="834" t="n">
        <v>0</v>
      </c>
      <c r="X533" s="835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80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SU002654</t>
        </is>
      </c>
      <c r="B534" s="64" t="inlineStr">
        <is>
          <t>P003219</t>
        </is>
      </c>
      <c r="C534" s="37" t="n">
        <v>4301031194</v>
      </c>
      <c r="D534" s="458" t="n">
        <v>4680115880856</v>
      </c>
      <c r="E534" s="798" t="n"/>
      <c r="F534" s="831" t="n">
        <v>0.7</v>
      </c>
      <c r="G534" s="38" t="n">
        <v>6</v>
      </c>
      <c r="H534" s="831" t="n">
        <v>4.2</v>
      </c>
      <c r="I534" s="831" t="n">
        <v>4.46</v>
      </c>
      <c r="J534" s="38" t="n">
        <v>156</v>
      </c>
      <c r="K534" s="38" t="inlineStr">
        <is>
          <t>12</t>
        </is>
      </c>
      <c r="L534" s="39" t="inlineStr">
        <is>
          <t>СК2</t>
        </is>
      </c>
      <c r="M534" s="39" t="n"/>
      <c r="N534" s="38" t="n">
        <v>40</v>
      </c>
      <c r="O534" s="1139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34" s="833" t="n"/>
      <c r="Q534" s="833" t="n"/>
      <c r="R534" s="833" t="n"/>
      <c r="S534" s="798" t="n"/>
      <c r="T534" s="40" t="inlineStr"/>
      <c r="U534" s="40" t="inlineStr"/>
      <c r="V534" s="41" t="inlineStr">
        <is>
          <t>кг</t>
        </is>
      </c>
      <c r="W534" s="834" t="n">
        <v>0</v>
      </c>
      <c r="X534" s="835">
        <f>IFERROR(IF(W534="",0,CEILING((W534/$H534),1)*$H534),"")</f>
        <v/>
      </c>
      <c r="Y534" s="42">
        <f>IFERROR(IF(X534=0,"",ROUNDUP(X534/H534,0)*0.00753),"")</f>
        <v/>
      </c>
      <c r="Z534" s="69" t="inlineStr"/>
      <c r="AA534" s="70" t="inlineStr"/>
      <c r="AE534" s="80" t="n"/>
      <c r="BB534" s="381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SU002809</t>
        </is>
      </c>
      <c r="B535" s="64" t="inlineStr">
        <is>
          <t>P003586</t>
        </is>
      </c>
      <c r="C535" s="37" t="n">
        <v>4301031244</v>
      </c>
      <c r="D535" s="458" t="n">
        <v>4640242180595</v>
      </c>
      <c r="E535" s="798" t="n"/>
      <c r="F535" s="831" t="n">
        <v>0.7</v>
      </c>
      <c r="G535" s="38" t="n">
        <v>6</v>
      </c>
      <c r="H535" s="831" t="n">
        <v>4.2</v>
      </c>
      <c r="I535" s="831" t="n">
        <v>4.46</v>
      </c>
      <c r="J535" s="38" t="n">
        <v>156</v>
      </c>
      <c r="K535" s="38" t="inlineStr">
        <is>
          <t>12</t>
        </is>
      </c>
      <c r="L535" s="39" t="inlineStr">
        <is>
          <t>СК2</t>
        </is>
      </c>
      <c r="M535" s="39" t="n"/>
      <c r="N535" s="38" t="n">
        <v>40</v>
      </c>
      <c r="O535" s="1140" t="inlineStr">
        <is>
          <t>В/к колбасы «Сервелат Рижский» НТУ Весовые Фиброуз в/у ТМ «Зареченские»</t>
        </is>
      </c>
      <c r="P535" s="833" t="n"/>
      <c r="Q535" s="833" t="n"/>
      <c r="R535" s="833" t="n"/>
      <c r="S535" s="798" t="n"/>
      <c r="T535" s="40" t="inlineStr"/>
      <c r="U535" s="40" t="inlineStr"/>
      <c r="V535" s="41" t="inlineStr">
        <is>
          <t>кг</t>
        </is>
      </c>
      <c r="W535" s="834" t="n">
        <v>0</v>
      </c>
      <c r="X535" s="835">
        <f>IFERROR(IF(W535="",0,CEILING((W535/$H535),1)*$H535),"")</f>
        <v/>
      </c>
      <c r="Y535" s="42">
        <f>IFERROR(IF(X535=0,"",ROUNDUP(X535/H535,0)*0.00753),"")</f>
        <v/>
      </c>
      <c r="Z535" s="69" t="inlineStr"/>
      <c r="AA535" s="70" t="inlineStr"/>
      <c r="AE535" s="80" t="n"/>
      <c r="BB535" s="382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 ht="27" customHeight="1">
      <c r="A536" s="64" t="inlineStr">
        <is>
          <t>SU002965</t>
        </is>
      </c>
      <c r="B536" s="64" t="inlineStr">
        <is>
          <t>P004318</t>
        </is>
      </c>
      <c r="C536" s="37" t="n">
        <v>4301031321</v>
      </c>
      <c r="D536" s="458" t="n">
        <v>4640242180076</v>
      </c>
      <c r="E536" s="798" t="n"/>
      <c r="F536" s="831" t="n">
        <v>0.7</v>
      </c>
      <c r="G536" s="38" t="n">
        <v>6</v>
      </c>
      <c r="H536" s="831" t="n">
        <v>4.2</v>
      </c>
      <c r="I536" s="831" t="n">
        <v>4.4</v>
      </c>
      <c r="J536" s="38" t="n">
        <v>156</v>
      </c>
      <c r="K536" s="38" t="inlineStr">
        <is>
          <t>12</t>
        </is>
      </c>
      <c r="L536" s="39" t="inlineStr">
        <is>
          <t>СК2</t>
        </is>
      </c>
      <c r="M536" s="39" t="n"/>
      <c r="N536" s="38" t="n">
        <v>40</v>
      </c>
      <c r="O536" s="1141" t="inlineStr">
        <is>
          <t>В/к колбасы «Сервелат Зернистый» Весовой фиброуз ТМ «Зареченские» HR</t>
        </is>
      </c>
      <c r="P536" s="833" t="n"/>
      <c r="Q536" s="833" t="n"/>
      <c r="R536" s="833" t="n"/>
      <c r="S536" s="798" t="n"/>
      <c r="T536" s="40" t="inlineStr"/>
      <c r="U536" s="40" t="inlineStr"/>
      <c r="V536" s="41" t="inlineStr">
        <is>
          <t>кг</t>
        </is>
      </c>
      <c r="W536" s="834" t="n">
        <v>0</v>
      </c>
      <c r="X536" s="835">
        <f>IFERROR(IF(W536="",0,CEILING((W536/$H536),1)*$H536),"")</f>
        <v/>
      </c>
      <c r="Y536" s="42">
        <f>IFERROR(IF(X536=0,"",ROUNDUP(X536/H536,0)*0.00753),"")</f>
        <v/>
      </c>
      <c r="Z536" s="69" t="inlineStr"/>
      <c r="AA536" s="70" t="inlineStr"/>
      <c r="AE536" s="80" t="n"/>
      <c r="BB536" s="383" t="inlineStr">
        <is>
          <t>КИ</t>
        </is>
      </c>
      <c r="BL536" s="80">
        <f>IFERROR(W536*I536/H536,"0")</f>
        <v/>
      </c>
      <c r="BM536" s="80">
        <f>IFERROR(X536*I536/H536,"0")</f>
        <v/>
      </c>
      <c r="BN536" s="80">
        <f>IFERROR(1/J536*(W536/H536),"0")</f>
        <v/>
      </c>
      <c r="BO536" s="80">
        <f>IFERROR(1/J536*(X536/H536),"0")</f>
        <v/>
      </c>
    </row>
    <row r="537" ht="27" customHeight="1">
      <c r="A537" s="64" t="inlineStr">
        <is>
          <t>SU002855</t>
        </is>
      </c>
      <c r="B537" s="64" t="inlineStr">
        <is>
          <t>P003261</t>
        </is>
      </c>
      <c r="C537" s="37" t="n">
        <v>4301031203</v>
      </c>
      <c r="D537" s="458" t="n">
        <v>4640242180908</v>
      </c>
      <c r="E537" s="798" t="n"/>
      <c r="F537" s="831" t="n">
        <v>0.28</v>
      </c>
      <c r="G537" s="38" t="n">
        <v>6</v>
      </c>
      <c r="H537" s="831" t="n">
        <v>1.68</v>
      </c>
      <c r="I537" s="831" t="n">
        <v>1.81</v>
      </c>
      <c r="J537" s="38" t="n">
        <v>234</v>
      </c>
      <c r="K537" s="38" t="inlineStr">
        <is>
          <t>18</t>
        </is>
      </c>
      <c r="L537" s="39" t="inlineStr">
        <is>
          <t>СК2</t>
        </is>
      </c>
      <c r="M537" s="39" t="n"/>
      <c r="N537" s="38" t="n">
        <v>40</v>
      </c>
      <c r="O537" s="1142" t="inlineStr">
        <is>
          <t>Копченые колбасы «Сервелат Пражский» срез Фикс.вес 0,28 фиброуз в/у ТМ «Зареченские»</t>
        </is>
      </c>
      <c r="P537" s="833" t="n"/>
      <c r="Q537" s="833" t="n"/>
      <c r="R537" s="833" t="n"/>
      <c r="S537" s="798" t="n"/>
      <c r="T537" s="40" t="inlineStr"/>
      <c r="U537" s="40" t="inlineStr"/>
      <c r="V537" s="41" t="inlineStr">
        <is>
          <t>кг</t>
        </is>
      </c>
      <c r="W537" s="834" t="n">
        <v>0</v>
      </c>
      <c r="X537" s="835">
        <f>IFERROR(IF(W537="",0,CEILING((W537/$H537),1)*$H537),"")</f>
        <v/>
      </c>
      <c r="Y537" s="42">
        <f>IFERROR(IF(X537=0,"",ROUNDUP(X537/H537,0)*0.00502),"")</f>
        <v/>
      </c>
      <c r="Z537" s="69" t="inlineStr"/>
      <c r="AA537" s="70" t="inlineStr"/>
      <c r="AE537" s="80" t="n"/>
      <c r="BB537" s="384" t="inlineStr">
        <is>
          <t>КИ</t>
        </is>
      </c>
      <c r="BL537" s="80">
        <f>IFERROR(W537*I537/H537,"0")</f>
        <v/>
      </c>
      <c r="BM537" s="80">
        <f>IFERROR(X537*I537/H537,"0")</f>
        <v/>
      </c>
      <c r="BN537" s="80">
        <f>IFERROR(1/J537*(W537/H537),"0")</f>
        <v/>
      </c>
      <c r="BO537" s="80">
        <f>IFERROR(1/J537*(X537/H537),"0")</f>
        <v/>
      </c>
    </row>
    <row r="538" ht="27" customHeight="1">
      <c r="A538" s="64" t="inlineStr">
        <is>
          <t>SU002856</t>
        </is>
      </c>
      <c r="B538" s="64" t="inlineStr">
        <is>
          <t>P003257</t>
        </is>
      </c>
      <c r="C538" s="37" t="n">
        <v>4301031200</v>
      </c>
      <c r="D538" s="458" t="n">
        <v>4640242180489</v>
      </c>
      <c r="E538" s="798" t="n"/>
      <c r="F538" s="831" t="n">
        <v>0.28</v>
      </c>
      <c r="G538" s="38" t="n">
        <v>6</v>
      </c>
      <c r="H538" s="831" t="n">
        <v>1.68</v>
      </c>
      <c r="I538" s="831" t="n">
        <v>1.84</v>
      </c>
      <c r="J538" s="38" t="n">
        <v>234</v>
      </c>
      <c r="K538" s="38" t="inlineStr">
        <is>
          <t>18</t>
        </is>
      </c>
      <c r="L538" s="39" t="inlineStr">
        <is>
          <t>СК2</t>
        </is>
      </c>
      <c r="M538" s="39" t="n"/>
      <c r="N538" s="38" t="n">
        <v>40</v>
      </c>
      <c r="O538" s="1143" t="inlineStr">
        <is>
          <t>В/к колбасы «Сервелат Рижский» срез Фикс.вес 0,28 Фиброуз в/у ТМ «Зареченские»</t>
        </is>
      </c>
      <c r="P538" s="833" t="n"/>
      <c r="Q538" s="833" t="n"/>
      <c r="R538" s="833" t="n"/>
      <c r="S538" s="798" t="n"/>
      <c r="T538" s="40" t="inlineStr"/>
      <c r="U538" s="40" t="inlineStr"/>
      <c r="V538" s="41" t="inlineStr">
        <is>
          <t>кг</t>
        </is>
      </c>
      <c r="W538" s="834" t="n">
        <v>0</v>
      </c>
      <c r="X538" s="835">
        <f>IFERROR(IF(W538="",0,CEILING((W538/$H538),1)*$H538),"")</f>
        <v/>
      </c>
      <c r="Y538" s="42">
        <f>IFERROR(IF(X538=0,"",ROUNDUP(X538/H538,0)*0.00502),"")</f>
        <v/>
      </c>
      <c r="Z538" s="69" t="inlineStr"/>
      <c r="AA538" s="70" t="inlineStr"/>
      <c r="AE538" s="80" t="n"/>
      <c r="BB538" s="385" t="inlineStr">
        <is>
          <t>КИ</t>
        </is>
      </c>
      <c r="BL538" s="80">
        <f>IFERROR(W538*I538/H538,"0")</f>
        <v/>
      </c>
      <c r="BM538" s="80">
        <f>IFERROR(X538*I538/H538,"0")</f>
        <v/>
      </c>
      <c r="BN538" s="80">
        <f>IFERROR(1/J538*(W538/H538),"0")</f>
        <v/>
      </c>
      <c r="BO538" s="80">
        <f>IFERROR(1/J538*(X538/H538),"0")</f>
        <v/>
      </c>
    </row>
    <row r="539">
      <c r="A539" s="467" t="n"/>
      <c r="B539" s="785" t="n"/>
      <c r="C539" s="785" t="n"/>
      <c r="D539" s="785" t="n"/>
      <c r="E539" s="785" t="n"/>
      <c r="F539" s="785" t="n"/>
      <c r="G539" s="785" t="n"/>
      <c r="H539" s="785" t="n"/>
      <c r="I539" s="785" t="n"/>
      <c r="J539" s="785" t="n"/>
      <c r="K539" s="785" t="n"/>
      <c r="L539" s="785" t="n"/>
      <c r="M539" s="785" t="n"/>
      <c r="N539" s="837" t="n"/>
      <c r="O539" s="838" t="inlineStr">
        <is>
          <t>Итого</t>
        </is>
      </c>
      <c r="P539" s="805" t="n"/>
      <c r="Q539" s="805" t="n"/>
      <c r="R539" s="805" t="n"/>
      <c r="S539" s="805" t="n"/>
      <c r="T539" s="805" t="n"/>
      <c r="U539" s="806" t="n"/>
      <c r="V539" s="43" t="inlineStr">
        <is>
          <t>кор</t>
        </is>
      </c>
      <c r="W539" s="839">
        <f>IFERROR(W533/H533,"0")+IFERROR(W534/H534,"0")+IFERROR(W535/H535,"0")+IFERROR(W536/H536,"0")+IFERROR(W537/H537,"0")+IFERROR(W538/H538,"0")</f>
        <v/>
      </c>
      <c r="X539" s="839">
        <f>IFERROR(X533/H533,"0")+IFERROR(X534/H534,"0")+IFERROR(X535/H535,"0")+IFERROR(X536/H536,"0")+IFERROR(X537/H537,"0")+IFERROR(X538/H538,"0")</f>
        <v/>
      </c>
      <c r="Y539" s="839">
        <f>IFERROR(IF(Y533="",0,Y533),"0")+IFERROR(IF(Y534="",0,Y534),"0")+IFERROR(IF(Y535="",0,Y535),"0")+IFERROR(IF(Y536="",0,Y536),"0")+IFERROR(IF(Y537="",0,Y537),"0")+IFERROR(IF(Y538="",0,Y538),"0")</f>
        <v/>
      </c>
      <c r="Z539" s="840" t="n"/>
      <c r="AA539" s="840" t="n"/>
    </row>
    <row r="540">
      <c r="A540" s="785" t="n"/>
      <c r="B540" s="785" t="n"/>
      <c r="C540" s="785" t="n"/>
      <c r="D540" s="785" t="n"/>
      <c r="E540" s="785" t="n"/>
      <c r="F540" s="785" t="n"/>
      <c r="G540" s="785" t="n"/>
      <c r="H540" s="785" t="n"/>
      <c r="I540" s="785" t="n"/>
      <c r="J540" s="785" t="n"/>
      <c r="K540" s="785" t="n"/>
      <c r="L540" s="785" t="n"/>
      <c r="M540" s="785" t="n"/>
      <c r="N540" s="837" t="n"/>
      <c r="O540" s="838" t="inlineStr">
        <is>
          <t>Итого</t>
        </is>
      </c>
      <c r="P540" s="805" t="n"/>
      <c r="Q540" s="805" t="n"/>
      <c r="R540" s="805" t="n"/>
      <c r="S540" s="805" t="n"/>
      <c r="T540" s="805" t="n"/>
      <c r="U540" s="806" t="n"/>
      <c r="V540" s="43" t="inlineStr">
        <is>
          <t>кг</t>
        </is>
      </c>
      <c r="W540" s="839">
        <f>IFERROR(SUM(W533:W538),"0")</f>
        <v/>
      </c>
      <c r="X540" s="839">
        <f>IFERROR(SUM(X533:X538),"0")</f>
        <v/>
      </c>
      <c r="Y540" s="43" t="n"/>
      <c r="Z540" s="840" t="n"/>
      <c r="AA540" s="840" t="n"/>
    </row>
    <row r="541" ht="14.25" customHeight="1">
      <c r="A541" s="457" t="inlineStr">
        <is>
          <t>Сосиски</t>
        </is>
      </c>
      <c r="B541" s="785" t="n"/>
      <c r="C541" s="785" t="n"/>
      <c r="D541" s="785" t="n"/>
      <c r="E541" s="785" t="n"/>
      <c r="F541" s="785" t="n"/>
      <c r="G541" s="785" t="n"/>
      <c r="H541" s="785" t="n"/>
      <c r="I541" s="785" t="n"/>
      <c r="J541" s="785" t="n"/>
      <c r="K541" s="785" t="n"/>
      <c r="L541" s="785" t="n"/>
      <c r="M541" s="785" t="n"/>
      <c r="N541" s="785" t="n"/>
      <c r="O541" s="785" t="n"/>
      <c r="P541" s="785" t="n"/>
      <c r="Q541" s="785" t="n"/>
      <c r="R541" s="785" t="n"/>
      <c r="S541" s="785" t="n"/>
      <c r="T541" s="785" t="n"/>
      <c r="U541" s="785" t="n"/>
      <c r="V541" s="785" t="n"/>
      <c r="W541" s="785" t="n"/>
      <c r="X541" s="785" t="n"/>
      <c r="Y541" s="785" t="n"/>
      <c r="Z541" s="457" t="n"/>
      <c r="AA541" s="457" t="n"/>
    </row>
    <row r="542" ht="27" customHeight="1">
      <c r="A542" s="64" t="inlineStr">
        <is>
          <t>SU002655</t>
        </is>
      </c>
      <c r="B542" s="64" t="inlineStr">
        <is>
          <t>P004115</t>
        </is>
      </c>
      <c r="C542" s="37" t="n">
        <v>4301051746</v>
      </c>
      <c r="D542" s="458" t="n">
        <v>4640242180533</v>
      </c>
      <c r="E542" s="798" t="n"/>
      <c r="F542" s="831" t="n">
        <v>1.3</v>
      </c>
      <c r="G542" s="38" t="n">
        <v>6</v>
      </c>
      <c r="H542" s="831" t="n">
        <v>7.8</v>
      </c>
      <c r="I542" s="831" t="n">
        <v>8.364000000000001</v>
      </c>
      <c r="J542" s="38" t="n">
        <v>56</v>
      </c>
      <c r="K542" s="38" t="inlineStr">
        <is>
          <t>8</t>
        </is>
      </c>
      <c r="L542" s="39" t="inlineStr">
        <is>
          <t>СК3</t>
        </is>
      </c>
      <c r="M542" s="39" t="n"/>
      <c r="N542" s="38" t="n">
        <v>40</v>
      </c>
      <c r="O542" s="1144" t="inlineStr">
        <is>
          <t>Сосиски Датские Зареченские продукты Весовые П/а мгс Зареченские</t>
        </is>
      </c>
      <c r="P542" s="833" t="n"/>
      <c r="Q542" s="833" t="n"/>
      <c r="R542" s="833" t="n"/>
      <c r="S542" s="798" t="n"/>
      <c r="T542" s="40" t="inlineStr"/>
      <c r="U542" s="40" t="inlineStr"/>
      <c r="V542" s="41" t="inlineStr">
        <is>
          <t>кг</t>
        </is>
      </c>
      <c r="W542" s="834" t="n">
        <v>0</v>
      </c>
      <c r="X542" s="835">
        <f>IFERROR(IF(W542="",0,CEILING((W542/$H542),1)*$H542),"")</f>
        <v/>
      </c>
      <c r="Y542" s="42">
        <f>IFERROR(IF(X542=0,"",ROUNDUP(X542/H542,0)*0.02175),"")</f>
        <v/>
      </c>
      <c r="Z542" s="69" t="inlineStr"/>
      <c r="AA542" s="70" t="inlineStr"/>
      <c r="AE542" s="80" t="n"/>
      <c r="BB542" s="386" t="inlineStr">
        <is>
          <t>КИ</t>
        </is>
      </c>
      <c r="BL542" s="80">
        <f>IFERROR(W542*I542/H542,"0")</f>
        <v/>
      </c>
      <c r="BM542" s="80">
        <f>IFERROR(X542*I542/H542,"0")</f>
        <v/>
      </c>
      <c r="BN542" s="80">
        <f>IFERROR(1/J542*(W542/H542),"0")</f>
        <v/>
      </c>
      <c r="BO542" s="80">
        <f>IFERROR(1/J542*(X542/H542),"0")</f>
        <v/>
      </c>
    </row>
    <row r="543" ht="27" customHeight="1">
      <c r="A543" s="64" t="inlineStr">
        <is>
          <t>SU002968</t>
        </is>
      </c>
      <c r="B543" s="64" t="inlineStr">
        <is>
          <t>P004321</t>
        </is>
      </c>
      <c r="C543" s="37" t="n">
        <v>4301051780</v>
      </c>
      <c r="D543" s="458" t="n">
        <v>4640242180106</v>
      </c>
      <c r="E543" s="798" t="n"/>
      <c r="F543" s="831" t="n">
        <v>1.3</v>
      </c>
      <c r="G543" s="38" t="n">
        <v>6</v>
      </c>
      <c r="H543" s="831" t="n">
        <v>7.8</v>
      </c>
      <c r="I543" s="831" t="n">
        <v>8.279999999999999</v>
      </c>
      <c r="J543" s="38" t="n">
        <v>56</v>
      </c>
      <c r="K543" s="38" t="inlineStr">
        <is>
          <t>8</t>
        </is>
      </c>
      <c r="L543" s="39" t="inlineStr">
        <is>
          <t>СК2</t>
        </is>
      </c>
      <c r="M543" s="39" t="n"/>
      <c r="N543" s="38" t="n">
        <v>45</v>
      </c>
      <c r="O543" s="1145" t="inlineStr">
        <is>
          <t>Сосиски «Молочные классические» Весовой п/а ТМ «Зареченские» HR</t>
        </is>
      </c>
      <c r="P543" s="833" t="n"/>
      <c r="Q543" s="833" t="n"/>
      <c r="R543" s="833" t="n"/>
      <c r="S543" s="798" t="n"/>
      <c r="T543" s="40" t="inlineStr"/>
      <c r="U543" s="40" t="inlineStr"/>
      <c r="V543" s="41" t="inlineStr">
        <is>
          <t>кг</t>
        </is>
      </c>
      <c r="W543" s="834" t="n">
        <v>0</v>
      </c>
      <c r="X543" s="835">
        <f>IFERROR(IF(W543="",0,CEILING((W543/$H543),1)*$H543),"")</f>
        <v/>
      </c>
      <c r="Y543" s="42">
        <f>IFERROR(IF(X543=0,"",ROUNDUP(X543/H543,0)*0.02175),"")</f>
        <v/>
      </c>
      <c r="Z543" s="69" t="inlineStr"/>
      <c r="AA543" s="70" t="inlineStr"/>
      <c r="AE543" s="80" t="n"/>
      <c r="BB543" s="387" t="inlineStr">
        <is>
          <t>КИ</t>
        </is>
      </c>
      <c r="BL543" s="80">
        <f>IFERROR(W543*I543/H543,"0")</f>
        <v/>
      </c>
      <c r="BM543" s="80">
        <f>IFERROR(X543*I543/H543,"0")</f>
        <v/>
      </c>
      <c r="BN543" s="80">
        <f>IFERROR(1/J543*(W543/H543),"0")</f>
        <v/>
      </c>
      <c r="BO543" s="80">
        <f>IFERROR(1/J543*(X543/H543),"0")</f>
        <v/>
      </c>
    </row>
    <row r="544" ht="27" customHeight="1">
      <c r="A544" s="64" t="inlineStr">
        <is>
          <t>SU002803</t>
        </is>
      </c>
      <c r="B544" s="64" t="inlineStr">
        <is>
          <t>P003590</t>
        </is>
      </c>
      <c r="C544" s="37" t="n">
        <v>4301051510</v>
      </c>
      <c r="D544" s="458" t="n">
        <v>4640242180540</v>
      </c>
      <c r="E544" s="798" t="n"/>
      <c r="F544" s="831" t="n">
        <v>1.3</v>
      </c>
      <c r="G544" s="38" t="n">
        <v>6</v>
      </c>
      <c r="H544" s="831" t="n">
        <v>7.8</v>
      </c>
      <c r="I544" s="831" t="n">
        <v>8.364000000000001</v>
      </c>
      <c r="J544" s="38" t="n">
        <v>56</v>
      </c>
      <c r="K544" s="38" t="inlineStr">
        <is>
          <t>8</t>
        </is>
      </c>
      <c r="L544" s="39" t="inlineStr">
        <is>
          <t>СК2</t>
        </is>
      </c>
      <c r="M544" s="39" t="n"/>
      <c r="N544" s="38" t="n">
        <v>30</v>
      </c>
      <c r="O544" s="1146" t="inlineStr">
        <is>
          <t>Сосиски «Сочные» Весовой п/а ТМ «Зареченские»</t>
        </is>
      </c>
      <c r="P544" s="833" t="n"/>
      <c r="Q544" s="833" t="n"/>
      <c r="R544" s="833" t="n"/>
      <c r="S544" s="798" t="n"/>
      <c r="T544" s="40" t="inlineStr"/>
      <c r="U544" s="40" t="inlineStr"/>
      <c r="V544" s="41" t="inlineStr">
        <is>
          <t>кг</t>
        </is>
      </c>
      <c r="W544" s="834" t="n">
        <v>0</v>
      </c>
      <c r="X544" s="835">
        <f>IFERROR(IF(W544="",0,CEILING((W544/$H544),1)*$H544),"")</f>
        <v/>
      </c>
      <c r="Y544" s="42">
        <f>IFERROR(IF(X544=0,"",ROUNDUP(X544/H544,0)*0.02175),"")</f>
        <v/>
      </c>
      <c r="Z544" s="69" t="inlineStr"/>
      <c r="AA544" s="70" t="inlineStr"/>
      <c r="AE544" s="80" t="n"/>
      <c r="BB544" s="388" t="inlineStr">
        <is>
          <t>КИ</t>
        </is>
      </c>
      <c r="BL544" s="80">
        <f>IFERROR(W544*I544/H544,"0")</f>
        <v/>
      </c>
      <c r="BM544" s="80">
        <f>IFERROR(X544*I544/H544,"0")</f>
        <v/>
      </c>
      <c r="BN544" s="80">
        <f>IFERROR(1/J544*(W544/H544),"0")</f>
        <v/>
      </c>
      <c r="BO544" s="80">
        <f>IFERROR(1/J544*(X544/H544),"0")</f>
        <v/>
      </c>
    </row>
    <row r="545" ht="27" customHeight="1">
      <c r="A545" s="64" t="inlineStr">
        <is>
          <t>SU002812</t>
        </is>
      </c>
      <c r="B545" s="64" t="inlineStr">
        <is>
          <t>P003218</t>
        </is>
      </c>
      <c r="C545" s="37" t="n">
        <v>4301051390</v>
      </c>
      <c r="D545" s="458" t="n">
        <v>4640242181233</v>
      </c>
      <c r="E545" s="798" t="n"/>
      <c r="F545" s="831" t="n">
        <v>0.3</v>
      </c>
      <c r="G545" s="38" t="n">
        <v>6</v>
      </c>
      <c r="H545" s="831" t="n">
        <v>1.8</v>
      </c>
      <c r="I545" s="831" t="n">
        <v>1.984</v>
      </c>
      <c r="J545" s="38" t="n">
        <v>234</v>
      </c>
      <c r="K545" s="38" t="inlineStr">
        <is>
          <t>18</t>
        </is>
      </c>
      <c r="L545" s="39" t="inlineStr">
        <is>
          <t>СК2</t>
        </is>
      </c>
      <c r="M545" s="39" t="n"/>
      <c r="N545" s="38" t="n">
        <v>40</v>
      </c>
      <c r="O545" s="1147" t="inlineStr">
        <is>
          <t>Сосиски «Датские» Фикс.вес 0,3 П/а мгс ТМ «Зареченские»</t>
        </is>
      </c>
      <c r="P545" s="833" t="n"/>
      <c r="Q545" s="833" t="n"/>
      <c r="R545" s="833" t="n"/>
      <c r="S545" s="798" t="n"/>
      <c r="T545" s="40" t="inlineStr"/>
      <c r="U545" s="40" t="inlineStr"/>
      <c r="V545" s="41" t="inlineStr">
        <is>
          <t>кг</t>
        </is>
      </c>
      <c r="W545" s="834" t="n">
        <v>0</v>
      </c>
      <c r="X545" s="835">
        <f>IFERROR(IF(W545="",0,CEILING((W545/$H545),1)*$H545),"")</f>
        <v/>
      </c>
      <c r="Y545" s="42">
        <f>IFERROR(IF(X545=0,"",ROUNDUP(X545/H545,0)*0.00502),"")</f>
        <v/>
      </c>
      <c r="Z545" s="69" t="inlineStr"/>
      <c r="AA545" s="70" t="inlineStr"/>
      <c r="AE545" s="80" t="n"/>
      <c r="BB545" s="389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SU002922</t>
        </is>
      </c>
      <c r="B546" s="64" t="inlineStr">
        <is>
          <t>P003358</t>
        </is>
      </c>
      <c r="C546" s="37" t="n">
        <v>4301051448</v>
      </c>
      <c r="D546" s="458" t="n">
        <v>4640242181226</v>
      </c>
      <c r="E546" s="798" t="n"/>
      <c r="F546" s="831" t="n">
        <v>0.3</v>
      </c>
      <c r="G546" s="38" t="n">
        <v>6</v>
      </c>
      <c r="H546" s="831" t="n">
        <v>1.8</v>
      </c>
      <c r="I546" s="831" t="n">
        <v>1.972</v>
      </c>
      <c r="J546" s="38" t="n">
        <v>234</v>
      </c>
      <c r="K546" s="38" t="inlineStr">
        <is>
          <t>18</t>
        </is>
      </c>
      <c r="L546" s="39" t="inlineStr">
        <is>
          <t>СК2</t>
        </is>
      </c>
      <c r="M546" s="39" t="n"/>
      <c r="N546" s="38" t="n">
        <v>30</v>
      </c>
      <c r="O546" s="1148" t="inlineStr">
        <is>
          <t>Сосиски «Сочные» Фикс.Вес 0,3 п/а ТМ «Зареченские»</t>
        </is>
      </c>
      <c r="P546" s="833" t="n"/>
      <c r="Q546" s="833" t="n"/>
      <c r="R546" s="833" t="n"/>
      <c r="S546" s="798" t="n"/>
      <c r="T546" s="40" t="inlineStr"/>
      <c r="U546" s="40" t="inlineStr"/>
      <c r="V546" s="41" t="inlineStr">
        <is>
          <t>кг</t>
        </is>
      </c>
      <c r="W546" s="834" t="n">
        <v>0</v>
      </c>
      <c r="X546" s="835">
        <f>IFERROR(IF(W546="",0,CEILING((W546/$H546),1)*$H546),"")</f>
        <v/>
      </c>
      <c r="Y546" s="42">
        <f>IFERROR(IF(X546=0,"",ROUNDUP(X546/H546,0)*0.00502),"")</f>
        <v/>
      </c>
      <c r="Z546" s="69" t="inlineStr"/>
      <c r="AA546" s="70" t="inlineStr"/>
      <c r="AE546" s="80" t="n"/>
      <c r="BB546" s="390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>
      <c r="A547" s="467" t="n"/>
      <c r="B547" s="785" t="n"/>
      <c r="C547" s="785" t="n"/>
      <c r="D547" s="785" t="n"/>
      <c r="E547" s="785" t="n"/>
      <c r="F547" s="785" t="n"/>
      <c r="G547" s="785" t="n"/>
      <c r="H547" s="785" t="n"/>
      <c r="I547" s="785" t="n"/>
      <c r="J547" s="785" t="n"/>
      <c r="K547" s="785" t="n"/>
      <c r="L547" s="785" t="n"/>
      <c r="M547" s="785" t="n"/>
      <c r="N547" s="837" t="n"/>
      <c r="O547" s="838" t="inlineStr">
        <is>
          <t>Итого</t>
        </is>
      </c>
      <c r="P547" s="805" t="n"/>
      <c r="Q547" s="805" t="n"/>
      <c r="R547" s="805" t="n"/>
      <c r="S547" s="805" t="n"/>
      <c r="T547" s="805" t="n"/>
      <c r="U547" s="806" t="n"/>
      <c r="V547" s="43" t="inlineStr">
        <is>
          <t>кор</t>
        </is>
      </c>
      <c r="W547" s="839">
        <f>IFERROR(W542/H542,"0")+IFERROR(W543/H543,"0")+IFERROR(W544/H544,"0")+IFERROR(W545/H545,"0")+IFERROR(W546/H546,"0")</f>
        <v/>
      </c>
      <c r="X547" s="839">
        <f>IFERROR(X542/H542,"0")+IFERROR(X543/H543,"0")+IFERROR(X544/H544,"0")+IFERROR(X545/H545,"0")+IFERROR(X546/H546,"0")</f>
        <v/>
      </c>
      <c r="Y547" s="839">
        <f>IFERROR(IF(Y542="",0,Y542),"0")+IFERROR(IF(Y543="",0,Y543),"0")+IFERROR(IF(Y544="",0,Y544),"0")+IFERROR(IF(Y545="",0,Y545),"0")+IFERROR(IF(Y546="",0,Y546),"0")</f>
        <v/>
      </c>
      <c r="Z547" s="840" t="n"/>
      <c r="AA547" s="840" t="n"/>
    </row>
    <row r="548">
      <c r="A548" s="785" t="n"/>
      <c r="B548" s="785" t="n"/>
      <c r="C548" s="785" t="n"/>
      <c r="D548" s="785" t="n"/>
      <c r="E548" s="785" t="n"/>
      <c r="F548" s="785" t="n"/>
      <c r="G548" s="785" t="n"/>
      <c r="H548" s="785" t="n"/>
      <c r="I548" s="785" t="n"/>
      <c r="J548" s="785" t="n"/>
      <c r="K548" s="785" t="n"/>
      <c r="L548" s="785" t="n"/>
      <c r="M548" s="785" t="n"/>
      <c r="N548" s="837" t="n"/>
      <c r="O548" s="838" t="inlineStr">
        <is>
          <t>Итого</t>
        </is>
      </c>
      <c r="P548" s="805" t="n"/>
      <c r="Q548" s="805" t="n"/>
      <c r="R548" s="805" t="n"/>
      <c r="S548" s="805" t="n"/>
      <c r="T548" s="805" t="n"/>
      <c r="U548" s="806" t="n"/>
      <c r="V548" s="43" t="inlineStr">
        <is>
          <t>кг</t>
        </is>
      </c>
      <c r="W548" s="839">
        <f>IFERROR(SUM(W542:W546),"0")</f>
        <v/>
      </c>
      <c r="X548" s="839">
        <f>IFERROR(SUM(X542:X546),"0")</f>
        <v/>
      </c>
      <c r="Y548" s="43" t="n"/>
      <c r="Z548" s="840" t="n"/>
      <c r="AA548" s="840" t="n"/>
    </row>
    <row r="549" ht="14.25" customHeight="1">
      <c r="A549" s="457" t="inlineStr">
        <is>
          <t>Сардельки</t>
        </is>
      </c>
      <c r="B549" s="785" t="n"/>
      <c r="C549" s="785" t="n"/>
      <c r="D549" s="785" t="n"/>
      <c r="E549" s="785" t="n"/>
      <c r="F549" s="785" t="n"/>
      <c r="G549" s="785" t="n"/>
      <c r="H549" s="785" t="n"/>
      <c r="I549" s="785" t="n"/>
      <c r="J549" s="785" t="n"/>
      <c r="K549" s="785" t="n"/>
      <c r="L549" s="785" t="n"/>
      <c r="M549" s="785" t="n"/>
      <c r="N549" s="785" t="n"/>
      <c r="O549" s="785" t="n"/>
      <c r="P549" s="785" t="n"/>
      <c r="Q549" s="785" t="n"/>
      <c r="R549" s="785" t="n"/>
      <c r="S549" s="785" t="n"/>
      <c r="T549" s="785" t="n"/>
      <c r="U549" s="785" t="n"/>
      <c r="V549" s="785" t="n"/>
      <c r="W549" s="785" t="n"/>
      <c r="X549" s="785" t="n"/>
      <c r="Y549" s="785" t="n"/>
      <c r="Z549" s="457" t="n"/>
      <c r="AA549" s="457" t="n"/>
    </row>
    <row r="550" ht="27" customHeight="1">
      <c r="A550" s="64" t="inlineStr">
        <is>
          <t>SU002970</t>
        </is>
      </c>
      <c r="B550" s="64" t="inlineStr">
        <is>
          <t>P004319</t>
        </is>
      </c>
      <c r="C550" s="37" t="n">
        <v>4301060408</v>
      </c>
      <c r="D550" s="458" t="n">
        <v>4640242180120</v>
      </c>
      <c r="E550" s="798" t="n"/>
      <c r="F550" s="831" t="n">
        <v>1.3</v>
      </c>
      <c r="G550" s="38" t="n">
        <v>6</v>
      </c>
      <c r="H550" s="831" t="n">
        <v>7.8</v>
      </c>
      <c r="I550" s="831" t="n">
        <v>8.279999999999999</v>
      </c>
      <c r="J550" s="38" t="n">
        <v>56</v>
      </c>
      <c r="K550" s="38" t="inlineStr">
        <is>
          <t>8</t>
        </is>
      </c>
      <c r="L550" s="39" t="inlineStr">
        <is>
          <t>СК2</t>
        </is>
      </c>
      <c r="M550" s="39" t="n"/>
      <c r="N550" s="38" t="n">
        <v>40</v>
      </c>
      <c r="O550" s="1149" t="inlineStr">
        <is>
          <t>Сардельки «Зареченские» Весовой NDX ТМ «Зареченские» HR</t>
        </is>
      </c>
      <c r="P550" s="833" t="n"/>
      <c r="Q550" s="833" t="n"/>
      <c r="R550" s="833" t="n"/>
      <c r="S550" s="798" t="n"/>
      <c r="T550" s="40" t="inlineStr"/>
      <c r="U550" s="40" t="inlineStr"/>
      <c r="V550" s="41" t="inlineStr">
        <is>
          <t>кг</t>
        </is>
      </c>
      <c r="W550" s="834" t="n">
        <v>0</v>
      </c>
      <c r="X550" s="835">
        <f>IFERROR(IF(W550="",0,CEILING((W550/$H550),1)*$H550),"")</f>
        <v/>
      </c>
      <c r="Y550" s="42">
        <f>IFERROR(IF(X550=0,"",ROUNDUP(X550/H550,0)*0.02175),"")</f>
        <v/>
      </c>
      <c r="Z550" s="69" t="inlineStr"/>
      <c r="AA550" s="70" t="inlineStr"/>
      <c r="AE550" s="80" t="n"/>
      <c r="BB550" s="391" t="inlineStr">
        <is>
          <t>КИ</t>
        </is>
      </c>
      <c r="BL550" s="80">
        <f>IFERROR(W550*I550/H550,"0")</f>
        <v/>
      </c>
      <c r="BM550" s="80">
        <f>IFERROR(X550*I550/H550,"0")</f>
        <v/>
      </c>
      <c r="BN550" s="80">
        <f>IFERROR(1/J550*(W550/H550),"0")</f>
        <v/>
      </c>
      <c r="BO550" s="80">
        <f>IFERROR(1/J550*(X550/H550),"0")</f>
        <v/>
      </c>
    </row>
    <row r="551" ht="27" customHeight="1">
      <c r="A551" s="64" t="inlineStr">
        <is>
          <t>SU002970</t>
        </is>
      </c>
      <c r="B551" s="64" t="inlineStr">
        <is>
          <t>P003422</t>
        </is>
      </c>
      <c r="C551" s="37" t="n">
        <v>4301060354</v>
      </c>
      <c r="D551" s="458" t="n">
        <v>4640242180120</v>
      </c>
      <c r="E551" s="798" t="n"/>
      <c r="F551" s="831" t="n">
        <v>1.3</v>
      </c>
      <c r="G551" s="38" t="n">
        <v>6</v>
      </c>
      <c r="H551" s="831" t="n">
        <v>7.8</v>
      </c>
      <c r="I551" s="831" t="n">
        <v>8.279999999999999</v>
      </c>
      <c r="J551" s="38" t="n">
        <v>56</v>
      </c>
      <c r="K551" s="38" t="inlineStr">
        <is>
          <t>8</t>
        </is>
      </c>
      <c r="L551" s="39" t="inlineStr">
        <is>
          <t>СК2</t>
        </is>
      </c>
      <c r="M551" s="39" t="n"/>
      <c r="N551" s="38" t="n">
        <v>40</v>
      </c>
      <c r="O551" s="1150" t="inlineStr">
        <is>
          <t>Сардельки Зареченские Весовой NDX ТМ Зареченские</t>
        </is>
      </c>
      <c r="P551" s="833" t="n"/>
      <c r="Q551" s="833" t="n"/>
      <c r="R551" s="833" t="n"/>
      <c r="S551" s="798" t="n"/>
      <c r="T551" s="40" t="inlineStr"/>
      <c r="U551" s="40" t="inlineStr"/>
      <c r="V551" s="41" t="inlineStr">
        <is>
          <t>кг</t>
        </is>
      </c>
      <c r="W551" s="834" t="n">
        <v>0</v>
      </c>
      <c r="X551" s="835">
        <f>IFERROR(IF(W551="",0,CEILING((W551/$H551),1)*$H551),"")</f>
        <v/>
      </c>
      <c r="Y551" s="42">
        <f>IFERROR(IF(X551=0,"",ROUNDUP(X551/H551,0)*0.02175),"")</f>
        <v/>
      </c>
      <c r="Z551" s="69" t="inlineStr"/>
      <c r="AA551" s="70" t="inlineStr"/>
      <c r="AE551" s="80" t="n"/>
      <c r="BB551" s="392" t="inlineStr">
        <is>
          <t>КИ</t>
        </is>
      </c>
      <c r="BL551" s="80">
        <f>IFERROR(W551*I551/H551,"0")</f>
        <v/>
      </c>
      <c r="BM551" s="80">
        <f>IFERROR(X551*I551/H551,"0")</f>
        <v/>
      </c>
      <c r="BN551" s="80">
        <f>IFERROR(1/J551*(W551/H551),"0")</f>
        <v/>
      </c>
      <c r="BO551" s="80">
        <f>IFERROR(1/J551*(X551/H551),"0")</f>
        <v/>
      </c>
    </row>
    <row r="552" ht="27" customHeight="1">
      <c r="A552" s="64" t="inlineStr">
        <is>
          <t>SU002971</t>
        </is>
      </c>
      <c r="B552" s="64" t="inlineStr">
        <is>
          <t>P004320</t>
        </is>
      </c>
      <c r="C552" s="37" t="n">
        <v>4301060407</v>
      </c>
      <c r="D552" s="458" t="n">
        <v>4640242180137</v>
      </c>
      <c r="E552" s="798" t="n"/>
      <c r="F552" s="831" t="n">
        <v>1.3</v>
      </c>
      <c r="G552" s="38" t="n">
        <v>6</v>
      </c>
      <c r="H552" s="831" t="n">
        <v>7.8</v>
      </c>
      <c r="I552" s="831" t="n">
        <v>8.279999999999999</v>
      </c>
      <c r="J552" s="38" t="n">
        <v>56</v>
      </c>
      <c r="K552" s="38" t="inlineStr">
        <is>
          <t>8</t>
        </is>
      </c>
      <c r="L552" s="39" t="inlineStr">
        <is>
          <t>СК2</t>
        </is>
      </c>
      <c r="M552" s="39" t="n"/>
      <c r="N552" s="38" t="n">
        <v>40</v>
      </c>
      <c r="O552" s="1151" t="inlineStr">
        <is>
          <t>Сардельки «Шпикачки Зареченские» Весовой NDX ТМ «Зареченские» HR</t>
        </is>
      </c>
      <c r="P552" s="833" t="n"/>
      <c r="Q552" s="833" t="n"/>
      <c r="R552" s="833" t="n"/>
      <c r="S552" s="798" t="n"/>
      <c r="T552" s="40" t="inlineStr"/>
      <c r="U552" s="40" t="inlineStr"/>
      <c r="V552" s="41" t="inlineStr">
        <is>
          <t>кг</t>
        </is>
      </c>
      <c r="W552" s="834" t="n">
        <v>0</v>
      </c>
      <c r="X552" s="835">
        <f>IFERROR(IF(W552="",0,CEILING((W552/$H552),1)*$H552),"")</f>
        <v/>
      </c>
      <c r="Y552" s="42">
        <f>IFERROR(IF(X552=0,"",ROUNDUP(X552/H552,0)*0.02175),"")</f>
        <v/>
      </c>
      <c r="Z552" s="69" t="inlineStr"/>
      <c r="AA552" s="70" t="inlineStr"/>
      <c r="AE552" s="80" t="n"/>
      <c r="BB552" s="393" t="inlineStr">
        <is>
          <t>КИ</t>
        </is>
      </c>
      <c r="BL552" s="80">
        <f>IFERROR(W552*I552/H552,"0")</f>
        <v/>
      </c>
      <c r="BM552" s="80">
        <f>IFERROR(X552*I552/H552,"0")</f>
        <v/>
      </c>
      <c r="BN552" s="80">
        <f>IFERROR(1/J552*(W552/H552),"0")</f>
        <v/>
      </c>
      <c r="BO552" s="80">
        <f>IFERROR(1/J552*(X552/H552),"0")</f>
        <v/>
      </c>
    </row>
    <row r="553" ht="27" customHeight="1">
      <c r="A553" s="64" t="inlineStr">
        <is>
          <t>SU002971</t>
        </is>
      </c>
      <c r="B553" s="64" t="inlineStr">
        <is>
          <t>P003425</t>
        </is>
      </c>
      <c r="C553" s="37" t="n">
        <v>4301060355</v>
      </c>
      <c r="D553" s="458" t="n">
        <v>4640242180137</v>
      </c>
      <c r="E553" s="798" t="n"/>
      <c r="F553" s="831" t="n">
        <v>1.3</v>
      </c>
      <c r="G553" s="38" t="n">
        <v>6</v>
      </c>
      <c r="H553" s="831" t="n">
        <v>7.8</v>
      </c>
      <c r="I553" s="831" t="n">
        <v>8.279999999999999</v>
      </c>
      <c r="J553" s="38" t="n">
        <v>56</v>
      </c>
      <c r="K553" s="38" t="inlineStr">
        <is>
          <t>8</t>
        </is>
      </c>
      <c r="L553" s="39" t="inlineStr">
        <is>
          <t>СК2</t>
        </is>
      </c>
      <c r="M553" s="39" t="n"/>
      <c r="N553" s="38" t="n">
        <v>40</v>
      </c>
      <c r="O553" s="1152" t="inlineStr">
        <is>
          <t>Сардельки Шпикачки Зареченские Весовой NDX ТМ Зареченские</t>
        </is>
      </c>
      <c r="P553" s="833" t="n"/>
      <c r="Q553" s="833" t="n"/>
      <c r="R553" s="833" t="n"/>
      <c r="S553" s="798" t="n"/>
      <c r="T553" s="40" t="inlineStr"/>
      <c r="U553" s="40" t="inlineStr"/>
      <c r="V553" s="41" t="inlineStr">
        <is>
          <t>кг</t>
        </is>
      </c>
      <c r="W553" s="834" t="n">
        <v>0</v>
      </c>
      <c r="X553" s="835">
        <f>IFERROR(IF(W553="",0,CEILING((W553/$H553),1)*$H553),"")</f>
        <v/>
      </c>
      <c r="Y553" s="42">
        <f>IFERROR(IF(X553=0,"",ROUNDUP(X553/H553,0)*0.02175),"")</f>
        <v/>
      </c>
      <c r="Z553" s="69" t="inlineStr"/>
      <c r="AA553" s="70" t="inlineStr"/>
      <c r="AE553" s="80" t="n"/>
      <c r="BB553" s="394" t="inlineStr">
        <is>
          <t>КИ</t>
        </is>
      </c>
      <c r="BL553" s="80">
        <f>IFERROR(W553*I553/H553,"0")</f>
        <v/>
      </c>
      <c r="BM553" s="80">
        <f>IFERROR(X553*I553/H553,"0")</f>
        <v/>
      </c>
      <c r="BN553" s="80">
        <f>IFERROR(1/J553*(W553/H553),"0")</f>
        <v/>
      </c>
      <c r="BO553" s="80">
        <f>IFERROR(1/J553*(X553/H553),"0")</f>
        <v/>
      </c>
    </row>
    <row r="554">
      <c r="A554" s="467" t="n"/>
      <c r="B554" s="785" t="n"/>
      <c r="C554" s="785" t="n"/>
      <c r="D554" s="785" t="n"/>
      <c r="E554" s="785" t="n"/>
      <c r="F554" s="785" t="n"/>
      <c r="G554" s="785" t="n"/>
      <c r="H554" s="785" t="n"/>
      <c r="I554" s="785" t="n"/>
      <c r="J554" s="785" t="n"/>
      <c r="K554" s="785" t="n"/>
      <c r="L554" s="785" t="n"/>
      <c r="M554" s="785" t="n"/>
      <c r="N554" s="837" t="n"/>
      <c r="O554" s="838" t="inlineStr">
        <is>
          <t>Итого</t>
        </is>
      </c>
      <c r="P554" s="805" t="n"/>
      <c r="Q554" s="805" t="n"/>
      <c r="R554" s="805" t="n"/>
      <c r="S554" s="805" t="n"/>
      <c r="T554" s="805" t="n"/>
      <c r="U554" s="806" t="n"/>
      <c r="V554" s="43" t="inlineStr">
        <is>
          <t>кор</t>
        </is>
      </c>
      <c r="W554" s="839">
        <f>IFERROR(W550/H550,"0")+IFERROR(W551/H551,"0")+IFERROR(W552/H552,"0")+IFERROR(W553/H553,"0")</f>
        <v/>
      </c>
      <c r="X554" s="839">
        <f>IFERROR(X550/H550,"0")+IFERROR(X551/H551,"0")+IFERROR(X552/H552,"0")+IFERROR(X553/H553,"0")</f>
        <v/>
      </c>
      <c r="Y554" s="839">
        <f>IFERROR(IF(Y550="",0,Y550),"0")+IFERROR(IF(Y551="",0,Y551),"0")+IFERROR(IF(Y552="",0,Y552),"0")+IFERROR(IF(Y553="",0,Y553),"0")</f>
        <v/>
      </c>
      <c r="Z554" s="840" t="n"/>
      <c r="AA554" s="840" t="n"/>
    </row>
    <row r="555">
      <c r="A555" s="785" t="n"/>
      <c r="B555" s="785" t="n"/>
      <c r="C555" s="785" t="n"/>
      <c r="D555" s="785" t="n"/>
      <c r="E555" s="785" t="n"/>
      <c r="F555" s="785" t="n"/>
      <c r="G555" s="785" t="n"/>
      <c r="H555" s="785" t="n"/>
      <c r="I555" s="785" t="n"/>
      <c r="J555" s="785" t="n"/>
      <c r="K555" s="785" t="n"/>
      <c r="L555" s="785" t="n"/>
      <c r="M555" s="785" t="n"/>
      <c r="N555" s="837" t="n"/>
      <c r="O555" s="838" t="inlineStr">
        <is>
          <t>Итого</t>
        </is>
      </c>
      <c r="P555" s="805" t="n"/>
      <c r="Q555" s="805" t="n"/>
      <c r="R555" s="805" t="n"/>
      <c r="S555" s="805" t="n"/>
      <c r="T555" s="805" t="n"/>
      <c r="U555" s="806" t="n"/>
      <c r="V555" s="43" t="inlineStr">
        <is>
          <t>кг</t>
        </is>
      </c>
      <c r="W555" s="839">
        <f>IFERROR(SUM(W550:W553),"0")</f>
        <v/>
      </c>
      <c r="X555" s="839">
        <f>IFERROR(SUM(X550:X553),"0")</f>
        <v/>
      </c>
      <c r="Y555" s="43" t="n"/>
      <c r="Z555" s="840" t="n"/>
      <c r="AA555" s="840" t="n"/>
    </row>
    <row r="556" ht="15" customHeight="1">
      <c r="A556" s="784" t="n"/>
      <c r="B556" s="785" t="n"/>
      <c r="C556" s="785" t="n"/>
      <c r="D556" s="785" t="n"/>
      <c r="E556" s="785" t="n"/>
      <c r="F556" s="785" t="n"/>
      <c r="G556" s="785" t="n"/>
      <c r="H556" s="785" t="n"/>
      <c r="I556" s="785" t="n"/>
      <c r="J556" s="785" t="n"/>
      <c r="K556" s="785" t="n"/>
      <c r="L556" s="785" t="n"/>
      <c r="M556" s="785" t="n"/>
      <c r="N556" s="795" t="n"/>
      <c r="O556" s="1153" t="inlineStr">
        <is>
          <t>ИТОГО НЕТТО</t>
        </is>
      </c>
      <c r="P556" s="789" t="n"/>
      <c r="Q556" s="789" t="n"/>
      <c r="R556" s="789" t="n"/>
      <c r="S556" s="789" t="n"/>
      <c r="T556" s="789" t="n"/>
      <c r="U556" s="790" t="n"/>
      <c r="V556" s="43" t="inlineStr">
        <is>
          <t>кг</t>
        </is>
      </c>
      <c r="W556" s="839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/>
      </c>
      <c r="X556" s="839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/>
      </c>
      <c r="Y556" s="43" t="n"/>
      <c r="Z556" s="840" t="n"/>
      <c r="AA556" s="840" t="n"/>
    </row>
    <row r="557">
      <c r="A557" s="785" t="n"/>
      <c r="B557" s="785" t="n"/>
      <c r="C557" s="785" t="n"/>
      <c r="D557" s="785" t="n"/>
      <c r="E557" s="785" t="n"/>
      <c r="F557" s="785" t="n"/>
      <c r="G557" s="785" t="n"/>
      <c r="H557" s="785" t="n"/>
      <c r="I557" s="785" t="n"/>
      <c r="J557" s="785" t="n"/>
      <c r="K557" s="785" t="n"/>
      <c r="L557" s="785" t="n"/>
      <c r="M557" s="785" t="n"/>
      <c r="N557" s="795" t="n"/>
      <c r="O557" s="1153" t="inlineStr">
        <is>
          <t>ИТОГО БРУТТО</t>
        </is>
      </c>
      <c r="P557" s="789" t="n"/>
      <c r="Q557" s="789" t="n"/>
      <c r="R557" s="789" t="n"/>
      <c r="S557" s="789" t="n"/>
      <c r="T557" s="789" t="n"/>
      <c r="U557" s="790" t="n"/>
      <c r="V557" s="43" t="inlineStr">
        <is>
          <t>кг</t>
        </is>
      </c>
      <c r="W557" s="839">
        <f>IFERROR(SUM(BL22:BL553),"0")</f>
        <v/>
      </c>
      <c r="X557" s="839">
        <f>IFERROR(SUM(BM22:BM553),"0")</f>
        <v/>
      </c>
      <c r="Y557" s="43" t="n"/>
      <c r="Z557" s="840" t="n"/>
      <c r="AA557" s="840" t="n"/>
    </row>
    <row r="558">
      <c r="A558" s="785" t="n"/>
      <c r="B558" s="785" t="n"/>
      <c r="C558" s="785" t="n"/>
      <c r="D558" s="785" t="n"/>
      <c r="E558" s="785" t="n"/>
      <c r="F558" s="785" t="n"/>
      <c r="G558" s="785" t="n"/>
      <c r="H558" s="785" t="n"/>
      <c r="I558" s="785" t="n"/>
      <c r="J558" s="785" t="n"/>
      <c r="K558" s="785" t="n"/>
      <c r="L558" s="785" t="n"/>
      <c r="M558" s="785" t="n"/>
      <c r="N558" s="795" t="n"/>
      <c r="O558" s="1153" t="inlineStr">
        <is>
          <t>Кол-во паллет</t>
        </is>
      </c>
      <c r="P558" s="789" t="n"/>
      <c r="Q558" s="789" t="n"/>
      <c r="R558" s="789" t="n"/>
      <c r="S558" s="789" t="n"/>
      <c r="T558" s="789" t="n"/>
      <c r="U558" s="790" t="n"/>
      <c r="V558" s="43" t="inlineStr">
        <is>
          <t>шт</t>
        </is>
      </c>
      <c r="W558" s="45">
        <f>ROUNDUP(SUM(BN22:BN553),0)</f>
        <v/>
      </c>
      <c r="X558" s="45">
        <f>ROUNDUP(SUM(BO22:BO553),0)</f>
        <v/>
      </c>
      <c r="Y558" s="43" t="n"/>
      <c r="Z558" s="840" t="n"/>
      <c r="AA558" s="840" t="n"/>
    </row>
    <row r="559">
      <c r="A559" s="785" t="n"/>
      <c r="B559" s="785" t="n"/>
      <c r="C559" s="785" t="n"/>
      <c r="D559" s="785" t="n"/>
      <c r="E559" s="785" t="n"/>
      <c r="F559" s="785" t="n"/>
      <c r="G559" s="785" t="n"/>
      <c r="H559" s="785" t="n"/>
      <c r="I559" s="785" t="n"/>
      <c r="J559" s="785" t="n"/>
      <c r="K559" s="785" t="n"/>
      <c r="L559" s="785" t="n"/>
      <c r="M559" s="785" t="n"/>
      <c r="N559" s="795" t="n"/>
      <c r="O559" s="1153" t="inlineStr">
        <is>
          <t>Вес брутто  с паллетами</t>
        </is>
      </c>
      <c r="P559" s="789" t="n"/>
      <c r="Q559" s="789" t="n"/>
      <c r="R559" s="789" t="n"/>
      <c r="S559" s="789" t="n"/>
      <c r="T559" s="789" t="n"/>
      <c r="U559" s="790" t="n"/>
      <c r="V559" s="43" t="inlineStr">
        <is>
          <t>кг</t>
        </is>
      </c>
      <c r="W559" s="839">
        <f>GrossWeightTotal+PalletQtyTotal*25</f>
        <v/>
      </c>
      <c r="X559" s="839">
        <f>GrossWeightTotalR+PalletQtyTotalR*25</f>
        <v/>
      </c>
      <c r="Y559" s="43" t="n"/>
      <c r="Z559" s="840" t="n"/>
      <c r="AA559" s="840" t="n"/>
    </row>
    <row r="560">
      <c r="A560" s="785" t="n"/>
      <c r="B560" s="785" t="n"/>
      <c r="C560" s="785" t="n"/>
      <c r="D560" s="785" t="n"/>
      <c r="E560" s="785" t="n"/>
      <c r="F560" s="785" t="n"/>
      <c r="G560" s="785" t="n"/>
      <c r="H560" s="785" t="n"/>
      <c r="I560" s="785" t="n"/>
      <c r="J560" s="785" t="n"/>
      <c r="K560" s="785" t="n"/>
      <c r="L560" s="785" t="n"/>
      <c r="M560" s="785" t="n"/>
      <c r="N560" s="795" t="n"/>
      <c r="O560" s="1153" t="inlineStr">
        <is>
          <t>Кол-во коробок</t>
        </is>
      </c>
      <c r="P560" s="789" t="n"/>
      <c r="Q560" s="789" t="n"/>
      <c r="R560" s="789" t="n"/>
      <c r="S560" s="789" t="n"/>
      <c r="T560" s="789" t="n"/>
      <c r="U560" s="790" t="n"/>
      <c r="V560" s="43" t="inlineStr">
        <is>
          <t>шт</t>
        </is>
      </c>
      <c r="W560" s="839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/>
      </c>
      <c r="X560" s="839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/>
      </c>
      <c r="Y560" s="43" t="n"/>
      <c r="Z560" s="840" t="n"/>
      <c r="AA560" s="840" t="n"/>
    </row>
    <row r="561" ht="14.25" customHeight="1">
      <c r="A561" s="785" t="n"/>
      <c r="B561" s="785" t="n"/>
      <c r="C561" s="785" t="n"/>
      <c r="D561" s="785" t="n"/>
      <c r="E561" s="785" t="n"/>
      <c r="F561" s="785" t="n"/>
      <c r="G561" s="785" t="n"/>
      <c r="H561" s="785" t="n"/>
      <c r="I561" s="785" t="n"/>
      <c r="J561" s="785" t="n"/>
      <c r="K561" s="785" t="n"/>
      <c r="L561" s="785" t="n"/>
      <c r="M561" s="785" t="n"/>
      <c r="N561" s="795" t="n"/>
      <c r="O561" s="1153" t="inlineStr">
        <is>
          <t>Объем заказа</t>
        </is>
      </c>
      <c r="P561" s="789" t="n"/>
      <c r="Q561" s="789" t="n"/>
      <c r="R561" s="789" t="n"/>
      <c r="S561" s="789" t="n"/>
      <c r="T561" s="789" t="n"/>
      <c r="U561" s="790" t="n"/>
      <c r="V561" s="46" t="inlineStr">
        <is>
          <t>м3</t>
        </is>
      </c>
      <c r="W561" s="43" t="n"/>
      <c r="X561" s="43" t="n"/>
      <c r="Y561" s="43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/>
      </c>
      <c r="Z561" s="840" t="n"/>
      <c r="AA561" s="840" t="n"/>
    </row>
    <row r="562" ht="13.5" customHeight="1" thickBot="1"/>
    <row r="563" ht="27" customHeight="1" thickBot="1" thickTop="1">
      <c r="A563" s="47" t="inlineStr">
        <is>
          <t>ТОРГОВАЯ МАРКА</t>
        </is>
      </c>
      <c r="B563" s="773" t="inlineStr">
        <is>
          <t>Ядрена копоть</t>
        </is>
      </c>
      <c r="C563" s="773" t="inlineStr">
        <is>
          <t>Вязанка</t>
        </is>
      </c>
      <c r="D563" s="1154" t="n"/>
      <c r="E563" s="1154" t="n"/>
      <c r="F563" s="1155" t="n"/>
      <c r="G563" s="773" t="inlineStr">
        <is>
          <t>Стародворье</t>
        </is>
      </c>
      <c r="H563" s="1154" t="n"/>
      <c r="I563" s="1154" t="n"/>
      <c r="J563" s="1154" t="n"/>
      <c r="K563" s="1154" t="n"/>
      <c r="L563" s="1154" t="n"/>
      <c r="M563" s="1154" t="n"/>
      <c r="N563" s="1154" t="n"/>
      <c r="O563" s="1154" t="n"/>
      <c r="P563" s="1155" t="n"/>
      <c r="Q563" s="773" t="inlineStr">
        <is>
          <t>Особый рецепт</t>
        </is>
      </c>
      <c r="R563" s="1155" t="n"/>
      <c r="S563" s="773" t="inlineStr">
        <is>
          <t>Баварушка</t>
        </is>
      </c>
      <c r="T563" s="1154" t="n"/>
      <c r="U563" s="1154" t="n"/>
      <c r="V563" s="1155" t="n"/>
      <c r="W563" s="773" t="inlineStr">
        <is>
          <t>Дугушка</t>
        </is>
      </c>
      <c r="X563" s="773" t="inlineStr">
        <is>
          <t>Зареченские</t>
        </is>
      </c>
      <c r="AA563" s="61" t="n"/>
      <c r="AD563" s="785" t="n"/>
    </row>
    <row r="564" ht="14.25" customHeight="1" thickTop="1">
      <c r="A564" s="786" t="inlineStr">
        <is>
          <t>СЕРИЯ</t>
        </is>
      </c>
      <c r="B564" s="773" t="inlineStr">
        <is>
          <t>Ядрена копоть</t>
        </is>
      </c>
      <c r="C564" s="773" t="inlineStr">
        <is>
          <t>Столичная</t>
        </is>
      </c>
      <c r="D564" s="773" t="inlineStr">
        <is>
          <t>Классическая</t>
        </is>
      </c>
      <c r="E564" s="773" t="inlineStr">
        <is>
          <t>Вязанка</t>
        </is>
      </c>
      <c r="F564" s="773" t="inlineStr">
        <is>
          <t>Сливушки</t>
        </is>
      </c>
      <c r="G564" s="773" t="inlineStr">
        <is>
          <t>Золоченная в печи</t>
        </is>
      </c>
      <c r="H564" s="773" t="inlineStr">
        <is>
          <t>Мясорубская</t>
        </is>
      </c>
      <c r="I564" s="773" t="inlineStr">
        <is>
          <t>Сочинка</t>
        </is>
      </c>
      <c r="J564" s="773" t="inlineStr">
        <is>
          <t>Филедворская</t>
        </is>
      </c>
      <c r="K564" s="785" t="n"/>
      <c r="L564" s="773" t="inlineStr">
        <is>
          <t>Бордо</t>
        </is>
      </c>
      <c r="M564" s="785" t="n"/>
      <c r="N564" s="773" t="inlineStr">
        <is>
          <t>Бордо</t>
        </is>
      </c>
      <c r="O564" s="773" t="inlineStr">
        <is>
          <t>Фирменная</t>
        </is>
      </c>
      <c r="P564" s="773" t="inlineStr">
        <is>
          <t>Бавария</t>
        </is>
      </c>
      <c r="Q564" s="773" t="inlineStr">
        <is>
          <t>Особая</t>
        </is>
      </c>
      <c r="R564" s="773" t="inlineStr">
        <is>
          <t>Особая Без свинины</t>
        </is>
      </c>
      <c r="S564" s="773" t="inlineStr">
        <is>
          <t>Филейбургская</t>
        </is>
      </c>
      <c r="T564" s="773" t="inlineStr">
        <is>
          <t>Балыкбургская</t>
        </is>
      </c>
      <c r="U564" s="773" t="inlineStr">
        <is>
          <t>Краковюрст</t>
        </is>
      </c>
      <c r="V564" s="773" t="inlineStr">
        <is>
          <t>Бюргерсы</t>
        </is>
      </c>
      <c r="W564" s="773" t="inlineStr">
        <is>
          <t>Дугушка</t>
        </is>
      </c>
      <c r="X564" s="773" t="inlineStr">
        <is>
          <t>Зареченские продукты</t>
        </is>
      </c>
      <c r="AA564" s="61" t="n"/>
      <c r="AD564" s="785" t="n"/>
    </row>
    <row r="565" ht="13.5" customHeight="1" thickBot="1">
      <c r="A565" s="1156" t="n"/>
      <c r="B565" s="1157" t="n"/>
      <c r="C565" s="1157" t="n"/>
      <c r="D565" s="1157" t="n"/>
      <c r="E565" s="1157" t="n"/>
      <c r="F565" s="1157" t="n"/>
      <c r="G565" s="1157" t="n"/>
      <c r="H565" s="1157" t="n"/>
      <c r="I565" s="1157" t="n"/>
      <c r="J565" s="1157" t="n"/>
      <c r="K565" s="785" t="n"/>
      <c r="L565" s="1157" t="n"/>
      <c r="M565" s="785" t="n"/>
      <c r="N565" s="1157" t="n"/>
      <c r="O565" s="1157" t="n"/>
      <c r="P565" s="1157" t="n"/>
      <c r="Q565" s="1157" t="n"/>
      <c r="R565" s="1157" t="n"/>
      <c r="S565" s="1157" t="n"/>
      <c r="T565" s="1157" t="n"/>
      <c r="U565" s="1157" t="n"/>
      <c r="V565" s="1157" t="n"/>
      <c r="W565" s="1157" t="n"/>
      <c r="X565" s="1157" t="n"/>
      <c r="AA565" s="61" t="n"/>
      <c r="AD565" s="785" t="n"/>
    </row>
    <row r="566" ht="18" customHeight="1" thickBot="1" thickTop="1">
      <c r="A566" s="47" t="inlineStr">
        <is>
          <t>ИТОГО, кг</t>
        </is>
      </c>
      <c r="B566" s="53">
        <f>IFERROR(X22*1,"0")+IFERROR(X23*1,"0")+IFERROR(X27*1,"0")+IFERROR(X28*1,"0")+IFERROR(X29*1,"0")+IFERROR(X30*1,"0")+IFERROR(X31*1,"0")+IFERROR(X32*1,"0")+IFERROR(X33*1,"0")+IFERROR(X37*1,"0")+IFERROR(X41*1,"0")</f>
        <v/>
      </c>
      <c r="C566" s="53">
        <f>IFERROR(X47*1,"0")+IFERROR(X48*1,"0")</f>
        <v/>
      </c>
      <c r="D566" s="53">
        <f>IFERROR(X53*1,"0")+IFERROR(X54*1,"0")+IFERROR(X55*1,"0")+IFERROR(X56*1,"0")</f>
        <v/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/>
      </c>
      <c r="F566" s="53">
        <f>IFERROR(X131*1,"0")+IFERROR(X132*1,"0")+IFERROR(X133*1,"0")+IFERROR(X134*1,"0")+IFERROR(X135*1,"0")</f>
        <v/>
      </c>
      <c r="G566" s="53">
        <f>IFERROR(X141*1,"0")+IFERROR(X142*1,"0")+IFERROR(X143*1,"0")+IFERROR(X144*1,"0")</f>
        <v/>
      </c>
      <c r="H566" s="53">
        <f>IFERROR(X149*1,"0")+IFERROR(X150*1,"0")+IFERROR(X151*1,"0")+IFERROR(X152*1,"0")+IFERROR(X153*1,"0")+IFERROR(X154*1,"0")+IFERROR(X155*1,"0")+IFERROR(X156*1,"0")+IFERROR(X157*1,"0")</f>
        <v/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/>
      </c>
      <c r="J566" s="53">
        <f>IFERROR(X213*1,"0")+IFERROR(X214*1,"0")+IFERROR(X215*1,"0")+IFERROR(X216*1,"0")+IFERROR(X217*1,"0")+IFERROR(X218*1,"0")+IFERROR(X219*1,"0")+IFERROR(X223*1,"0")+IFERROR(X224*1,"0")+IFERROR(X225*1,"0")</f>
        <v/>
      </c>
      <c r="K566" s="785" t="n"/>
      <c r="L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/>
      </c>
      <c r="M566" s="785" t="n"/>
      <c r="N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/>
      </c>
      <c r="O566" s="53">
        <f>IFERROR(X295*1,"0")+IFERROR(X296*1,"0")+IFERROR(X297*1,"0")+IFERROR(X298*1,"0")+IFERROR(X299*1,"0")+IFERROR(X300*1,"0")+IFERROR(X301*1,"0")+IFERROR(X305*1,"0")+IFERROR(X306*1,"0")</f>
        <v/>
      </c>
      <c r="P566" s="53">
        <f>IFERROR(X311*1,"0")+IFERROR(X315*1,"0")+IFERROR(X316*1,"0")+IFERROR(X317*1,"0")+IFERROR(X321*1,"0")+IFERROR(X325*1,"0")</f>
        <v/>
      </c>
      <c r="Q566" s="53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/>
      </c>
      <c r="R566" s="53">
        <f>IFERROR(X363*1,"0")+IFERROR(X364*1,"0")+IFERROR(X365*1,"0")+IFERROR(X366*1,"0")+IFERROR(X367*1,"0")+IFERROR(X371*1,"0")+IFERROR(X372*1,"0")+IFERROR(X376*1,"0")+IFERROR(X377*1,"0")+IFERROR(X378*1,"0")+IFERROR(X379*1,"0")+IFERROR(X383*1,"0")</f>
        <v/>
      </c>
      <c r="S566" s="53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/>
      </c>
      <c r="T566" s="53">
        <f>IFERROR(X427*1,"0")+IFERROR(X428*1,"0")+IFERROR(X432*1,"0")+IFERROR(X433*1,"0")+IFERROR(X434*1,"0")+IFERROR(X435*1,"0")+IFERROR(X436*1,"0")+IFERROR(X437*1,"0")+IFERROR(X441*1,"0")+IFERROR(X442*1,"0")+IFERROR(X446*1,"0")+IFERROR(X450*1,"0")</f>
        <v/>
      </c>
      <c r="U566" s="53">
        <f>IFERROR(X455*1,"0")+IFERROR(X456*1,"0")+IFERROR(X457*1,"0")</f>
        <v/>
      </c>
      <c r="V566" s="53">
        <f>IFERROR(X462*1,"0")+IFERROR(X466*1,"0")</f>
        <v/>
      </c>
      <c r="W566" s="53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/>
      </c>
      <c r="X566" s="53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/>
      </c>
      <c r="AA566" s="61" t="n"/>
      <c r="AD566" s="785" t="n"/>
    </row>
    <row r="5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1EVjW5I5njQ++5HH4rjng==" formatRows="1" sort="0" spinCount="100000" hashValue="2qGdewlqVc2kFS5wvutxM9MfCFV/tmq/O2L8WMy7QijQaI0Rz/zRizilzmRokRn6ypHW4N9bc9qmrt9VBVPeh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15"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U10:V10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O284:S284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A547:N548"/>
    <mergeCell ref="O376:S376"/>
    <mergeCell ref="O437:S437"/>
    <mergeCell ref="O53:S53"/>
    <mergeCell ref="A386:Y386"/>
    <mergeCell ref="O120:S120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O191:S191"/>
    <mergeCell ref="I17:I18"/>
    <mergeCell ref="O540:U540"/>
    <mergeCell ref="L564:L565"/>
    <mergeCell ref="O476:S476"/>
    <mergeCell ref="D141:E141"/>
    <mergeCell ref="D306:E306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D235:E235"/>
    <mergeCell ref="O428:S428"/>
    <mergeCell ref="O15:S16"/>
    <mergeCell ref="D421:E421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544:S544"/>
    <mergeCell ref="D546:E546"/>
    <mergeCell ref="O397:S397"/>
    <mergeCell ref="O245:S245"/>
    <mergeCell ref="A171:Y171"/>
    <mergeCell ref="O372:S372"/>
    <mergeCell ref="P9:Q9"/>
    <mergeCell ref="D390:E390"/>
    <mergeCell ref="O402:S40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O559:U559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D103:E103"/>
    <mergeCell ref="O490:U490"/>
    <mergeCell ref="O319:U319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D106:E106"/>
    <mergeCell ref="D416:E416"/>
    <mergeCell ref="O311:S311"/>
    <mergeCell ref="D264:E264"/>
    <mergeCell ref="D93:E93"/>
    <mergeCell ref="O213:S213"/>
    <mergeCell ref="O188:S188"/>
    <mergeCell ref="O126:S126"/>
    <mergeCell ref="D157:E157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A44:Y44"/>
    <mergeCell ref="D533:E533"/>
    <mergeCell ref="D185:E185"/>
    <mergeCell ref="O32:S32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D41:E41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P13:Q13"/>
    <mergeCell ref="N564:N565"/>
    <mergeCell ref="D347:E347"/>
    <mergeCell ref="F564:F565"/>
    <mergeCell ref="P564:P565"/>
    <mergeCell ref="O332:S332"/>
    <mergeCell ref="D176:E176"/>
    <mergeCell ref="D412:E412"/>
    <mergeCell ref="O163:S163"/>
    <mergeCell ref="D114:E114"/>
    <mergeCell ref="D64:E64"/>
    <mergeCell ref="A330:Y330"/>
    <mergeCell ref="O373:U373"/>
    <mergeCell ref="O202:U202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A45:Y45"/>
    <mergeCell ref="O295:S295"/>
    <mergeCell ref="A287:Y287"/>
    <mergeCell ref="O530:U530"/>
    <mergeCell ref="A281:Y281"/>
    <mergeCell ref="O95:S95"/>
    <mergeCell ref="O282:S282"/>
    <mergeCell ref="O257:S257"/>
    <mergeCell ref="O232:S232"/>
    <mergeCell ref="O61:S61"/>
    <mergeCell ref="A530:N531"/>
    <mergeCell ref="A359:N360"/>
    <mergeCell ref="O48:S48"/>
    <mergeCell ref="O153:S153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E564:E565"/>
    <mergeCell ref="G564:G565"/>
    <mergeCell ref="A148:Y148"/>
    <mergeCell ref="K17:K18"/>
    <mergeCell ref="D446:E446"/>
    <mergeCell ref="A180:N181"/>
    <mergeCell ref="O276:S276"/>
    <mergeCell ref="O143:S143"/>
    <mergeCell ref="A511:Y511"/>
    <mergeCell ref="D367:E367"/>
    <mergeCell ref="O214:S214"/>
    <mergeCell ref="U12:V12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A393:Y393"/>
    <mergeCell ref="O367:S367"/>
    <mergeCell ref="A160:Y160"/>
    <mergeCell ref="O96:S96"/>
    <mergeCell ref="A524:Y524"/>
    <mergeCell ref="O283:S283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O390:S390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O145:U145"/>
    <mergeCell ref="D436:E436"/>
    <mergeCell ref="O381:U381"/>
    <mergeCell ref="O187:S187"/>
    <mergeCell ref="D534:E534"/>
    <mergeCell ref="O174:S174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O551:S551"/>
    <mergeCell ref="D358:E358"/>
    <mergeCell ref="O25:U25"/>
    <mergeCell ref="O463:U463"/>
    <mergeCell ref="O292:U292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D149:E149"/>
    <mergeCell ref="O458:U458"/>
    <mergeCell ref="O523:U523"/>
    <mergeCell ref="A508:N509"/>
    <mergeCell ref="A312:N313"/>
    <mergeCell ref="O237:U237"/>
    <mergeCell ref="D257:E257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M17:M18"/>
    <mergeCell ref="O177:S177"/>
    <mergeCell ref="O248:S248"/>
    <mergeCell ref="O475:S475"/>
    <mergeCell ref="A461:Y461"/>
    <mergeCell ref="O335:S335"/>
    <mergeCell ref="A532:Y532"/>
    <mergeCell ref="O462:S462"/>
    <mergeCell ref="O297:S297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O493:S493"/>
    <mergeCell ref="A349:N350"/>
    <mergeCell ref="D152:E152"/>
    <mergeCell ref="D394:E394"/>
    <mergeCell ref="D450:E450"/>
    <mergeCell ref="D223:E223"/>
    <mergeCell ref="D521:E521"/>
    <mergeCell ref="O118:U118"/>
    <mergeCell ref="O247:S247"/>
    <mergeCell ref="D29:E29"/>
    <mergeCell ref="O185:S185"/>
    <mergeCell ref="D23:E23"/>
    <mergeCell ref="D265:E265"/>
    <mergeCell ref="D216:E216"/>
    <mergeCell ref="A469:Y469"/>
    <mergeCell ref="O299:S299"/>
    <mergeCell ref="D252:E252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405:S405"/>
    <mergeCell ref="O536:S536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A504:N505"/>
    <mergeCell ref="O429:U429"/>
    <mergeCell ref="D120:E120"/>
    <mergeCell ref="F17:F18"/>
    <mergeCell ref="O556:U556"/>
    <mergeCell ref="D478:E478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O322:U322"/>
    <mergeCell ref="D244:E244"/>
    <mergeCell ref="O260:U260"/>
    <mergeCell ref="O196:S196"/>
    <mergeCell ref="O558:U558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O137:U137"/>
    <mergeCell ref="D515:E515"/>
    <mergeCell ref="D173:E173"/>
    <mergeCell ref="O360:U360"/>
    <mergeCell ref="D17:E18"/>
    <mergeCell ref="D542:E542"/>
    <mergeCell ref="V17:V18"/>
    <mergeCell ref="A447:N448"/>
    <mergeCell ref="O410:S410"/>
    <mergeCell ref="D123:E123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2woSj3S4QIIVHfmsN6WgQ==" formatRows="1" sort="0" spinCount="100000" hashValue="tqXgO5b+8g6DMAQ7ois24iQk6FJDd1KdlNviE//oggYuULTReORKs9ki/7jKm0egX2ZwCl/F+2yRz9PL0BKH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2024-06-10T09:49:24Z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