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0,23 Бычков\машина\"/>
    </mc:Choice>
  </mc:AlternateContent>
  <xr:revisionPtr revIDLastSave="0" documentId="13_ncr:1_{D91FE5CF-F558-43AB-B3D0-596C4A7719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M464" i="1"/>
  <c r="U461" i="1"/>
  <c r="U460" i="1"/>
  <c r="V459" i="1"/>
  <c r="W459" i="1" s="1"/>
  <c r="M459" i="1"/>
  <c r="V458" i="1"/>
  <c r="W458" i="1" s="1"/>
  <c r="W460" i="1" s="1"/>
  <c r="M458" i="1"/>
  <c r="U456" i="1"/>
  <c r="U455" i="1"/>
  <c r="V454" i="1"/>
  <c r="W454" i="1" s="1"/>
  <c r="M454" i="1"/>
  <c r="V453" i="1"/>
  <c r="W453" i="1" s="1"/>
  <c r="V452" i="1"/>
  <c r="M452" i="1"/>
  <c r="U450" i="1"/>
  <c r="U449" i="1"/>
  <c r="V448" i="1"/>
  <c r="W448" i="1" s="1"/>
  <c r="M448" i="1"/>
  <c r="V447" i="1"/>
  <c r="W447" i="1" s="1"/>
  <c r="V446" i="1"/>
  <c r="W446" i="1" s="1"/>
  <c r="U444" i="1"/>
  <c r="U443" i="1"/>
  <c r="V442" i="1"/>
  <c r="W442" i="1" s="1"/>
  <c r="M442" i="1"/>
  <c r="V441" i="1"/>
  <c r="W441" i="1" s="1"/>
  <c r="W443" i="1" s="1"/>
  <c r="M441" i="1"/>
  <c r="U437" i="1"/>
  <c r="U436" i="1"/>
  <c r="V435" i="1"/>
  <c r="W435" i="1" s="1"/>
  <c r="M435" i="1"/>
  <c r="V434" i="1"/>
  <c r="V436" i="1" s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V425" i="1"/>
  <c r="M425" i="1"/>
  <c r="U423" i="1"/>
  <c r="U422" i="1"/>
  <c r="V421" i="1"/>
  <c r="W421" i="1" s="1"/>
  <c r="M421" i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U404" i="1"/>
  <c r="U403" i="1"/>
  <c r="V402" i="1"/>
  <c r="V404" i="1" s="1"/>
  <c r="M402" i="1"/>
  <c r="U400" i="1"/>
  <c r="U399" i="1"/>
  <c r="V398" i="1"/>
  <c r="V400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V385" i="1" s="1"/>
  <c r="M383" i="1"/>
  <c r="U380" i="1"/>
  <c r="U379" i="1"/>
  <c r="V378" i="1"/>
  <c r="V380" i="1" s="1"/>
  <c r="U376" i="1"/>
  <c r="U375" i="1"/>
  <c r="V374" i="1"/>
  <c r="W374" i="1" s="1"/>
  <c r="M374" i="1"/>
  <c r="V373" i="1"/>
  <c r="W373" i="1" s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V365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M345" i="1"/>
  <c r="U343" i="1"/>
  <c r="U342" i="1"/>
  <c r="V341" i="1"/>
  <c r="W341" i="1" s="1"/>
  <c r="M341" i="1"/>
  <c r="V340" i="1"/>
  <c r="W340" i="1" s="1"/>
  <c r="W342" i="1" s="1"/>
  <c r="M340" i="1"/>
  <c r="U336" i="1"/>
  <c r="U335" i="1"/>
  <c r="V334" i="1"/>
  <c r="V336" i="1" s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V327" i="1"/>
  <c r="M327" i="1"/>
  <c r="U325" i="1"/>
  <c r="U324" i="1"/>
  <c r="V323" i="1"/>
  <c r="W323" i="1" s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V277" i="1"/>
  <c r="U277" i="1"/>
  <c r="W276" i="1"/>
  <c r="V276" i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V255" i="1"/>
  <c r="W255" i="1" s="1"/>
  <c r="M255" i="1"/>
  <c r="V254" i="1"/>
  <c r="M254" i="1"/>
  <c r="U251" i="1"/>
  <c r="U250" i="1"/>
  <c r="V249" i="1"/>
  <c r="W249" i="1" s="1"/>
  <c r="M249" i="1"/>
  <c r="V248" i="1"/>
  <c r="W248" i="1" s="1"/>
  <c r="M248" i="1"/>
  <c r="V247" i="1"/>
  <c r="M247" i="1"/>
  <c r="U245" i="1"/>
  <c r="U244" i="1"/>
  <c r="V243" i="1"/>
  <c r="W243" i="1" s="1"/>
  <c r="M243" i="1"/>
  <c r="V242" i="1"/>
  <c r="W242" i="1" s="1"/>
  <c r="V241" i="1"/>
  <c r="W241" i="1" s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V226" i="1"/>
  <c r="W226" i="1" s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M215" i="1"/>
  <c r="U213" i="1"/>
  <c r="U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U194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V177" i="1"/>
  <c r="W177" i="1" s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W164" i="1" s="1"/>
  <c r="M164" i="1"/>
  <c r="V163" i="1"/>
  <c r="V168" i="1" s="1"/>
  <c r="M163" i="1"/>
  <c r="U161" i="1"/>
  <c r="U160" i="1"/>
  <c r="V159" i="1"/>
  <c r="W159" i="1" s="1"/>
  <c r="M159" i="1"/>
  <c r="V158" i="1"/>
  <c r="W158" i="1" s="1"/>
  <c r="U156" i="1"/>
  <c r="U155" i="1"/>
  <c r="V154" i="1"/>
  <c r="W154" i="1" s="1"/>
  <c r="M154" i="1"/>
  <c r="V153" i="1"/>
  <c r="W153" i="1" s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M141" i="1"/>
  <c r="U138" i="1"/>
  <c r="U137" i="1"/>
  <c r="V136" i="1"/>
  <c r="W136" i="1" s="1"/>
  <c r="M136" i="1"/>
  <c r="V135" i="1"/>
  <c r="W135" i="1" s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M125" i="1"/>
  <c r="U122" i="1"/>
  <c r="U121" i="1"/>
  <c r="V120" i="1"/>
  <c r="W120" i="1" s="1"/>
  <c r="V119" i="1"/>
  <c r="W119" i="1" s="1"/>
  <c r="M119" i="1"/>
  <c r="V118" i="1"/>
  <c r="W118" i="1" s="1"/>
  <c r="V117" i="1"/>
  <c r="W117" i="1" s="1"/>
  <c r="M117" i="1"/>
  <c r="V116" i="1"/>
  <c r="W116" i="1" s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W106" i="1" s="1"/>
  <c r="M106" i="1"/>
  <c r="V105" i="1"/>
  <c r="W105" i="1" s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V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V129" i="1" l="1"/>
  <c r="U467" i="1"/>
  <c r="W398" i="1"/>
  <c r="W399" i="1" s="1"/>
  <c r="V399" i="1"/>
  <c r="W402" i="1"/>
  <c r="W403" i="1" s="1"/>
  <c r="V403" i="1"/>
  <c r="W121" i="1"/>
  <c r="W449" i="1"/>
  <c r="V102" i="1"/>
  <c r="V188" i="1"/>
  <c r="W334" i="1"/>
  <c r="W335" i="1" s="1"/>
  <c r="V335" i="1"/>
  <c r="W232" i="1"/>
  <c r="W212" i="1"/>
  <c r="W155" i="1"/>
  <c r="W160" i="1"/>
  <c r="W244" i="1"/>
  <c r="W22" i="1"/>
  <c r="W23" i="1" s="1"/>
  <c r="W26" i="1"/>
  <c r="D477" i="1"/>
  <c r="V88" i="1"/>
  <c r="V114" i="1"/>
  <c r="V122" i="1"/>
  <c r="W125" i="1"/>
  <c r="W129" i="1" s="1"/>
  <c r="H477" i="1"/>
  <c r="V160" i="1"/>
  <c r="W170" i="1"/>
  <c r="V244" i="1"/>
  <c r="W264" i="1"/>
  <c r="W266" i="1" s="1"/>
  <c r="V303" i="1"/>
  <c r="W322" i="1"/>
  <c r="W324" i="1" s="1"/>
  <c r="O477" i="1"/>
  <c r="W361" i="1"/>
  <c r="W365" i="1" s="1"/>
  <c r="W378" i="1"/>
  <c r="W379" i="1" s="1"/>
  <c r="V379" i="1"/>
  <c r="W383" i="1"/>
  <c r="W385" i="1" s="1"/>
  <c r="Q477" i="1"/>
  <c r="W420" i="1"/>
  <c r="W422" i="1" s="1"/>
  <c r="W32" i="1"/>
  <c r="W78" i="1"/>
  <c r="W188" i="1"/>
  <c r="V33" i="1"/>
  <c r="V51" i="1"/>
  <c r="V60" i="1"/>
  <c r="V78" i="1"/>
  <c r="V130" i="1"/>
  <c r="V138" i="1"/>
  <c r="V156" i="1"/>
  <c r="V161" i="1"/>
  <c r="V189" i="1"/>
  <c r="V193" i="1"/>
  <c r="V213" i="1"/>
  <c r="V224" i="1"/>
  <c r="W219" i="1"/>
  <c r="W223" i="1" s="1"/>
  <c r="V223" i="1"/>
  <c r="V233" i="1"/>
  <c r="V238" i="1"/>
  <c r="W235" i="1"/>
  <c r="W238" i="1" s="1"/>
  <c r="V251" i="1"/>
  <c r="K477" i="1"/>
  <c r="V262" i="1"/>
  <c r="W254" i="1"/>
  <c r="W261" i="1" s="1"/>
  <c r="V37" i="1"/>
  <c r="V41" i="1"/>
  <c r="V45" i="1"/>
  <c r="V87" i="1"/>
  <c r="V101" i="1"/>
  <c r="V113" i="1"/>
  <c r="V121" i="1"/>
  <c r="V149" i="1"/>
  <c r="V167" i="1"/>
  <c r="V216" i="1"/>
  <c r="W215" i="1"/>
  <c r="W216" i="1" s="1"/>
  <c r="V217" i="1"/>
  <c r="W298" i="1"/>
  <c r="F477" i="1"/>
  <c r="N477" i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V471" i="1" l="1"/>
  <c r="W472" i="1"/>
  <c r="V467" i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<sst xmlns="http://schemas.openxmlformats.org/spreadsheetml/2006/main" count="1700" uniqueCount="640">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</sst>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7"/>
  <sheetViews>
    <sheetView showGridLines="0" tabSelected="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554" t="s">
        <v>0</v>
      </c>
      <c r="E1" s="381"/>
      <c r="F1" s="381"/>
      <c r="G1" s="13" t="s">
        <v>1</v>
      </c>
      <c r="H1" s="554" t="s">
        <v>2</v>
      </c>
      <c r="I1" s="381"/>
      <c r="J1" s="381"/>
      <c r="K1" s="381"/>
      <c r="L1" s="381"/>
      <c r="M1" s="381"/>
      <c r="N1" s="381"/>
      <c r="O1" s="380" t="s">
        <v>3</v>
      </c>
      <c r="P1" s="381"/>
      <c r="Q1" s="38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542" t="s">
        <v>8</v>
      </c>
      <c r="B5" s="365"/>
      <c r="C5" s="366"/>
      <c r="D5" s="582"/>
      <c r="E5" s="584"/>
      <c r="F5" s="384" t="s">
        <v>9</v>
      </c>
      <c r="G5" s="366"/>
      <c r="H5" s="582"/>
      <c r="I5" s="583"/>
      <c r="J5" s="583"/>
      <c r="K5" s="584"/>
      <c r="M5" s="25" t="s">
        <v>10</v>
      </c>
      <c r="N5" s="422">
        <v>45224</v>
      </c>
      <c r="O5" s="363"/>
      <c r="Q5" s="357" t="s">
        <v>11</v>
      </c>
      <c r="R5" s="358"/>
      <c r="S5" s="462" t="s">
        <v>12</v>
      </c>
      <c r="T5" s="363"/>
      <c r="Y5" s="52"/>
      <c r="Z5" s="52"/>
      <c r="AA5" s="52"/>
    </row>
    <row r="6" spans="1:28" s="303" customFormat="1" ht="24" customHeight="1" x14ac:dyDescent="0.2">
      <c r="A6" s="542" t="s">
        <v>13</v>
      </c>
      <c r="B6" s="365"/>
      <c r="C6" s="366"/>
      <c r="D6" s="591" t="s">
        <v>14</v>
      </c>
      <c r="E6" s="592"/>
      <c r="F6" s="592"/>
      <c r="G6" s="592"/>
      <c r="H6" s="592"/>
      <c r="I6" s="592"/>
      <c r="J6" s="592"/>
      <c r="K6" s="363"/>
      <c r="M6" s="25" t="s">
        <v>15</v>
      </c>
      <c r="N6" s="512" t="str">
        <f>IF(N5=0," ",CHOOSE(WEEKDAY(N5,2),"Понедельник","Вторник","Среда","Четверг","Пятница","Суббота","Воскресенье"))</f>
        <v>Среда</v>
      </c>
      <c r="O6" s="317"/>
      <c r="Q6" s="618" t="s">
        <v>16</v>
      </c>
      <c r="R6" s="358"/>
      <c r="S6" s="619" t="s">
        <v>17</v>
      </c>
      <c r="T6" s="473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465" t="str">
        <f>IFERROR(VLOOKUP(DeliveryAddress,Table,3,0),1)</f>
        <v>1</v>
      </c>
      <c r="E7" s="466"/>
      <c r="F7" s="466"/>
      <c r="G7" s="466"/>
      <c r="H7" s="466"/>
      <c r="I7" s="466"/>
      <c r="J7" s="466"/>
      <c r="K7" s="409"/>
      <c r="M7" s="25"/>
      <c r="N7" s="43"/>
      <c r="O7" s="43"/>
      <c r="Q7" s="327"/>
      <c r="R7" s="358"/>
      <c r="S7" s="620"/>
      <c r="T7" s="621"/>
      <c r="Y7" s="52"/>
      <c r="Z7" s="52"/>
      <c r="AA7" s="52"/>
    </row>
    <row r="8" spans="1:28" s="303" customFormat="1" ht="25.5" customHeight="1" x14ac:dyDescent="0.2">
      <c r="A8" s="323" t="s">
        <v>18</v>
      </c>
      <c r="B8" s="324"/>
      <c r="C8" s="325"/>
      <c r="D8" s="467"/>
      <c r="E8" s="468"/>
      <c r="F8" s="468"/>
      <c r="G8" s="468"/>
      <c r="H8" s="468"/>
      <c r="I8" s="468"/>
      <c r="J8" s="468"/>
      <c r="K8" s="469"/>
      <c r="M8" s="25" t="s">
        <v>19</v>
      </c>
      <c r="N8" s="362">
        <v>0.5</v>
      </c>
      <c r="O8" s="363"/>
      <c r="Q8" s="327"/>
      <c r="R8" s="358"/>
      <c r="S8" s="620"/>
      <c r="T8" s="621"/>
      <c r="Y8" s="52"/>
      <c r="Z8" s="52"/>
      <c r="AA8" s="52"/>
    </row>
    <row r="9" spans="1:28" s="303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9"/>
      <c r="E9" s="400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27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6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M9" s="27" t="s">
        <v>20</v>
      </c>
      <c r="N9" s="422"/>
      <c r="O9" s="363"/>
      <c r="Q9" s="327"/>
      <c r="R9" s="358"/>
      <c r="S9" s="622"/>
      <c r="T9" s="623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9"/>
      <c r="E10" s="400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31" t="str">
        <f>IFERROR(VLOOKUP($D$10,Proxy,2,FALSE),"")</f>
        <v/>
      </c>
      <c r="I10" s="327"/>
      <c r="J10" s="327"/>
      <c r="K10" s="327"/>
      <c r="M10" s="27" t="s">
        <v>21</v>
      </c>
      <c r="N10" s="362"/>
      <c r="O10" s="363"/>
      <c r="R10" s="25" t="s">
        <v>22</v>
      </c>
      <c r="S10" s="472" t="s">
        <v>23</v>
      </c>
      <c r="T10" s="473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62"/>
      <c r="O11" s="363"/>
      <c r="R11" s="25" t="s">
        <v>26</v>
      </c>
      <c r="S11" s="321" t="s">
        <v>27</v>
      </c>
      <c r="T11" s="322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64" t="s">
        <v>28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6"/>
      <c r="M12" s="25" t="s">
        <v>29</v>
      </c>
      <c r="N12" s="408"/>
      <c r="O12" s="409"/>
      <c r="P12" s="24"/>
      <c r="R12" s="25"/>
      <c r="S12" s="381"/>
      <c r="T12" s="327"/>
      <c r="Y12" s="52"/>
      <c r="Z12" s="52"/>
      <c r="AA12" s="52"/>
    </row>
    <row r="13" spans="1:28" s="303" customFormat="1" ht="23.25" customHeight="1" x14ac:dyDescent="0.2">
      <c r="A13" s="364" t="s">
        <v>30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6"/>
      <c r="L13" s="27"/>
      <c r="M13" s="27" t="s">
        <v>31</v>
      </c>
      <c r="N13" s="321"/>
      <c r="O13" s="322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64" t="s">
        <v>32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638" t="s">
        <v>33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6"/>
      <c r="M15" s="499" t="s">
        <v>34</v>
      </c>
      <c r="N15" s="381"/>
      <c r="O15" s="381"/>
      <c r="P15" s="381"/>
      <c r="Q15" s="38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00"/>
      <c r="N16" s="500"/>
      <c r="O16" s="500"/>
      <c r="P16" s="500"/>
      <c r="Q16" s="5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523" t="s">
        <v>37</v>
      </c>
      <c r="D17" s="359" t="s">
        <v>38</v>
      </c>
      <c r="E17" s="374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589"/>
      <c r="O17" s="589"/>
      <c r="P17" s="589"/>
      <c r="Q17" s="374"/>
      <c r="R17" s="370" t="s">
        <v>47</v>
      </c>
      <c r="S17" s="366"/>
      <c r="T17" s="359" t="s">
        <v>48</v>
      </c>
      <c r="U17" s="359" t="s">
        <v>49</v>
      </c>
      <c r="V17" s="372" t="s">
        <v>50</v>
      </c>
      <c r="W17" s="359" t="s">
        <v>51</v>
      </c>
      <c r="X17" s="313" t="s">
        <v>52</v>
      </c>
      <c r="Y17" s="313" t="s">
        <v>53</v>
      </c>
      <c r="Z17" s="313" t="s">
        <v>54</v>
      </c>
      <c r="AA17" s="561"/>
      <c r="AB17" s="562"/>
      <c r="AC17" s="436"/>
      <c r="AZ17" s="553" t="s">
        <v>55</v>
      </c>
    </row>
    <row r="18" spans="1:52" ht="14.25" customHeight="1" x14ac:dyDescent="0.2">
      <c r="A18" s="360"/>
      <c r="B18" s="360"/>
      <c r="C18" s="360"/>
      <c r="D18" s="375"/>
      <c r="E18" s="376"/>
      <c r="F18" s="360"/>
      <c r="G18" s="360"/>
      <c r="H18" s="360"/>
      <c r="I18" s="360"/>
      <c r="J18" s="360"/>
      <c r="K18" s="360"/>
      <c r="L18" s="360"/>
      <c r="M18" s="375"/>
      <c r="N18" s="590"/>
      <c r="O18" s="590"/>
      <c r="P18" s="590"/>
      <c r="Q18" s="376"/>
      <c r="R18" s="304" t="s">
        <v>56</v>
      </c>
      <c r="S18" s="304" t="s">
        <v>57</v>
      </c>
      <c r="T18" s="360"/>
      <c r="U18" s="360"/>
      <c r="V18" s="373"/>
      <c r="W18" s="360"/>
      <c r="X18" s="314"/>
      <c r="Y18" s="314"/>
      <c r="Z18" s="563"/>
      <c r="AA18" s="564"/>
      <c r="AB18" s="565"/>
      <c r="AC18" s="437"/>
      <c r="AZ18" s="327"/>
    </row>
    <row r="19" spans="1:52" ht="27.75" customHeight="1" x14ac:dyDescent="0.2">
      <c r="A19" s="319" t="s">
        <v>58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49"/>
      <c r="Y19" s="49"/>
    </row>
    <row r="20" spans="1:52" ht="16.5" customHeight="1" x14ac:dyDescent="0.25">
      <c r="A20" s="334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5"/>
      <c r="Y20" s="305"/>
    </row>
    <row r="21" spans="1:52" ht="14.25" customHeight="1" x14ac:dyDescent="0.25">
      <c r="A21" s="32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33"/>
      <c r="M23" s="331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33"/>
      <c r="M24" s="331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4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44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33"/>
      <c r="M32" s="331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33"/>
      <c r="M33" s="331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32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33"/>
      <c r="M36" s="331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33"/>
      <c r="M37" s="331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8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6"/>
      <c r="O39" s="316"/>
      <c r="P39" s="316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32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33"/>
      <c r="M40" s="331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33"/>
      <c r="M41" s="331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8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37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6"/>
      <c r="O43" s="316"/>
      <c r="P43" s="316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32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33"/>
      <c r="M44" s="331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33"/>
      <c r="M45" s="331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19" t="s">
        <v>91</v>
      </c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49"/>
      <c r="Y46" s="49"/>
    </row>
    <row r="47" spans="1:52" ht="16.5" customHeight="1" x14ac:dyDescent="0.25">
      <c r="A47" s="334" t="s">
        <v>92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05"/>
      <c r="Y47" s="305"/>
    </row>
    <row r="48" spans="1:52" ht="14.25" customHeight="1" x14ac:dyDescent="0.25">
      <c r="A48" s="326" t="s">
        <v>93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8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6"/>
      <c r="O49" s="316"/>
      <c r="P49" s="316"/>
      <c r="Q49" s="317"/>
      <c r="R49" s="35"/>
      <c r="S49" s="35"/>
      <c r="T49" s="36" t="s">
        <v>63</v>
      </c>
      <c r="U49" s="309">
        <v>520</v>
      </c>
      <c r="V49" s="310">
        <f>IFERROR(IF(U49="",0,CEILING((U49/$H49),1)*$H49),"")</f>
        <v>529.20000000000005</v>
      </c>
      <c r="W49" s="37">
        <f>IFERROR(IF(V49=0,"",ROUNDUP(V49/H49,0)*0.02175),"")</f>
        <v>1.06575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8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6"/>
      <c r="O50" s="316"/>
      <c r="P50" s="316"/>
      <c r="Q50" s="317"/>
      <c r="R50" s="35"/>
      <c r="S50" s="35"/>
      <c r="T50" s="36" t="s">
        <v>63</v>
      </c>
      <c r="U50" s="309">
        <v>157.5</v>
      </c>
      <c r="V50" s="310">
        <f>IFERROR(IF(U50="",0,CEILING((U50/$H50),1)*$H50),"")</f>
        <v>159.30000000000001</v>
      </c>
      <c r="W50" s="37">
        <f>IFERROR(IF(V50=0,"",ROUNDUP(V50/H50,0)*0.00753),"")</f>
        <v>0.44427</v>
      </c>
      <c r="X50" s="57"/>
      <c r="Y50" s="58"/>
      <c r="AC50" s="59"/>
      <c r="AZ50" s="71" t="s">
        <v>1</v>
      </c>
    </row>
    <row r="51" spans="1:52" x14ac:dyDescent="0.2">
      <c r="A51" s="332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33"/>
      <c r="M51" s="331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11">
        <f>IFERROR(U49/H49,"0")+IFERROR(U50/H50,"0")</f>
        <v>106.48148148148147</v>
      </c>
      <c r="V51" s="311">
        <f>IFERROR(V49/H49,"0")+IFERROR(V50/H50,"0")</f>
        <v>108</v>
      </c>
      <c r="W51" s="311">
        <f>IFERROR(IF(W49="",0,W49),"0")+IFERROR(IF(W50="",0,W50),"0")</f>
        <v>1.5100199999999999</v>
      </c>
      <c r="X51" s="312"/>
      <c r="Y51" s="312"/>
    </row>
    <row r="52" spans="1:52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33"/>
      <c r="M52" s="331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11">
        <f>IFERROR(SUM(U49:U50),"0")</f>
        <v>677.5</v>
      </c>
      <c r="V52" s="311">
        <f>IFERROR(SUM(V49:V50),"0")</f>
        <v>688.5</v>
      </c>
      <c r="W52" s="38"/>
      <c r="X52" s="312"/>
      <c r="Y52" s="312"/>
    </row>
    <row r="53" spans="1:52" ht="16.5" customHeight="1" x14ac:dyDescent="0.25">
      <c r="A53" s="334" t="s">
        <v>99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05"/>
      <c r="Y53" s="305"/>
    </row>
    <row r="54" spans="1:52" ht="14.25" customHeight="1" x14ac:dyDescent="0.25">
      <c r="A54" s="326" t="s">
        <v>100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8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403" t="s">
        <v>104</v>
      </c>
      <c r="N55" s="316"/>
      <c r="O55" s="316"/>
      <c r="P55" s="316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8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6"/>
      <c r="O56" s="316"/>
      <c r="P56" s="316"/>
      <c r="Q56" s="317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6"/>
      <c r="O57" s="316"/>
      <c r="P57" s="316"/>
      <c r="Q57" s="317"/>
      <c r="R57" s="35"/>
      <c r="S57" s="35"/>
      <c r="T57" s="36" t="s">
        <v>63</v>
      </c>
      <c r="U57" s="309">
        <v>337.5</v>
      </c>
      <c r="V57" s="310">
        <f>IFERROR(IF(U57="",0,CEILING((U57/$H57),1)*$H57),"")</f>
        <v>337.5</v>
      </c>
      <c r="W57" s="37">
        <f>IFERROR(IF(V57=0,"",ROUNDUP(V57/H57,0)*0.00937),"")</f>
        <v>0.70274999999999999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19" t="s">
        <v>110</v>
      </c>
      <c r="N58" s="316"/>
      <c r="O58" s="316"/>
      <c r="P58" s="316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33"/>
      <c r="M59" s="331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1">
        <f>IFERROR(U55/H55,"0")+IFERROR(U56/H56,"0")+IFERROR(U57/H57,"0")+IFERROR(U58/H58,"0")</f>
        <v>75</v>
      </c>
      <c r="V59" s="311">
        <f>IFERROR(V55/H55,"0")+IFERROR(V56/H56,"0")+IFERROR(V57/H57,"0")+IFERROR(V58/H58,"0")</f>
        <v>75</v>
      </c>
      <c r="W59" s="311">
        <f>IFERROR(IF(W55="",0,W55),"0")+IFERROR(IF(W56="",0,W56),"0")+IFERROR(IF(W57="",0,W57),"0")+IFERROR(IF(W58="",0,W58),"0")</f>
        <v>0.70274999999999999</v>
      </c>
      <c r="X59" s="312"/>
      <c r="Y59" s="312"/>
    </row>
    <row r="60" spans="1:52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33"/>
      <c r="M60" s="331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1">
        <f>IFERROR(SUM(U55:U58),"0")</f>
        <v>337.5</v>
      </c>
      <c r="V60" s="311">
        <f>IFERROR(SUM(V55:V58),"0")</f>
        <v>337.5</v>
      </c>
      <c r="W60" s="38"/>
      <c r="X60" s="312"/>
      <c r="Y60" s="312"/>
    </row>
    <row r="61" spans="1:52" ht="16.5" customHeight="1" x14ac:dyDescent="0.25">
      <c r="A61" s="334" t="s">
        <v>91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5"/>
      <c r="Y61" s="305"/>
    </row>
    <row r="62" spans="1:52" ht="14.25" customHeight="1" x14ac:dyDescent="0.25">
      <c r="A62" s="326" t="s">
        <v>100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8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6"/>
      <c r="O63" s="316"/>
      <c r="P63" s="316"/>
      <c r="Q63" s="317"/>
      <c r="R63" s="35"/>
      <c r="S63" s="35"/>
      <c r="T63" s="36" t="s">
        <v>63</v>
      </c>
      <c r="U63" s="309">
        <v>10</v>
      </c>
      <c r="V63" s="310">
        <f t="shared" ref="V63:V77" si="2">IFERROR(IF(U63="",0,CEILING((U63/$H63),1)*$H63),"")</f>
        <v>11.2</v>
      </c>
      <c r="W63" s="37">
        <f>IFERROR(IF(V63=0,"",ROUNDUP(V63/H63,0)*0.02175),"")</f>
        <v>2.1749999999999999E-2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8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6"/>
      <c r="O64" s="316"/>
      <c r="P64" s="316"/>
      <c r="Q64" s="317"/>
      <c r="R64" s="35"/>
      <c r="S64" s="35"/>
      <c r="T64" s="36" t="s">
        <v>63</v>
      </c>
      <c r="U64" s="309">
        <v>30</v>
      </c>
      <c r="V64" s="310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8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3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6"/>
      <c r="O65" s="316"/>
      <c r="P65" s="316"/>
      <c r="Q65" s="317"/>
      <c r="R65" s="35"/>
      <c r="S65" s="35"/>
      <c r="T65" s="36" t="s">
        <v>63</v>
      </c>
      <c r="U65" s="309">
        <v>90</v>
      </c>
      <c r="V65" s="310">
        <f t="shared" si="2"/>
        <v>97.2</v>
      </c>
      <c r="W65" s="37">
        <f>IFERROR(IF(V65=0,"",ROUNDUP(V65/H65,0)*0.02175),"")</f>
        <v>0.19574999999999998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8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6"/>
      <c r="O66" s="316"/>
      <c r="P66" s="316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8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3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6"/>
      <c r="O67" s="316"/>
      <c r="P67" s="316"/>
      <c r="Q67" s="317"/>
      <c r="R67" s="35"/>
      <c r="S67" s="35"/>
      <c r="T67" s="36" t="s">
        <v>63</v>
      </c>
      <c r="U67" s="309">
        <v>10</v>
      </c>
      <c r="V67" s="310">
        <f t="shared" si="2"/>
        <v>12</v>
      </c>
      <c r="W67" s="37">
        <f>IFERROR(IF(V67=0,"",ROUNDUP(V67/H67,0)*0.00753),"")</f>
        <v>3.0120000000000001E-2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8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6"/>
      <c r="O68" s="316"/>
      <c r="P68" s="316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8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6"/>
      <c r="O69" s="316"/>
      <c r="P69" s="316"/>
      <c r="Q69" s="317"/>
      <c r="R69" s="35"/>
      <c r="S69" s="35"/>
      <c r="T69" s="36" t="s">
        <v>63</v>
      </c>
      <c r="U69" s="309">
        <v>4</v>
      </c>
      <c r="V69" s="310">
        <f t="shared" si="2"/>
        <v>4</v>
      </c>
      <c r="W69" s="37">
        <f t="shared" si="3"/>
        <v>9.3699999999999999E-3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8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6"/>
      <c r="O70" s="316"/>
      <c r="P70" s="316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8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6"/>
      <c r="O71" s="316"/>
      <c r="P71" s="316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8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3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6"/>
      <c r="O72" s="316"/>
      <c r="P72" s="316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8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6"/>
      <c r="O73" s="316"/>
      <c r="P73" s="316"/>
      <c r="Q73" s="317"/>
      <c r="R73" s="35"/>
      <c r="S73" s="35"/>
      <c r="T73" s="36" t="s">
        <v>63</v>
      </c>
      <c r="U73" s="309">
        <v>135</v>
      </c>
      <c r="V73" s="310">
        <f t="shared" si="2"/>
        <v>135</v>
      </c>
      <c r="W73" s="37">
        <f t="shared" si="3"/>
        <v>0.28110000000000002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8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3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6"/>
      <c r="O74" s="316"/>
      <c r="P74" s="316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8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63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6"/>
      <c r="O75" s="316"/>
      <c r="P75" s="316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8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6"/>
      <c r="O76" s="316"/>
      <c r="P76" s="316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8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3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6"/>
      <c r="O77" s="316"/>
      <c r="P77" s="316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32"/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33"/>
      <c r="M78" s="331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46.337301587301589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48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0.60333999999999999</v>
      </c>
      <c r="X78" s="312"/>
      <c r="Y78" s="312"/>
    </row>
    <row r="79" spans="1:52" x14ac:dyDescent="0.2">
      <c r="A79" s="327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33"/>
      <c r="M79" s="331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11">
        <f>IFERROR(SUM(U63:U77),"0")</f>
        <v>279</v>
      </c>
      <c r="V79" s="311">
        <f>IFERROR(SUM(V63:V77),"0")</f>
        <v>291.8</v>
      </c>
      <c r="W79" s="38"/>
      <c r="X79" s="312"/>
      <c r="Y79" s="312"/>
    </row>
    <row r="80" spans="1:52" ht="14.25" customHeight="1" x14ac:dyDescent="0.25">
      <c r="A80" s="326" t="s">
        <v>93</v>
      </c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327"/>
      <c r="R80" s="327"/>
      <c r="S80" s="327"/>
      <c r="T80" s="327"/>
      <c r="U80" s="327"/>
      <c r="V80" s="327"/>
      <c r="W80" s="327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8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493" t="s">
        <v>146</v>
      </c>
      <c r="N81" s="316"/>
      <c r="O81" s="316"/>
      <c r="P81" s="316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8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6"/>
      <c r="O82" s="316"/>
      <c r="P82" s="316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8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3" t="s">
        <v>151</v>
      </c>
      <c r="N83" s="316"/>
      <c r="O83" s="316"/>
      <c r="P83" s="316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8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628" t="s">
        <v>154</v>
      </c>
      <c r="N84" s="316"/>
      <c r="O84" s="316"/>
      <c r="P84" s="316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8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4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6"/>
      <c r="O85" s="316"/>
      <c r="P85" s="316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8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6"/>
      <c r="O86" s="316"/>
      <c r="P86" s="316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32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33"/>
      <c r="M87" s="331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7"/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33"/>
      <c r="M88" s="331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8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328" t="s">
        <v>161</v>
      </c>
      <c r="N90" s="316"/>
      <c r="O90" s="316"/>
      <c r="P90" s="316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8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605" t="s">
        <v>161</v>
      </c>
      <c r="N91" s="316"/>
      <c r="O91" s="316"/>
      <c r="P91" s="316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8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4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6"/>
      <c r="O92" s="316"/>
      <c r="P92" s="316"/>
      <c r="Q92" s="317"/>
      <c r="R92" s="35"/>
      <c r="S92" s="35"/>
      <c r="T92" s="36" t="s">
        <v>63</v>
      </c>
      <c r="U92" s="309">
        <v>10</v>
      </c>
      <c r="V92" s="310">
        <f t="shared" si="5"/>
        <v>18</v>
      </c>
      <c r="W92" s="37">
        <f>IFERROR(IF(V92=0,"",ROUNDUP(V92/H92,0)*0.02175),"")</f>
        <v>4.3499999999999997E-2</v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8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6"/>
      <c r="O93" s="316"/>
      <c r="P93" s="316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8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45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6"/>
      <c r="O94" s="316"/>
      <c r="P94" s="316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8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4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6"/>
      <c r="O95" s="316"/>
      <c r="P95" s="316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8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6"/>
      <c r="O96" s="316"/>
      <c r="P96" s="316"/>
      <c r="Q96" s="317"/>
      <c r="R96" s="35"/>
      <c r="S96" s="35"/>
      <c r="T96" s="36" t="s">
        <v>63</v>
      </c>
      <c r="U96" s="309">
        <v>10</v>
      </c>
      <c r="V96" s="310">
        <f t="shared" si="5"/>
        <v>18</v>
      </c>
      <c r="W96" s="37">
        <f>IFERROR(IF(V96=0,"",ROUNDUP(V96/H96,0)*0.02175),"")</f>
        <v>4.3499999999999997E-2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8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6"/>
      <c r="O97" s="316"/>
      <c r="P97" s="316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8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45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6"/>
      <c r="O98" s="316"/>
      <c r="P98" s="316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8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9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6"/>
      <c r="O99" s="316"/>
      <c r="P99" s="316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8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6"/>
      <c r="O100" s="316"/>
      <c r="P100" s="316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2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33"/>
      <c r="M101" s="331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2.2222222222222223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4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8.6999999999999994E-2</v>
      </c>
      <c r="X101" s="312"/>
      <c r="Y101" s="312"/>
    </row>
    <row r="102" spans="1:52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33"/>
      <c r="M102" s="331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1">
        <f>IFERROR(SUM(U90:U100),"0")</f>
        <v>20</v>
      </c>
      <c r="V102" s="311">
        <f>IFERROR(SUM(V90:V100),"0")</f>
        <v>36</v>
      </c>
      <c r="W102" s="38"/>
      <c r="X102" s="312"/>
      <c r="Y102" s="312"/>
    </row>
    <row r="103" spans="1:52" ht="14.25" customHeight="1" x14ac:dyDescent="0.25">
      <c r="A103" s="32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8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641" t="s">
        <v>184</v>
      </c>
      <c r="N104" s="316"/>
      <c r="O104" s="316"/>
      <c r="P104" s="316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8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474" t="s">
        <v>186</v>
      </c>
      <c r="N105" s="316"/>
      <c r="O105" s="316"/>
      <c r="P105" s="316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8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64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6"/>
      <c r="O106" s="316"/>
      <c r="P106" s="316"/>
      <c r="Q106" s="317"/>
      <c r="R106" s="35"/>
      <c r="S106" s="35"/>
      <c r="T106" s="36" t="s">
        <v>63</v>
      </c>
      <c r="U106" s="309">
        <v>150</v>
      </c>
      <c r="V106" s="310">
        <f t="shared" si="6"/>
        <v>153.9</v>
      </c>
      <c r="W106" s="37">
        <f>IFERROR(IF(V106=0,"",ROUNDUP(V106/H106,0)*0.02175),"")</f>
        <v>0.41324999999999995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8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6"/>
      <c r="O107" s="316"/>
      <c r="P107" s="316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8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430" t="s">
        <v>193</v>
      </c>
      <c r="N108" s="316"/>
      <c r="O108" s="316"/>
      <c r="P108" s="316"/>
      <c r="Q108" s="317"/>
      <c r="R108" s="35"/>
      <c r="S108" s="35"/>
      <c r="T108" s="36" t="s">
        <v>63</v>
      </c>
      <c r="U108" s="309">
        <v>6.75</v>
      </c>
      <c r="V108" s="310">
        <f t="shared" si="6"/>
        <v>8.1000000000000014</v>
      </c>
      <c r="W108" s="37">
        <f>IFERROR(IF(V108=0,"",ROUNDUP(V108/H108,0)*0.00753),"")</f>
        <v>2.2589999999999999E-2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8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624" t="s">
        <v>196</v>
      </c>
      <c r="N109" s="316"/>
      <c r="O109" s="316"/>
      <c r="P109" s="316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8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45" t="s">
        <v>199</v>
      </c>
      <c r="N110" s="316"/>
      <c r="O110" s="316"/>
      <c r="P110" s="316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8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4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6"/>
      <c r="O111" s="316"/>
      <c r="P111" s="316"/>
      <c r="Q111" s="317"/>
      <c r="R111" s="35"/>
      <c r="S111" s="35"/>
      <c r="T111" s="36" t="s">
        <v>63</v>
      </c>
      <c r="U111" s="309">
        <v>7.5</v>
      </c>
      <c r="V111" s="310">
        <f t="shared" si="6"/>
        <v>9</v>
      </c>
      <c r="W111" s="37">
        <f>IFERROR(IF(V111=0,"",ROUNDUP(V111/H111,0)*0.00753),"")</f>
        <v>2.2589999999999999E-2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8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72" t="s">
        <v>204</v>
      </c>
      <c r="N112" s="316"/>
      <c r="O112" s="316"/>
      <c r="P112" s="316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32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33"/>
      <c r="M113" s="331" t="s">
        <v>64</v>
      </c>
      <c r="N113" s="324"/>
      <c r="O113" s="324"/>
      <c r="P113" s="324"/>
      <c r="Q113" s="324"/>
      <c r="R113" s="324"/>
      <c r="S113" s="325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23.518518518518519</v>
      </c>
      <c r="V113" s="311">
        <f>IFERROR(V104/H104,"0")+IFERROR(V105/H105,"0")+IFERROR(V106/H106,"0")+IFERROR(V107/H107,"0")+IFERROR(V108/H108,"0")+IFERROR(V109/H109,"0")+IFERROR(V110/H110,"0")+IFERROR(V111/H111,"0")+IFERROR(V112/H112,"0")</f>
        <v>25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0.45842999999999995</v>
      </c>
      <c r="X113" s="312"/>
      <c r="Y113" s="312"/>
    </row>
    <row r="114" spans="1:52" x14ac:dyDescent="0.2">
      <c r="A114" s="327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33"/>
      <c r="M114" s="331" t="s">
        <v>64</v>
      </c>
      <c r="N114" s="324"/>
      <c r="O114" s="324"/>
      <c r="P114" s="324"/>
      <c r="Q114" s="324"/>
      <c r="R114" s="324"/>
      <c r="S114" s="325"/>
      <c r="T114" s="38" t="s">
        <v>63</v>
      </c>
      <c r="U114" s="311">
        <f>IFERROR(SUM(U104:U112),"0")</f>
        <v>164.25</v>
      </c>
      <c r="V114" s="311">
        <f>IFERROR(SUM(V104:V112),"0")</f>
        <v>171</v>
      </c>
      <c r="W114" s="38"/>
      <c r="X114" s="312"/>
      <c r="Y114" s="312"/>
    </row>
    <row r="115" spans="1:52" ht="14.25" customHeight="1" x14ac:dyDescent="0.25">
      <c r="A115" s="326" t="s">
        <v>205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8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4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6"/>
      <c r="O116" s="316"/>
      <c r="P116" s="316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8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40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6"/>
      <c r="O117" s="316"/>
      <c r="P117" s="316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8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426" t="s">
        <v>212</v>
      </c>
      <c r="N118" s="316"/>
      <c r="O118" s="316"/>
      <c r="P118" s="316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8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39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6"/>
      <c r="O119" s="316"/>
      <c r="P119" s="316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8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478" t="s">
        <v>217</v>
      </c>
      <c r="N120" s="316"/>
      <c r="O120" s="316"/>
      <c r="P120" s="316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32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33"/>
      <c r="M121" s="331" t="s">
        <v>64</v>
      </c>
      <c r="N121" s="324"/>
      <c r="O121" s="324"/>
      <c r="P121" s="324"/>
      <c r="Q121" s="324"/>
      <c r="R121" s="324"/>
      <c r="S121" s="325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33"/>
      <c r="M122" s="331" t="s">
        <v>64</v>
      </c>
      <c r="N122" s="324"/>
      <c r="O122" s="324"/>
      <c r="P122" s="324"/>
      <c r="Q122" s="324"/>
      <c r="R122" s="324"/>
      <c r="S122" s="325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4" t="s">
        <v>218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05"/>
      <c r="Y123" s="305"/>
    </row>
    <row r="124" spans="1:52" ht="14.25" customHeight="1" x14ac:dyDescent="0.25">
      <c r="A124" s="326" t="s">
        <v>66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8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6"/>
      <c r="O125" s="316"/>
      <c r="P125" s="316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8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6"/>
      <c r="O126" s="316"/>
      <c r="P126" s="316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8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6"/>
      <c r="O127" s="316"/>
      <c r="P127" s="316"/>
      <c r="Q127" s="317"/>
      <c r="R127" s="35"/>
      <c r="S127" s="35"/>
      <c r="T127" s="36" t="s">
        <v>63</v>
      </c>
      <c r="U127" s="309">
        <v>18</v>
      </c>
      <c r="V127" s="310">
        <f>IFERROR(IF(U127="",0,CEILING((U127/$H127),1)*$H127),"")</f>
        <v>18.900000000000002</v>
      </c>
      <c r="W127" s="37">
        <f>IFERROR(IF(V127=0,"",ROUNDUP(V127/H127,0)*0.00753),"")</f>
        <v>5.271E-2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8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5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6"/>
      <c r="O128" s="316"/>
      <c r="P128" s="316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32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33"/>
      <c r="M129" s="331" t="s">
        <v>64</v>
      </c>
      <c r="N129" s="324"/>
      <c r="O129" s="324"/>
      <c r="P129" s="324"/>
      <c r="Q129" s="324"/>
      <c r="R129" s="324"/>
      <c r="S129" s="325"/>
      <c r="T129" s="38" t="s">
        <v>65</v>
      </c>
      <c r="U129" s="311">
        <f>IFERROR(U125/H125,"0")+IFERROR(U126/H126,"0")+IFERROR(U127/H127,"0")+IFERROR(U128/H128,"0")</f>
        <v>6.6666666666666661</v>
      </c>
      <c r="V129" s="311">
        <f>IFERROR(V125/H125,"0")+IFERROR(V126/H126,"0")+IFERROR(V127/H127,"0")+IFERROR(V128/H128,"0")</f>
        <v>7</v>
      </c>
      <c r="W129" s="311">
        <f>IFERROR(IF(W125="",0,W125),"0")+IFERROR(IF(W126="",0,W126),"0")+IFERROR(IF(W127="",0,W127),"0")+IFERROR(IF(W128="",0,W128),"0")</f>
        <v>5.271E-2</v>
      </c>
      <c r="X129" s="312"/>
      <c r="Y129" s="312"/>
    </row>
    <row r="130" spans="1:52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33"/>
      <c r="M130" s="331" t="s">
        <v>64</v>
      </c>
      <c r="N130" s="324"/>
      <c r="O130" s="324"/>
      <c r="P130" s="324"/>
      <c r="Q130" s="324"/>
      <c r="R130" s="324"/>
      <c r="S130" s="325"/>
      <c r="T130" s="38" t="s">
        <v>63</v>
      </c>
      <c r="U130" s="311">
        <f>IFERROR(SUM(U125:U128),"0")</f>
        <v>18</v>
      </c>
      <c r="V130" s="311">
        <f>IFERROR(SUM(V125:V128),"0")</f>
        <v>18.900000000000002</v>
      </c>
      <c r="W130" s="38"/>
      <c r="X130" s="312"/>
      <c r="Y130" s="312"/>
    </row>
    <row r="131" spans="1:52" ht="27.75" customHeight="1" x14ac:dyDescent="0.2">
      <c r="A131" s="319" t="s">
        <v>227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49"/>
      <c r="Y131" s="49"/>
    </row>
    <row r="132" spans="1:52" ht="16.5" customHeight="1" x14ac:dyDescent="0.25">
      <c r="A132" s="334" t="s">
        <v>228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05"/>
      <c r="Y132" s="305"/>
    </row>
    <row r="133" spans="1:52" ht="14.25" customHeight="1" x14ac:dyDescent="0.25">
      <c r="A133" s="326" t="s">
        <v>100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8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6"/>
      <c r="O134" s="316"/>
      <c r="P134" s="316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8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3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6"/>
      <c r="O135" s="316"/>
      <c r="P135" s="316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8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6"/>
      <c r="O136" s="316"/>
      <c r="P136" s="316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32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33"/>
      <c r="M137" s="331" t="s">
        <v>64</v>
      </c>
      <c r="N137" s="324"/>
      <c r="O137" s="324"/>
      <c r="P137" s="324"/>
      <c r="Q137" s="324"/>
      <c r="R137" s="324"/>
      <c r="S137" s="325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33"/>
      <c r="M138" s="331" t="s">
        <v>64</v>
      </c>
      <c r="N138" s="324"/>
      <c r="O138" s="324"/>
      <c r="P138" s="324"/>
      <c r="Q138" s="324"/>
      <c r="R138" s="324"/>
      <c r="S138" s="325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4" t="s">
        <v>235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05"/>
      <c r="Y139" s="305"/>
    </row>
    <row r="140" spans="1:52" ht="14.25" customHeight="1" x14ac:dyDescent="0.25">
      <c r="A140" s="326" t="s">
        <v>59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8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3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6"/>
      <c r="O141" s="316"/>
      <c r="P141" s="316"/>
      <c r="Q141" s="317"/>
      <c r="R141" s="35"/>
      <c r="S141" s="35"/>
      <c r="T141" s="36" t="s">
        <v>63</v>
      </c>
      <c r="U141" s="309">
        <v>43</v>
      </c>
      <c r="V141" s="310">
        <f t="shared" ref="V141:V148" si="7">IFERROR(IF(U141="",0,CEILING((U141/$H141),1)*$H141),"")</f>
        <v>46.2</v>
      </c>
      <c r="W141" s="37">
        <f>IFERROR(IF(V141=0,"",ROUNDUP(V141/H141,0)*0.00753),"")</f>
        <v>8.2830000000000001E-2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8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4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6"/>
      <c r="O142" s="316"/>
      <c r="P142" s="316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8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6"/>
      <c r="O143" s="316"/>
      <c r="P143" s="316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8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4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6"/>
      <c r="O144" s="316"/>
      <c r="P144" s="316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8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6"/>
      <c r="O145" s="316"/>
      <c r="P145" s="316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8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6"/>
      <c r="O146" s="316"/>
      <c r="P146" s="316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8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4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6"/>
      <c r="O147" s="316"/>
      <c r="P147" s="316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8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4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6"/>
      <c r="O148" s="316"/>
      <c r="P148" s="316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32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33"/>
      <c r="M149" s="331" t="s">
        <v>64</v>
      </c>
      <c r="N149" s="324"/>
      <c r="O149" s="324"/>
      <c r="P149" s="324"/>
      <c r="Q149" s="324"/>
      <c r="R149" s="324"/>
      <c r="S149" s="325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10.238095238095237</v>
      </c>
      <c r="V149" s="311">
        <f>IFERROR(V141/H141,"0")+IFERROR(V142/H142,"0")+IFERROR(V143/H143,"0")+IFERROR(V144/H144,"0")+IFERROR(V145/H145,"0")+IFERROR(V146/H146,"0")+IFERROR(V147/H147,"0")+IFERROR(V148/H148,"0")</f>
        <v>11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8.2830000000000001E-2</v>
      </c>
      <c r="X149" s="312"/>
      <c r="Y149" s="312"/>
    </row>
    <row r="150" spans="1:52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33"/>
      <c r="M150" s="331" t="s">
        <v>64</v>
      </c>
      <c r="N150" s="324"/>
      <c r="O150" s="324"/>
      <c r="P150" s="324"/>
      <c r="Q150" s="324"/>
      <c r="R150" s="324"/>
      <c r="S150" s="325"/>
      <c r="T150" s="38" t="s">
        <v>63</v>
      </c>
      <c r="U150" s="311">
        <f>IFERROR(SUM(U141:U148),"0")</f>
        <v>43</v>
      </c>
      <c r="V150" s="311">
        <f>IFERROR(SUM(V141:V148),"0")</f>
        <v>46.2</v>
      </c>
      <c r="W150" s="38"/>
      <c r="X150" s="312"/>
      <c r="Y150" s="312"/>
    </row>
    <row r="151" spans="1:52" ht="16.5" customHeight="1" x14ac:dyDescent="0.25">
      <c r="A151" s="334" t="s">
        <v>252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05"/>
      <c r="Y151" s="305"/>
    </row>
    <row r="152" spans="1:52" ht="14.25" customHeight="1" x14ac:dyDescent="0.25">
      <c r="A152" s="326" t="s">
        <v>100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8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3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6"/>
      <c r="O153" s="316"/>
      <c r="P153" s="316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8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6"/>
      <c r="O154" s="316"/>
      <c r="P154" s="316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33"/>
      <c r="M155" s="331" t="s">
        <v>64</v>
      </c>
      <c r="N155" s="324"/>
      <c r="O155" s="324"/>
      <c r="P155" s="324"/>
      <c r="Q155" s="324"/>
      <c r="R155" s="324"/>
      <c r="S155" s="325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33"/>
      <c r="M156" s="331" t="s">
        <v>64</v>
      </c>
      <c r="N156" s="324"/>
      <c r="O156" s="324"/>
      <c r="P156" s="324"/>
      <c r="Q156" s="324"/>
      <c r="R156" s="324"/>
      <c r="S156" s="325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8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448" t="s">
        <v>259</v>
      </c>
      <c r="N158" s="316"/>
      <c r="O158" s="316"/>
      <c r="P158" s="316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8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4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6"/>
      <c r="O159" s="316"/>
      <c r="P159" s="316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33"/>
      <c r="M160" s="331" t="s">
        <v>64</v>
      </c>
      <c r="N160" s="324"/>
      <c r="O160" s="324"/>
      <c r="P160" s="324"/>
      <c r="Q160" s="324"/>
      <c r="R160" s="324"/>
      <c r="S160" s="325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33"/>
      <c r="M161" s="331" t="s">
        <v>64</v>
      </c>
      <c r="N161" s="324"/>
      <c r="O161" s="324"/>
      <c r="P161" s="324"/>
      <c r="Q161" s="324"/>
      <c r="R161" s="324"/>
      <c r="S161" s="325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8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6"/>
      <c r="O163" s="316"/>
      <c r="P163" s="316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8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6"/>
      <c r="O164" s="316"/>
      <c r="P164" s="316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8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6"/>
      <c r="O165" s="316"/>
      <c r="P165" s="316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8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6"/>
      <c r="O166" s="316"/>
      <c r="P166" s="316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32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33"/>
      <c r="M167" s="331" t="s">
        <v>64</v>
      </c>
      <c r="N167" s="324"/>
      <c r="O167" s="324"/>
      <c r="P167" s="324"/>
      <c r="Q167" s="324"/>
      <c r="R167" s="324"/>
      <c r="S167" s="325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33"/>
      <c r="M168" s="331" t="s">
        <v>64</v>
      </c>
      <c r="N168" s="324"/>
      <c r="O168" s="324"/>
      <c r="P168" s="324"/>
      <c r="Q168" s="324"/>
      <c r="R168" s="324"/>
      <c r="S168" s="325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8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6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6"/>
      <c r="O170" s="316"/>
      <c r="P170" s="316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8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39" t="s">
        <v>274</v>
      </c>
      <c r="N171" s="316"/>
      <c r="O171" s="316"/>
      <c r="P171" s="316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8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6"/>
      <c r="O172" s="316"/>
      <c r="P172" s="316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8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40" t="s">
        <v>279</v>
      </c>
      <c r="N173" s="316"/>
      <c r="O173" s="316"/>
      <c r="P173" s="316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8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60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6"/>
      <c r="O174" s="316"/>
      <c r="P174" s="316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8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5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6"/>
      <c r="O175" s="316"/>
      <c r="P175" s="316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8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5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6"/>
      <c r="O176" s="316"/>
      <c r="P176" s="316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8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597" t="s">
        <v>287</v>
      </c>
      <c r="N177" s="316"/>
      <c r="O177" s="316"/>
      <c r="P177" s="316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8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551" t="s">
        <v>290</v>
      </c>
      <c r="N178" s="316"/>
      <c r="O178" s="316"/>
      <c r="P178" s="316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8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33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6"/>
      <c r="O179" s="316"/>
      <c r="P179" s="316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8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6"/>
      <c r="O180" s="316"/>
      <c r="P180" s="316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8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5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6"/>
      <c r="O181" s="316"/>
      <c r="P181" s="316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8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6"/>
      <c r="O182" s="316"/>
      <c r="P182" s="316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8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6"/>
      <c r="O183" s="316"/>
      <c r="P183" s="316"/>
      <c r="Q183" s="317"/>
      <c r="R183" s="35"/>
      <c r="S183" s="35"/>
      <c r="T183" s="36" t="s">
        <v>63</v>
      </c>
      <c r="U183" s="309">
        <v>18</v>
      </c>
      <c r="V183" s="310">
        <f t="shared" si="8"/>
        <v>19.2</v>
      </c>
      <c r="W183" s="37">
        <f t="shared" si="9"/>
        <v>6.0240000000000002E-2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8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6"/>
      <c r="O184" s="316"/>
      <c r="P184" s="316"/>
      <c r="Q184" s="317"/>
      <c r="R184" s="35"/>
      <c r="S184" s="35"/>
      <c r="T184" s="36" t="s">
        <v>63</v>
      </c>
      <c r="U184" s="309">
        <v>4.5</v>
      </c>
      <c r="V184" s="310">
        <f t="shared" si="8"/>
        <v>4.8</v>
      </c>
      <c r="W184" s="37">
        <f t="shared" si="9"/>
        <v>1.506E-2</v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8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38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6"/>
      <c r="O185" s="316"/>
      <c r="P185" s="316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8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3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6"/>
      <c r="O186" s="316"/>
      <c r="P186" s="316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8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6"/>
      <c r="O187" s="316"/>
      <c r="P187" s="316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32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33"/>
      <c r="M188" s="331" t="s">
        <v>64</v>
      </c>
      <c r="N188" s="324"/>
      <c r="O188" s="324"/>
      <c r="P188" s="324"/>
      <c r="Q188" s="324"/>
      <c r="R188" s="324"/>
      <c r="S188" s="325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9.375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10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7.5300000000000006E-2</v>
      </c>
      <c r="X188" s="312"/>
      <c r="Y188" s="312"/>
    </row>
    <row r="189" spans="1:52" x14ac:dyDescent="0.2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33"/>
      <c r="M189" s="331" t="s">
        <v>64</v>
      </c>
      <c r="N189" s="324"/>
      <c r="O189" s="324"/>
      <c r="P189" s="324"/>
      <c r="Q189" s="324"/>
      <c r="R189" s="324"/>
      <c r="S189" s="325"/>
      <c r="T189" s="38" t="s">
        <v>63</v>
      </c>
      <c r="U189" s="311">
        <f>IFERROR(SUM(U170:U187),"0")</f>
        <v>22.5</v>
      </c>
      <c r="V189" s="311">
        <f>IFERROR(SUM(V170:V187),"0")</f>
        <v>24</v>
      </c>
      <c r="W189" s="38"/>
      <c r="X189" s="312"/>
      <c r="Y189" s="312"/>
    </row>
    <row r="190" spans="1:52" ht="14.25" customHeight="1" x14ac:dyDescent="0.25">
      <c r="A190" s="326" t="s">
        <v>205</v>
      </c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27"/>
      <c r="R190" s="327"/>
      <c r="S190" s="327"/>
      <c r="T190" s="327"/>
      <c r="U190" s="327"/>
      <c r="V190" s="327"/>
      <c r="W190" s="327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8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6"/>
      <c r="O191" s="316"/>
      <c r="P191" s="316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8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6"/>
      <c r="O192" s="316"/>
      <c r="P192" s="316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32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33"/>
      <c r="M193" s="331" t="s">
        <v>64</v>
      </c>
      <c r="N193" s="324"/>
      <c r="O193" s="324"/>
      <c r="P193" s="324"/>
      <c r="Q193" s="324"/>
      <c r="R193" s="324"/>
      <c r="S193" s="325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33"/>
      <c r="M194" s="331" t="s">
        <v>64</v>
      </c>
      <c r="N194" s="324"/>
      <c r="O194" s="324"/>
      <c r="P194" s="324"/>
      <c r="Q194" s="324"/>
      <c r="R194" s="324"/>
      <c r="S194" s="325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34" t="s">
        <v>312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05"/>
      <c r="Y195" s="305"/>
    </row>
    <row r="196" spans="1:52" ht="14.25" customHeight="1" x14ac:dyDescent="0.25">
      <c r="A196" s="326" t="s">
        <v>100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8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6"/>
      <c r="O197" s="316"/>
      <c r="P197" s="316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8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3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6"/>
      <c r="O198" s="316"/>
      <c r="P198" s="316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8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5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6"/>
      <c r="O199" s="316"/>
      <c r="P199" s="316"/>
      <c r="Q199" s="317"/>
      <c r="R199" s="35"/>
      <c r="S199" s="35"/>
      <c r="T199" s="36" t="s">
        <v>63</v>
      </c>
      <c r="U199" s="309">
        <v>530</v>
      </c>
      <c r="V199" s="310">
        <f t="shared" si="10"/>
        <v>540</v>
      </c>
      <c r="W199" s="37">
        <f>IFERROR(IF(V199=0,"",ROUNDUP(V199/H199,0)*0.02175),"")</f>
        <v>1.0874999999999999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8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6"/>
      <c r="O200" s="316"/>
      <c r="P200" s="316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8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6"/>
      <c r="O201" s="316"/>
      <c r="P201" s="316"/>
      <c r="Q201" s="317"/>
      <c r="R201" s="35"/>
      <c r="S201" s="35"/>
      <c r="T201" s="36" t="s">
        <v>63</v>
      </c>
      <c r="U201" s="309">
        <v>160</v>
      </c>
      <c r="V201" s="310">
        <f t="shared" si="10"/>
        <v>162</v>
      </c>
      <c r="W201" s="37">
        <f>IFERROR(IF(V201=0,"",ROUNDUP(V201/H201,0)*0.02175),"")</f>
        <v>0.32624999999999998</v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8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5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6"/>
      <c r="O202" s="316"/>
      <c r="P202" s="316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8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5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6"/>
      <c r="O203" s="316"/>
      <c r="P203" s="316"/>
      <c r="Q203" s="317"/>
      <c r="R203" s="35"/>
      <c r="S203" s="35"/>
      <c r="T203" s="36" t="s">
        <v>63</v>
      </c>
      <c r="U203" s="309">
        <v>100</v>
      </c>
      <c r="V203" s="310">
        <f t="shared" si="10"/>
        <v>108</v>
      </c>
      <c r="W203" s="37">
        <f>IFERROR(IF(V203=0,"",ROUNDUP(V203/H203,0)*0.02175),"")</f>
        <v>0.21749999999999997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8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3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6"/>
      <c r="O204" s="316"/>
      <c r="P204" s="316"/>
      <c r="Q204" s="317"/>
      <c r="R204" s="35"/>
      <c r="S204" s="35"/>
      <c r="T204" s="36" t="s">
        <v>63</v>
      </c>
      <c r="U204" s="309">
        <v>30</v>
      </c>
      <c r="V204" s="310">
        <f t="shared" si="10"/>
        <v>32.400000000000006</v>
      </c>
      <c r="W204" s="37">
        <f>IFERROR(IF(V204=0,"",ROUNDUP(V204/H204,0)*0.02175),"")</f>
        <v>6.5250000000000002E-2</v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8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6"/>
      <c r="O205" s="316"/>
      <c r="P205" s="316"/>
      <c r="Q205" s="317"/>
      <c r="R205" s="35"/>
      <c r="S205" s="35"/>
      <c r="T205" s="36" t="s">
        <v>63</v>
      </c>
      <c r="U205" s="309">
        <v>195</v>
      </c>
      <c r="V205" s="310">
        <f t="shared" si="10"/>
        <v>195</v>
      </c>
      <c r="W205" s="37">
        <f t="shared" ref="W205:W211" si="11">IFERROR(IF(V205=0,"",ROUNDUP(V205/H205,0)*0.00937),"")</f>
        <v>0.36542999999999998</v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8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3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6"/>
      <c r="O206" s="316"/>
      <c r="P206" s="316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8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6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6"/>
      <c r="O207" s="316"/>
      <c r="P207" s="316"/>
      <c r="Q207" s="317"/>
      <c r="R207" s="35"/>
      <c r="S207" s="35"/>
      <c r="T207" s="36" t="s">
        <v>63</v>
      </c>
      <c r="U207" s="309">
        <v>35</v>
      </c>
      <c r="V207" s="310">
        <f t="shared" si="10"/>
        <v>35</v>
      </c>
      <c r="W207" s="37">
        <f t="shared" si="11"/>
        <v>6.5589999999999996E-2</v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8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3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6"/>
      <c r="O208" s="316"/>
      <c r="P208" s="316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8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6"/>
      <c r="O209" s="316"/>
      <c r="P209" s="316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8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3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6"/>
      <c r="O210" s="316"/>
      <c r="P210" s="316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8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6"/>
      <c r="O211" s="316"/>
      <c r="P211" s="316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32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33"/>
      <c r="M212" s="331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121.92592592592592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124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2.1275199999999996</v>
      </c>
      <c r="X212" s="312"/>
      <c r="Y212" s="312"/>
    </row>
    <row r="213" spans="1:52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33"/>
      <c r="M213" s="331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1">
        <f>IFERROR(SUM(U197:U211),"0")</f>
        <v>1050</v>
      </c>
      <c r="V213" s="311">
        <f>IFERROR(SUM(V197:V211),"0")</f>
        <v>1072.4000000000001</v>
      </c>
      <c r="W213" s="38"/>
      <c r="X213" s="312"/>
      <c r="Y213" s="312"/>
    </row>
    <row r="214" spans="1:52" ht="14.25" customHeight="1" x14ac:dyDescent="0.25">
      <c r="A214" s="326" t="s">
        <v>93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8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6"/>
      <c r="O215" s="316"/>
      <c r="P215" s="316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32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33"/>
      <c r="M216" s="331" t="s">
        <v>64</v>
      </c>
      <c r="N216" s="324"/>
      <c r="O216" s="324"/>
      <c r="P216" s="324"/>
      <c r="Q216" s="324"/>
      <c r="R216" s="324"/>
      <c r="S216" s="325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7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33"/>
      <c r="M217" s="331" t="s">
        <v>64</v>
      </c>
      <c r="N217" s="324"/>
      <c r="O217" s="324"/>
      <c r="P217" s="324"/>
      <c r="Q217" s="324"/>
      <c r="R217" s="324"/>
      <c r="S217" s="325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7"/>
      <c r="P218" s="327"/>
      <c r="Q218" s="327"/>
      <c r="R218" s="327"/>
      <c r="S218" s="327"/>
      <c r="T218" s="327"/>
      <c r="U218" s="327"/>
      <c r="V218" s="327"/>
      <c r="W218" s="327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8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3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6"/>
      <c r="O219" s="316"/>
      <c r="P219" s="316"/>
      <c r="Q219" s="317"/>
      <c r="R219" s="35"/>
      <c r="S219" s="35"/>
      <c r="T219" s="36" t="s">
        <v>63</v>
      </c>
      <c r="U219" s="309">
        <v>208</v>
      </c>
      <c r="V219" s="310">
        <f>IFERROR(IF(U219="",0,CEILING((U219/$H219),1)*$H219),"")</f>
        <v>210</v>
      </c>
      <c r="W219" s="37">
        <f>IFERROR(IF(V219=0,"",ROUNDUP(V219/H219,0)*0.00753),"")</f>
        <v>0.3765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8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6"/>
      <c r="O220" s="316"/>
      <c r="P220" s="316"/>
      <c r="Q220" s="317"/>
      <c r="R220" s="35"/>
      <c r="S220" s="35"/>
      <c r="T220" s="36" t="s">
        <v>63</v>
      </c>
      <c r="U220" s="309">
        <v>398</v>
      </c>
      <c r="V220" s="310">
        <f>IFERROR(IF(U220="",0,CEILING((U220/$H220),1)*$H220),"")</f>
        <v>399</v>
      </c>
      <c r="W220" s="37">
        <f>IFERROR(IF(V220=0,"",ROUNDUP(V220/H220,0)*0.00753),"")</f>
        <v>0.71535000000000004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8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6"/>
      <c r="O221" s="316"/>
      <c r="P221" s="316"/>
      <c r="Q221" s="317"/>
      <c r="R221" s="35"/>
      <c r="S221" s="35"/>
      <c r="T221" s="36" t="s">
        <v>63</v>
      </c>
      <c r="U221" s="309">
        <v>92.399999999999991</v>
      </c>
      <c r="V221" s="310">
        <f>IFERROR(IF(U221="",0,CEILING((U221/$H221),1)*$H221),"")</f>
        <v>92.4</v>
      </c>
      <c r="W221" s="37">
        <f>IFERROR(IF(V221=0,"",ROUNDUP(V221/H221,0)*0.00502),"")</f>
        <v>0.22088000000000002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8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58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6"/>
      <c r="O222" s="316"/>
      <c r="P222" s="316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32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33"/>
      <c r="M223" s="331" t="s">
        <v>64</v>
      </c>
      <c r="N223" s="324"/>
      <c r="O223" s="324"/>
      <c r="P223" s="324"/>
      <c r="Q223" s="324"/>
      <c r="R223" s="324"/>
      <c r="S223" s="325"/>
      <c r="T223" s="38" t="s">
        <v>65</v>
      </c>
      <c r="U223" s="311">
        <f>IFERROR(U219/H219,"0")+IFERROR(U220/H220,"0")+IFERROR(U221/H221,"0")+IFERROR(U222/H222,"0")</f>
        <v>188.28571428571428</v>
      </c>
      <c r="V223" s="311">
        <f>IFERROR(V219/H219,"0")+IFERROR(V220/H220,"0")+IFERROR(V221/H221,"0")+IFERROR(V222/H222,"0")</f>
        <v>189</v>
      </c>
      <c r="W223" s="311">
        <f>IFERROR(IF(W219="",0,W219),"0")+IFERROR(IF(W220="",0,W220),"0")+IFERROR(IF(W221="",0,W221),"0")+IFERROR(IF(W222="",0,W222),"0")</f>
        <v>1.31273</v>
      </c>
      <c r="X223" s="312"/>
      <c r="Y223" s="312"/>
    </row>
    <row r="224" spans="1:52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33"/>
      <c r="M224" s="331" t="s">
        <v>64</v>
      </c>
      <c r="N224" s="324"/>
      <c r="O224" s="324"/>
      <c r="P224" s="324"/>
      <c r="Q224" s="324"/>
      <c r="R224" s="324"/>
      <c r="S224" s="325"/>
      <c r="T224" s="38" t="s">
        <v>63</v>
      </c>
      <c r="U224" s="311">
        <f>IFERROR(SUM(U219:U222),"0")</f>
        <v>698.4</v>
      </c>
      <c r="V224" s="311">
        <f>IFERROR(SUM(V219:V222),"0")</f>
        <v>701.4</v>
      </c>
      <c r="W224" s="38"/>
      <c r="X224" s="312"/>
      <c r="Y224" s="312"/>
    </row>
    <row r="225" spans="1:52" ht="14.25" customHeight="1" x14ac:dyDescent="0.25">
      <c r="A225" s="326" t="s">
        <v>66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8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6"/>
      <c r="O226" s="316"/>
      <c r="P226" s="316"/>
      <c r="Q226" s="317"/>
      <c r="R226" s="35"/>
      <c r="S226" s="35"/>
      <c r="T226" s="36" t="s">
        <v>63</v>
      </c>
      <c r="U226" s="309">
        <v>8650</v>
      </c>
      <c r="V226" s="310">
        <f t="shared" ref="V226:V231" si="12">IFERROR(IF(U226="",0,CEILING((U226/$H226),1)*$H226),"")</f>
        <v>8650.7999999999993</v>
      </c>
      <c r="W226" s="37">
        <f>IFERROR(IF(V226=0,"",ROUNDUP(V226/H226,0)*0.02175),"")</f>
        <v>23.228999999999999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8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6"/>
      <c r="O227" s="316"/>
      <c r="P227" s="316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8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6"/>
      <c r="O228" s="316"/>
      <c r="P228" s="316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8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6"/>
      <c r="O229" s="316"/>
      <c r="P229" s="316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8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6"/>
      <c r="O230" s="316"/>
      <c r="P230" s="316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8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5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6"/>
      <c r="O231" s="316"/>
      <c r="P231" s="316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32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33"/>
      <c r="M232" s="331" t="s">
        <v>64</v>
      </c>
      <c r="N232" s="324"/>
      <c r="O232" s="324"/>
      <c r="P232" s="324"/>
      <c r="Q232" s="324"/>
      <c r="R232" s="324"/>
      <c r="S232" s="325"/>
      <c r="T232" s="38" t="s">
        <v>65</v>
      </c>
      <c r="U232" s="311">
        <f>IFERROR(U226/H226,"0")+IFERROR(U227/H227,"0")+IFERROR(U228/H228,"0")+IFERROR(U229/H229,"0")+IFERROR(U230/H230,"0")+IFERROR(U231/H231,"0")</f>
        <v>1067.9012345679014</v>
      </c>
      <c r="V232" s="311">
        <f>IFERROR(V226/H226,"0")+IFERROR(V227/H227,"0")+IFERROR(V228/H228,"0")+IFERROR(V229/H229,"0")+IFERROR(V230/H230,"0")+IFERROR(V231/H231,"0")</f>
        <v>1068</v>
      </c>
      <c r="W232" s="311">
        <f>IFERROR(IF(W226="",0,W226),"0")+IFERROR(IF(W227="",0,W227),"0")+IFERROR(IF(W228="",0,W228),"0")+IFERROR(IF(W229="",0,W229),"0")+IFERROR(IF(W230="",0,W230),"0")+IFERROR(IF(W231="",0,W231),"0")</f>
        <v>23.228999999999999</v>
      </c>
      <c r="X232" s="312"/>
      <c r="Y232" s="312"/>
    </row>
    <row r="233" spans="1:52" x14ac:dyDescent="0.2">
      <c r="A233" s="327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33"/>
      <c r="M233" s="331" t="s">
        <v>64</v>
      </c>
      <c r="N233" s="324"/>
      <c r="O233" s="324"/>
      <c r="P233" s="324"/>
      <c r="Q233" s="324"/>
      <c r="R233" s="324"/>
      <c r="S233" s="325"/>
      <c r="T233" s="38" t="s">
        <v>63</v>
      </c>
      <c r="U233" s="311">
        <f>IFERROR(SUM(U226:U231),"0")</f>
        <v>8650</v>
      </c>
      <c r="V233" s="311">
        <f>IFERROR(SUM(V226:V231),"0")</f>
        <v>8650.7999999999993</v>
      </c>
      <c r="W233" s="38"/>
      <c r="X233" s="312"/>
      <c r="Y233" s="312"/>
    </row>
    <row r="234" spans="1:52" ht="14.25" customHeight="1" x14ac:dyDescent="0.25">
      <c r="A234" s="326" t="s">
        <v>205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8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7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6"/>
      <c r="O235" s="316"/>
      <c r="P235" s="316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8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6"/>
      <c r="O236" s="316"/>
      <c r="P236" s="316"/>
      <c r="Q236" s="317"/>
      <c r="R236" s="35"/>
      <c r="S236" s="35"/>
      <c r="T236" s="36" t="s">
        <v>63</v>
      </c>
      <c r="U236" s="309">
        <v>208</v>
      </c>
      <c r="V236" s="310">
        <f>IFERROR(IF(U236="",0,CEILING((U236/$H236),1)*$H236),"")</f>
        <v>210.6</v>
      </c>
      <c r="W236" s="37">
        <f>IFERROR(IF(V236=0,"",ROUNDUP(V236/H236,0)*0.02175),"")</f>
        <v>0.58724999999999994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8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6"/>
      <c r="O237" s="316"/>
      <c r="P237" s="316"/>
      <c r="Q237" s="317"/>
      <c r="R237" s="35"/>
      <c r="S237" s="35"/>
      <c r="T237" s="36" t="s">
        <v>63</v>
      </c>
      <c r="U237" s="309">
        <v>58</v>
      </c>
      <c r="V237" s="310">
        <f>IFERROR(IF(U237="",0,CEILING((U237/$H237),1)*$H237),"")</f>
        <v>58.800000000000004</v>
      </c>
      <c r="W237" s="37">
        <f>IFERROR(IF(V237=0,"",ROUNDUP(V237/H237,0)*0.02175),"")</f>
        <v>0.15225</v>
      </c>
      <c r="X237" s="57"/>
      <c r="Y237" s="58"/>
      <c r="AC237" s="59"/>
      <c r="AZ237" s="193" t="s">
        <v>1</v>
      </c>
    </row>
    <row r="238" spans="1:52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33"/>
      <c r="M238" s="331" t="s">
        <v>64</v>
      </c>
      <c r="N238" s="324"/>
      <c r="O238" s="324"/>
      <c r="P238" s="324"/>
      <c r="Q238" s="324"/>
      <c r="R238" s="324"/>
      <c r="S238" s="325"/>
      <c r="T238" s="38" t="s">
        <v>65</v>
      </c>
      <c r="U238" s="311">
        <f>IFERROR(U235/H235,"0")+IFERROR(U236/H236,"0")+IFERROR(U237/H237,"0")</f>
        <v>33.571428571428569</v>
      </c>
      <c r="V238" s="311">
        <f>IFERROR(V235/H235,"0")+IFERROR(V236/H236,"0")+IFERROR(V237/H237,"0")</f>
        <v>34</v>
      </c>
      <c r="W238" s="311">
        <f>IFERROR(IF(W235="",0,W235),"0")+IFERROR(IF(W236="",0,W236),"0")+IFERROR(IF(W237="",0,W237),"0")</f>
        <v>0.73949999999999994</v>
      </c>
      <c r="X238" s="312"/>
      <c r="Y238" s="312"/>
    </row>
    <row r="239" spans="1:52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33"/>
      <c r="M239" s="331" t="s">
        <v>64</v>
      </c>
      <c r="N239" s="324"/>
      <c r="O239" s="324"/>
      <c r="P239" s="324"/>
      <c r="Q239" s="324"/>
      <c r="R239" s="324"/>
      <c r="S239" s="325"/>
      <c r="T239" s="38" t="s">
        <v>63</v>
      </c>
      <c r="U239" s="311">
        <f>IFERROR(SUM(U235:U237),"0")</f>
        <v>266</v>
      </c>
      <c r="V239" s="311">
        <f>IFERROR(SUM(V235:V237),"0")</f>
        <v>269.39999999999998</v>
      </c>
      <c r="W239" s="38"/>
      <c r="X239" s="312"/>
      <c r="Y239" s="312"/>
    </row>
    <row r="240" spans="1:52" ht="14.25" customHeight="1" x14ac:dyDescent="0.25">
      <c r="A240" s="326" t="s">
        <v>79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8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601" t="s">
        <v>371</v>
      </c>
      <c r="N241" s="316"/>
      <c r="O241" s="316"/>
      <c r="P241" s="316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8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552" t="s">
        <v>374</v>
      </c>
      <c r="N242" s="316"/>
      <c r="O242" s="316"/>
      <c r="P242" s="316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8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6"/>
      <c r="O243" s="316"/>
      <c r="P243" s="316"/>
      <c r="Q243" s="317"/>
      <c r="R243" s="35"/>
      <c r="S243" s="35"/>
      <c r="T243" s="36" t="s">
        <v>63</v>
      </c>
      <c r="U243" s="309">
        <v>2.5499999999999998</v>
      </c>
      <c r="V243" s="310">
        <f>IFERROR(IF(U243="",0,CEILING((U243/$H243),1)*$H243),"")</f>
        <v>2.5499999999999998</v>
      </c>
      <c r="W243" s="37">
        <f>IFERROR(IF(V243=0,"",ROUNDUP(V243/H243,0)*0.00753),"")</f>
        <v>7.5300000000000002E-3</v>
      </c>
      <c r="X243" s="57"/>
      <c r="Y243" s="58"/>
      <c r="AC243" s="59"/>
      <c r="AZ243" s="196" t="s">
        <v>1</v>
      </c>
    </row>
    <row r="244" spans="1:52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33"/>
      <c r="M244" s="331" t="s">
        <v>64</v>
      </c>
      <c r="N244" s="324"/>
      <c r="O244" s="324"/>
      <c r="P244" s="324"/>
      <c r="Q244" s="324"/>
      <c r="R244" s="324"/>
      <c r="S244" s="325"/>
      <c r="T244" s="38" t="s">
        <v>65</v>
      </c>
      <c r="U244" s="311">
        <f>IFERROR(U241/H241,"0")+IFERROR(U242/H242,"0")+IFERROR(U243/H243,"0")</f>
        <v>1</v>
      </c>
      <c r="V244" s="311">
        <f>IFERROR(V241/H241,"0")+IFERROR(V242/H242,"0")+IFERROR(V243/H243,"0")</f>
        <v>1</v>
      </c>
      <c r="W244" s="311">
        <f>IFERROR(IF(W241="",0,W241),"0")+IFERROR(IF(W242="",0,W242),"0")+IFERROR(IF(W243="",0,W243),"0")</f>
        <v>7.5300000000000002E-3</v>
      </c>
      <c r="X244" s="312"/>
      <c r="Y244" s="312"/>
    </row>
    <row r="245" spans="1:52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33"/>
      <c r="M245" s="331" t="s">
        <v>64</v>
      </c>
      <c r="N245" s="324"/>
      <c r="O245" s="324"/>
      <c r="P245" s="324"/>
      <c r="Q245" s="324"/>
      <c r="R245" s="324"/>
      <c r="S245" s="325"/>
      <c r="T245" s="38" t="s">
        <v>63</v>
      </c>
      <c r="U245" s="311">
        <f>IFERROR(SUM(U241:U243),"0")</f>
        <v>2.5499999999999998</v>
      </c>
      <c r="V245" s="311">
        <f>IFERROR(SUM(V241:V243),"0")</f>
        <v>2.5499999999999998</v>
      </c>
      <c r="W245" s="38"/>
      <c r="X245" s="312"/>
      <c r="Y245" s="312"/>
    </row>
    <row r="246" spans="1:52" ht="14.25" customHeight="1" x14ac:dyDescent="0.25">
      <c r="A246" s="326" t="s">
        <v>377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8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5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6"/>
      <c r="O247" s="316"/>
      <c r="P247" s="316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8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6"/>
      <c r="O248" s="316"/>
      <c r="P248" s="316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8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3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6"/>
      <c r="O249" s="316"/>
      <c r="P249" s="316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32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33"/>
      <c r="M250" s="331" t="s">
        <v>64</v>
      </c>
      <c r="N250" s="324"/>
      <c r="O250" s="324"/>
      <c r="P250" s="324"/>
      <c r="Q250" s="324"/>
      <c r="R250" s="324"/>
      <c r="S250" s="325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7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33"/>
      <c r="M251" s="331" t="s">
        <v>64</v>
      </c>
      <c r="N251" s="324"/>
      <c r="O251" s="324"/>
      <c r="P251" s="324"/>
      <c r="Q251" s="324"/>
      <c r="R251" s="324"/>
      <c r="S251" s="325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34" t="s">
        <v>385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05"/>
      <c r="Y252" s="305"/>
    </row>
    <row r="253" spans="1:52" ht="14.25" customHeight="1" x14ac:dyDescent="0.25">
      <c r="A253" s="326" t="s">
        <v>100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8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5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6"/>
      <c r="O254" s="316"/>
      <c r="P254" s="316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8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5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6"/>
      <c r="O255" s="316"/>
      <c r="P255" s="316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8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571" t="s">
        <v>391</v>
      </c>
      <c r="N256" s="316"/>
      <c r="O256" s="316"/>
      <c r="P256" s="316"/>
      <c r="Q256" s="317"/>
      <c r="R256" s="35"/>
      <c r="S256" s="35"/>
      <c r="T256" s="36" t="s">
        <v>63</v>
      </c>
      <c r="U256" s="309">
        <v>10</v>
      </c>
      <c r="V256" s="310">
        <f t="shared" si="13"/>
        <v>11.6</v>
      </c>
      <c r="W256" s="37">
        <f>IFERROR(IF(V256=0,"",ROUNDUP(V256/H256,0)*0.02175),"")</f>
        <v>2.1749999999999999E-2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8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3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6"/>
      <c r="O257" s="316"/>
      <c r="P257" s="316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8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6"/>
      <c r="O258" s="316"/>
      <c r="P258" s="316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8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6"/>
      <c r="O259" s="316"/>
      <c r="P259" s="316"/>
      <c r="Q259" s="317"/>
      <c r="R259" s="35"/>
      <c r="S259" s="35"/>
      <c r="T259" s="36" t="s">
        <v>63</v>
      </c>
      <c r="U259" s="309">
        <v>25</v>
      </c>
      <c r="V259" s="310">
        <f t="shared" si="13"/>
        <v>25</v>
      </c>
      <c r="W259" s="37">
        <f>IFERROR(IF(V259=0,"",ROUNDUP(V259/H259,0)*0.00937),"")</f>
        <v>4.6850000000000003E-2</v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8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6"/>
      <c r="O260" s="316"/>
      <c r="P260" s="316"/>
      <c r="Q260" s="317"/>
      <c r="R260" s="35"/>
      <c r="S260" s="35"/>
      <c r="T260" s="36" t="s">
        <v>63</v>
      </c>
      <c r="U260" s="309">
        <v>25</v>
      </c>
      <c r="V260" s="310">
        <f t="shared" si="13"/>
        <v>25</v>
      </c>
      <c r="W260" s="37">
        <f>IFERROR(IF(V260=0,"",ROUNDUP(V260/H260,0)*0.00937),"")</f>
        <v>4.6850000000000003E-2</v>
      </c>
      <c r="X260" s="57"/>
      <c r="Y260" s="58"/>
      <c r="AC260" s="59"/>
      <c r="AZ260" s="206" t="s">
        <v>1</v>
      </c>
    </row>
    <row r="261" spans="1:52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33"/>
      <c r="M261" s="331" t="s">
        <v>64</v>
      </c>
      <c r="N261" s="324"/>
      <c r="O261" s="324"/>
      <c r="P261" s="324"/>
      <c r="Q261" s="324"/>
      <c r="R261" s="324"/>
      <c r="S261" s="325"/>
      <c r="T261" s="38" t="s">
        <v>65</v>
      </c>
      <c r="U261" s="311">
        <f>IFERROR(U254/H254,"0")+IFERROR(U255/H255,"0")+IFERROR(U256/H256,"0")+IFERROR(U257/H257,"0")+IFERROR(U258/H258,"0")+IFERROR(U259/H259,"0")+IFERROR(U260/H260,"0")</f>
        <v>10.862068965517242</v>
      </c>
      <c r="V261" s="311">
        <f>IFERROR(V254/H254,"0")+IFERROR(V255/H255,"0")+IFERROR(V256/H256,"0")+IFERROR(V257/H257,"0")+IFERROR(V258/H258,"0")+IFERROR(V259/H259,"0")+IFERROR(V260/H260,"0")</f>
        <v>11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0.11545</v>
      </c>
      <c r="X261" s="312"/>
      <c r="Y261" s="312"/>
    </row>
    <row r="262" spans="1:52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33"/>
      <c r="M262" s="331" t="s">
        <v>64</v>
      </c>
      <c r="N262" s="324"/>
      <c r="O262" s="324"/>
      <c r="P262" s="324"/>
      <c r="Q262" s="324"/>
      <c r="R262" s="324"/>
      <c r="S262" s="325"/>
      <c r="T262" s="38" t="s">
        <v>63</v>
      </c>
      <c r="U262" s="311">
        <f>IFERROR(SUM(U254:U260),"0")</f>
        <v>60</v>
      </c>
      <c r="V262" s="311">
        <f>IFERROR(SUM(V254:V260),"0")</f>
        <v>61.6</v>
      </c>
      <c r="W262" s="38"/>
      <c r="X262" s="312"/>
      <c r="Y262" s="312"/>
    </row>
    <row r="263" spans="1:52" ht="14.25" customHeight="1" x14ac:dyDescent="0.25">
      <c r="A263" s="326" t="s">
        <v>59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8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6"/>
      <c r="O264" s="316"/>
      <c r="P264" s="316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8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5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6"/>
      <c r="O265" s="316"/>
      <c r="P265" s="316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32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33"/>
      <c r="M266" s="331" t="s">
        <v>64</v>
      </c>
      <c r="N266" s="324"/>
      <c r="O266" s="324"/>
      <c r="P266" s="324"/>
      <c r="Q266" s="324"/>
      <c r="R266" s="324"/>
      <c r="S266" s="325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7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33"/>
      <c r="M267" s="331" t="s">
        <v>64</v>
      </c>
      <c r="N267" s="324"/>
      <c r="O267" s="324"/>
      <c r="P267" s="324"/>
      <c r="Q267" s="324"/>
      <c r="R267" s="324"/>
      <c r="S267" s="325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4" t="s">
        <v>403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05"/>
      <c r="Y268" s="305"/>
    </row>
    <row r="269" spans="1:52" ht="14.25" customHeight="1" x14ac:dyDescent="0.25">
      <c r="A269" s="326" t="s">
        <v>59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8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6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6"/>
      <c r="O270" s="316"/>
      <c r="P270" s="316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32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33"/>
      <c r="M271" s="331" t="s">
        <v>64</v>
      </c>
      <c r="N271" s="324"/>
      <c r="O271" s="324"/>
      <c r="P271" s="324"/>
      <c r="Q271" s="324"/>
      <c r="R271" s="324"/>
      <c r="S271" s="325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7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33"/>
      <c r="M272" s="331" t="s">
        <v>64</v>
      </c>
      <c r="N272" s="324"/>
      <c r="O272" s="324"/>
      <c r="P272" s="324"/>
      <c r="Q272" s="324"/>
      <c r="R272" s="324"/>
      <c r="S272" s="325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6" t="s">
        <v>66</v>
      </c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7"/>
      <c r="N273" s="327"/>
      <c r="O273" s="327"/>
      <c r="P273" s="327"/>
      <c r="Q273" s="327"/>
      <c r="R273" s="327"/>
      <c r="S273" s="327"/>
      <c r="T273" s="327"/>
      <c r="U273" s="327"/>
      <c r="V273" s="327"/>
      <c r="W273" s="327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8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3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6"/>
      <c r="O274" s="316"/>
      <c r="P274" s="316"/>
      <c r="Q274" s="317"/>
      <c r="R274" s="35"/>
      <c r="S274" s="35"/>
      <c r="T274" s="36" t="s">
        <v>63</v>
      </c>
      <c r="U274" s="309">
        <v>90</v>
      </c>
      <c r="V274" s="310">
        <f>IFERROR(IF(U274="",0,CEILING((U274/$H274),1)*$H274),"")</f>
        <v>97.199999999999989</v>
      </c>
      <c r="W274" s="37">
        <f>IFERROR(IF(V274=0,"",ROUNDUP(V274/H274,0)*0.02175),"")</f>
        <v>0.26100000000000001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8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3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6"/>
      <c r="O275" s="316"/>
      <c r="P275" s="316"/>
      <c r="Q275" s="317"/>
      <c r="R275" s="35"/>
      <c r="S275" s="35"/>
      <c r="T275" s="36" t="s">
        <v>63</v>
      </c>
      <c r="U275" s="309">
        <v>145.32</v>
      </c>
      <c r="V275" s="310">
        <f>IFERROR(IF(U275="",0,CEILING((U275/$H275),1)*$H275),"")</f>
        <v>146.16</v>
      </c>
      <c r="W275" s="37">
        <f>IFERROR(IF(V275=0,"",ROUNDUP(V275/H275,0)*0.00753),"")</f>
        <v>0.43674000000000002</v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8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506" t="s">
        <v>412</v>
      </c>
      <c r="N276" s="316"/>
      <c r="O276" s="316"/>
      <c r="P276" s="316"/>
      <c r="Q276" s="317"/>
      <c r="R276" s="35"/>
      <c r="S276" s="35"/>
      <c r="T276" s="36" t="s">
        <v>63</v>
      </c>
      <c r="U276" s="309">
        <v>117.6</v>
      </c>
      <c r="V276" s="310">
        <f>IFERROR(IF(U276="",0,CEILING((U276/$H276),1)*$H276),"")</f>
        <v>118.44</v>
      </c>
      <c r="W276" s="37">
        <f>IFERROR(IF(V276=0,"",ROUNDUP(V276/H276,0)*0.00753),"")</f>
        <v>0.35391</v>
      </c>
      <c r="X276" s="57"/>
      <c r="Y276" s="58"/>
      <c r="AC276" s="59"/>
      <c r="AZ276" s="212" t="s">
        <v>1</v>
      </c>
    </row>
    <row r="277" spans="1:52" x14ac:dyDescent="0.2">
      <c r="A277" s="332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33"/>
      <c r="M277" s="331" t="s">
        <v>64</v>
      </c>
      <c r="N277" s="324"/>
      <c r="O277" s="324"/>
      <c r="P277" s="324"/>
      <c r="Q277" s="324"/>
      <c r="R277" s="324"/>
      <c r="S277" s="325"/>
      <c r="T277" s="38" t="s">
        <v>65</v>
      </c>
      <c r="U277" s="311">
        <f>IFERROR(U274/H274,"0")+IFERROR(U275/H275,"0")+IFERROR(U276/H276,"0")</f>
        <v>115.44444444444443</v>
      </c>
      <c r="V277" s="311">
        <f>IFERROR(V274/H274,"0")+IFERROR(V275/H275,"0")+IFERROR(V276/H276,"0")</f>
        <v>117</v>
      </c>
      <c r="W277" s="311">
        <f>IFERROR(IF(W274="",0,W274),"0")+IFERROR(IF(W275="",0,W275),"0")+IFERROR(IF(W276="",0,W276),"0")</f>
        <v>1.05165</v>
      </c>
      <c r="X277" s="312"/>
      <c r="Y277" s="312"/>
    </row>
    <row r="278" spans="1:52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33"/>
      <c r="M278" s="331" t="s">
        <v>64</v>
      </c>
      <c r="N278" s="324"/>
      <c r="O278" s="324"/>
      <c r="P278" s="324"/>
      <c r="Q278" s="324"/>
      <c r="R278" s="324"/>
      <c r="S278" s="325"/>
      <c r="T278" s="38" t="s">
        <v>63</v>
      </c>
      <c r="U278" s="311">
        <f>IFERROR(SUM(U274:U276),"0")</f>
        <v>352.91999999999996</v>
      </c>
      <c r="V278" s="311">
        <f>IFERROR(SUM(V274:V276),"0")</f>
        <v>361.79999999999995</v>
      </c>
      <c r="W278" s="38"/>
      <c r="X278" s="312"/>
      <c r="Y278" s="312"/>
    </row>
    <row r="279" spans="1:52" ht="14.25" customHeight="1" x14ac:dyDescent="0.25">
      <c r="A279" s="326" t="s">
        <v>205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8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3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6"/>
      <c r="O280" s="316"/>
      <c r="P280" s="316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32"/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33"/>
      <c r="M281" s="331" t="s">
        <v>64</v>
      </c>
      <c r="N281" s="324"/>
      <c r="O281" s="324"/>
      <c r="P281" s="324"/>
      <c r="Q281" s="324"/>
      <c r="R281" s="324"/>
      <c r="S281" s="325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7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33"/>
      <c r="M282" s="331" t="s">
        <v>64</v>
      </c>
      <c r="N282" s="324"/>
      <c r="O282" s="324"/>
      <c r="P282" s="324"/>
      <c r="Q282" s="324"/>
      <c r="R282" s="324"/>
      <c r="S282" s="325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6" t="s">
        <v>79</v>
      </c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27"/>
      <c r="P283" s="327"/>
      <c r="Q283" s="327"/>
      <c r="R283" s="327"/>
      <c r="S283" s="327"/>
      <c r="T283" s="327"/>
      <c r="U283" s="327"/>
      <c r="V283" s="327"/>
      <c r="W283" s="327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8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6"/>
      <c r="O284" s="316"/>
      <c r="P284" s="316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32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33"/>
      <c r="M285" s="331" t="s">
        <v>64</v>
      </c>
      <c r="N285" s="324"/>
      <c r="O285" s="324"/>
      <c r="P285" s="324"/>
      <c r="Q285" s="324"/>
      <c r="R285" s="324"/>
      <c r="S285" s="325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7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33"/>
      <c r="M286" s="331" t="s">
        <v>64</v>
      </c>
      <c r="N286" s="324"/>
      <c r="O286" s="324"/>
      <c r="P286" s="324"/>
      <c r="Q286" s="324"/>
      <c r="R286" s="324"/>
      <c r="S286" s="325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19" t="s">
        <v>417</v>
      </c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49"/>
      <c r="Y287" s="49"/>
    </row>
    <row r="288" spans="1:52" ht="16.5" customHeight="1" x14ac:dyDescent="0.25">
      <c r="A288" s="334" t="s">
        <v>418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05"/>
      <c r="Y288" s="305"/>
    </row>
    <row r="289" spans="1:52" ht="14.25" customHeight="1" x14ac:dyDescent="0.25">
      <c r="A289" s="326" t="s">
        <v>100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8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3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6"/>
      <c r="O290" s="316"/>
      <c r="P290" s="316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8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6"/>
      <c r="O291" s="316"/>
      <c r="P291" s="316"/>
      <c r="Q291" s="317"/>
      <c r="R291" s="35"/>
      <c r="S291" s="35"/>
      <c r="T291" s="36" t="s">
        <v>63</v>
      </c>
      <c r="U291" s="309">
        <v>1190</v>
      </c>
      <c r="V291" s="310">
        <f t="shared" si="14"/>
        <v>1200</v>
      </c>
      <c r="W291" s="37">
        <f>IFERROR(IF(V291=0,"",ROUNDUP(V291/H291,0)*0.02175),"")</f>
        <v>1.7399999999999998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8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6"/>
      <c r="O292" s="316"/>
      <c r="P292" s="316"/>
      <c r="Q292" s="317"/>
      <c r="R292" s="35"/>
      <c r="S292" s="35"/>
      <c r="T292" s="36" t="s">
        <v>63</v>
      </c>
      <c r="U292" s="309">
        <v>30</v>
      </c>
      <c r="V292" s="310">
        <f t="shared" si="14"/>
        <v>30</v>
      </c>
      <c r="W292" s="37">
        <f>IFERROR(IF(V292=0,"",ROUNDUP(V292/H292,0)*0.02175),"")</f>
        <v>4.3499999999999997E-2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8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5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6"/>
      <c r="O293" s="316"/>
      <c r="P293" s="316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8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5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6"/>
      <c r="O294" s="316"/>
      <c r="P294" s="316"/>
      <c r="Q294" s="317"/>
      <c r="R294" s="35"/>
      <c r="S294" s="35"/>
      <c r="T294" s="36" t="s">
        <v>63</v>
      </c>
      <c r="U294" s="309">
        <v>405</v>
      </c>
      <c r="V294" s="310">
        <f t="shared" si="14"/>
        <v>405</v>
      </c>
      <c r="W294" s="37">
        <f>IFERROR(IF(V294=0,"",ROUNDUP(V294/H294,0)*0.02175),"")</f>
        <v>0.58724999999999994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8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337" t="s">
        <v>428</v>
      </c>
      <c r="N295" s="316"/>
      <c r="O295" s="316"/>
      <c r="P295" s="316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8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6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6"/>
      <c r="O296" s="316"/>
      <c r="P296" s="316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8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6"/>
      <c r="O297" s="316"/>
      <c r="P297" s="316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32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33"/>
      <c r="M298" s="331" t="s">
        <v>64</v>
      </c>
      <c r="N298" s="324"/>
      <c r="O298" s="324"/>
      <c r="P298" s="324"/>
      <c r="Q298" s="324"/>
      <c r="R298" s="324"/>
      <c r="S298" s="325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108.33333333333333</v>
      </c>
      <c r="V298" s="311">
        <f>IFERROR(V290/H290,"0")+IFERROR(V291/H291,"0")+IFERROR(V292/H292,"0")+IFERROR(V293/H293,"0")+IFERROR(V294/H294,"0")+IFERROR(V295/H295,"0")+IFERROR(V296/H296,"0")+IFERROR(V297/H297,"0")</f>
        <v>109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2.3707499999999997</v>
      </c>
      <c r="X298" s="312"/>
      <c r="Y298" s="312"/>
    </row>
    <row r="299" spans="1:52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33"/>
      <c r="M299" s="331" t="s">
        <v>64</v>
      </c>
      <c r="N299" s="324"/>
      <c r="O299" s="324"/>
      <c r="P299" s="324"/>
      <c r="Q299" s="324"/>
      <c r="R299" s="324"/>
      <c r="S299" s="325"/>
      <c r="T299" s="38" t="s">
        <v>63</v>
      </c>
      <c r="U299" s="311">
        <f>IFERROR(SUM(U290:U297),"0")</f>
        <v>1625</v>
      </c>
      <c r="V299" s="311">
        <f>IFERROR(SUM(V290:V297),"0")</f>
        <v>1635</v>
      </c>
      <c r="W299" s="38"/>
      <c r="X299" s="312"/>
      <c r="Y299" s="312"/>
    </row>
    <row r="300" spans="1:52" ht="14.25" customHeight="1" x14ac:dyDescent="0.25">
      <c r="A300" s="326" t="s">
        <v>93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8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6"/>
      <c r="O301" s="316"/>
      <c r="P301" s="316"/>
      <c r="Q301" s="317"/>
      <c r="R301" s="35"/>
      <c r="S301" s="35"/>
      <c r="T301" s="36" t="s">
        <v>63</v>
      </c>
      <c r="U301" s="309">
        <v>740</v>
      </c>
      <c r="V301" s="310">
        <f>IFERROR(IF(U301="",0,CEILING((U301/$H301),1)*$H301),"")</f>
        <v>750</v>
      </c>
      <c r="W301" s="37">
        <f>IFERROR(IF(V301=0,"",ROUNDUP(V301/H301,0)*0.02175),"")</f>
        <v>1.0874999999999999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8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6"/>
      <c r="O302" s="316"/>
      <c r="P302" s="316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32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33"/>
      <c r="M303" s="331" t="s">
        <v>64</v>
      </c>
      <c r="N303" s="324"/>
      <c r="O303" s="324"/>
      <c r="P303" s="324"/>
      <c r="Q303" s="324"/>
      <c r="R303" s="324"/>
      <c r="S303" s="325"/>
      <c r="T303" s="38" t="s">
        <v>65</v>
      </c>
      <c r="U303" s="311">
        <f>IFERROR(U301/H301,"0")+IFERROR(U302/H302,"0")</f>
        <v>49.333333333333336</v>
      </c>
      <c r="V303" s="311">
        <f>IFERROR(V301/H301,"0")+IFERROR(V302/H302,"0")</f>
        <v>50</v>
      </c>
      <c r="W303" s="311">
        <f>IFERROR(IF(W301="",0,W301),"0")+IFERROR(IF(W302="",0,W302),"0")</f>
        <v>1.0874999999999999</v>
      </c>
      <c r="X303" s="312"/>
      <c r="Y303" s="312"/>
    </row>
    <row r="304" spans="1:52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33"/>
      <c r="M304" s="331" t="s">
        <v>64</v>
      </c>
      <c r="N304" s="324"/>
      <c r="O304" s="324"/>
      <c r="P304" s="324"/>
      <c r="Q304" s="324"/>
      <c r="R304" s="324"/>
      <c r="S304" s="325"/>
      <c r="T304" s="38" t="s">
        <v>63</v>
      </c>
      <c r="U304" s="311">
        <f>IFERROR(SUM(U301:U302),"0")</f>
        <v>740</v>
      </c>
      <c r="V304" s="311">
        <f>IFERROR(SUM(V301:V302),"0")</f>
        <v>750</v>
      </c>
      <c r="W304" s="38"/>
      <c r="X304" s="312"/>
      <c r="Y304" s="312"/>
    </row>
    <row r="305" spans="1:52" ht="14.25" customHeight="1" x14ac:dyDescent="0.25">
      <c r="A305" s="326" t="s">
        <v>66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8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3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6"/>
      <c r="O306" s="316"/>
      <c r="P306" s="316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32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33"/>
      <c r="M307" s="331" t="s">
        <v>64</v>
      </c>
      <c r="N307" s="324"/>
      <c r="O307" s="324"/>
      <c r="P307" s="324"/>
      <c r="Q307" s="324"/>
      <c r="R307" s="324"/>
      <c r="S307" s="325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33"/>
      <c r="M308" s="331" t="s">
        <v>64</v>
      </c>
      <c r="N308" s="324"/>
      <c r="O308" s="324"/>
      <c r="P308" s="324"/>
      <c r="Q308" s="324"/>
      <c r="R308" s="324"/>
      <c r="S308" s="325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6" t="s">
        <v>205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8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5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6"/>
      <c r="O310" s="316"/>
      <c r="P310" s="316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32"/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33"/>
      <c r="M311" s="331" t="s">
        <v>64</v>
      </c>
      <c r="N311" s="324"/>
      <c r="O311" s="324"/>
      <c r="P311" s="324"/>
      <c r="Q311" s="324"/>
      <c r="R311" s="324"/>
      <c r="S311" s="325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7"/>
      <c r="B312" s="327"/>
      <c r="C312" s="327"/>
      <c r="D312" s="327"/>
      <c r="E312" s="327"/>
      <c r="F312" s="327"/>
      <c r="G312" s="327"/>
      <c r="H312" s="327"/>
      <c r="I312" s="327"/>
      <c r="J312" s="327"/>
      <c r="K312" s="327"/>
      <c r="L312" s="333"/>
      <c r="M312" s="331" t="s">
        <v>64</v>
      </c>
      <c r="N312" s="324"/>
      <c r="O312" s="324"/>
      <c r="P312" s="324"/>
      <c r="Q312" s="324"/>
      <c r="R312" s="324"/>
      <c r="S312" s="325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34" t="s">
        <v>441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05"/>
      <c r="Y313" s="305"/>
    </row>
    <row r="314" spans="1:52" ht="14.25" customHeight="1" x14ac:dyDescent="0.25">
      <c r="A314" s="326" t="s">
        <v>100</v>
      </c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7"/>
      <c r="N314" s="327"/>
      <c r="O314" s="327"/>
      <c r="P314" s="327"/>
      <c r="Q314" s="327"/>
      <c r="R314" s="327"/>
      <c r="S314" s="327"/>
      <c r="T314" s="327"/>
      <c r="U314" s="327"/>
      <c r="V314" s="327"/>
      <c r="W314" s="327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8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6"/>
      <c r="O315" s="316"/>
      <c r="P315" s="316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8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6"/>
      <c r="O316" s="316"/>
      <c r="P316" s="316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8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5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6"/>
      <c r="O317" s="316"/>
      <c r="P317" s="316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8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5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6"/>
      <c r="O318" s="316"/>
      <c r="P318" s="316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32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33"/>
      <c r="M319" s="331" t="s">
        <v>64</v>
      </c>
      <c r="N319" s="324"/>
      <c r="O319" s="324"/>
      <c r="P319" s="324"/>
      <c r="Q319" s="324"/>
      <c r="R319" s="324"/>
      <c r="S319" s="325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33"/>
      <c r="M320" s="331" t="s">
        <v>64</v>
      </c>
      <c r="N320" s="324"/>
      <c r="O320" s="324"/>
      <c r="P320" s="324"/>
      <c r="Q320" s="324"/>
      <c r="R320" s="324"/>
      <c r="S320" s="325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8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6"/>
      <c r="O322" s="316"/>
      <c r="P322" s="316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8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6"/>
      <c r="O323" s="316"/>
      <c r="P323" s="316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32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33"/>
      <c r="M324" s="331" t="s">
        <v>64</v>
      </c>
      <c r="N324" s="324"/>
      <c r="O324" s="324"/>
      <c r="P324" s="324"/>
      <c r="Q324" s="324"/>
      <c r="R324" s="324"/>
      <c r="S324" s="325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7"/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33"/>
      <c r="M325" s="331" t="s">
        <v>64</v>
      </c>
      <c r="N325" s="324"/>
      <c r="O325" s="324"/>
      <c r="P325" s="324"/>
      <c r="Q325" s="324"/>
      <c r="R325" s="324"/>
      <c r="S325" s="325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6" t="s">
        <v>66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8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6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6"/>
      <c r="O327" s="316"/>
      <c r="P327" s="316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8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5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6"/>
      <c r="O328" s="316"/>
      <c r="P328" s="316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8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5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6"/>
      <c r="O329" s="316"/>
      <c r="P329" s="316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8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6"/>
      <c r="O330" s="316"/>
      <c r="P330" s="316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32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33"/>
      <c r="M331" s="331" t="s">
        <v>64</v>
      </c>
      <c r="N331" s="324"/>
      <c r="O331" s="324"/>
      <c r="P331" s="324"/>
      <c r="Q331" s="324"/>
      <c r="R331" s="324"/>
      <c r="S331" s="325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33"/>
      <c r="M332" s="331" t="s">
        <v>64</v>
      </c>
      <c r="N332" s="324"/>
      <c r="O332" s="324"/>
      <c r="P332" s="324"/>
      <c r="Q332" s="324"/>
      <c r="R332" s="324"/>
      <c r="S332" s="325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6" t="s">
        <v>205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8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6"/>
      <c r="O334" s="316"/>
      <c r="P334" s="316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32"/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33"/>
      <c r="M335" s="331" t="s">
        <v>64</v>
      </c>
      <c r="N335" s="324"/>
      <c r="O335" s="324"/>
      <c r="P335" s="324"/>
      <c r="Q335" s="324"/>
      <c r="R335" s="324"/>
      <c r="S335" s="325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7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33"/>
      <c r="M336" s="331" t="s">
        <v>64</v>
      </c>
      <c r="N336" s="324"/>
      <c r="O336" s="324"/>
      <c r="P336" s="324"/>
      <c r="Q336" s="324"/>
      <c r="R336" s="324"/>
      <c r="S336" s="325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19" t="s">
        <v>464</v>
      </c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49"/>
      <c r="Y337" s="49"/>
    </row>
    <row r="338" spans="1:52" ht="16.5" customHeight="1" x14ac:dyDescent="0.25">
      <c r="A338" s="334" t="s">
        <v>465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05"/>
      <c r="Y338" s="305"/>
    </row>
    <row r="339" spans="1:52" ht="14.25" customHeight="1" x14ac:dyDescent="0.25">
      <c r="A339" s="326" t="s">
        <v>100</v>
      </c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27"/>
      <c r="N339" s="327"/>
      <c r="O339" s="327"/>
      <c r="P339" s="327"/>
      <c r="Q339" s="327"/>
      <c r="R339" s="327"/>
      <c r="S339" s="327"/>
      <c r="T339" s="327"/>
      <c r="U339" s="327"/>
      <c r="V339" s="327"/>
      <c r="W339" s="327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8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6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6"/>
      <c r="O340" s="316"/>
      <c r="P340" s="316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8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6"/>
      <c r="O341" s="316"/>
      <c r="P341" s="316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32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33"/>
      <c r="M342" s="331" t="s">
        <v>64</v>
      </c>
      <c r="N342" s="324"/>
      <c r="O342" s="324"/>
      <c r="P342" s="324"/>
      <c r="Q342" s="324"/>
      <c r="R342" s="324"/>
      <c r="S342" s="325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33"/>
      <c r="M343" s="331" t="s">
        <v>64</v>
      </c>
      <c r="N343" s="324"/>
      <c r="O343" s="324"/>
      <c r="P343" s="324"/>
      <c r="Q343" s="324"/>
      <c r="R343" s="324"/>
      <c r="S343" s="325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6" t="s">
        <v>59</v>
      </c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7"/>
      <c r="N344" s="327"/>
      <c r="O344" s="327"/>
      <c r="P344" s="327"/>
      <c r="Q344" s="327"/>
      <c r="R344" s="327"/>
      <c r="S344" s="327"/>
      <c r="T344" s="327"/>
      <c r="U344" s="327"/>
      <c r="V344" s="327"/>
      <c r="W344" s="327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8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43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6"/>
      <c r="O345" s="316"/>
      <c r="P345" s="316"/>
      <c r="Q345" s="317"/>
      <c r="R345" s="35"/>
      <c r="S345" s="35"/>
      <c r="T345" s="36" t="s">
        <v>63</v>
      </c>
      <c r="U345" s="309">
        <v>15</v>
      </c>
      <c r="V345" s="310">
        <f t="shared" ref="V345:V357" si="15">IFERROR(IF(U345="",0,CEILING((U345/$H345),1)*$H345),"")</f>
        <v>16.8</v>
      </c>
      <c r="W345" s="37">
        <f>IFERROR(IF(V345=0,"",ROUNDUP(V345/H345,0)*0.00753),"")</f>
        <v>3.0120000000000001E-2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8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6"/>
      <c r="O346" s="316"/>
      <c r="P346" s="316"/>
      <c r="Q346" s="317"/>
      <c r="R346" s="35"/>
      <c r="S346" s="35"/>
      <c r="T346" s="36" t="s">
        <v>63</v>
      </c>
      <c r="U346" s="309">
        <v>8</v>
      </c>
      <c r="V346" s="310">
        <f t="shared" si="15"/>
        <v>8.4</v>
      </c>
      <c r="W346" s="37">
        <f>IFERROR(IF(V346=0,"",ROUNDUP(V346/H346,0)*0.00753),"")</f>
        <v>1.506E-2</v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8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6"/>
      <c r="O347" s="316"/>
      <c r="P347" s="316"/>
      <c r="Q347" s="317"/>
      <c r="R347" s="35"/>
      <c r="S347" s="35"/>
      <c r="T347" s="36" t="s">
        <v>63</v>
      </c>
      <c r="U347" s="309">
        <v>8</v>
      </c>
      <c r="V347" s="310">
        <f t="shared" si="15"/>
        <v>8.4</v>
      </c>
      <c r="W347" s="37">
        <f>IFERROR(IF(V347=0,"",ROUNDUP(V347/H347,0)*0.00753),"")</f>
        <v>1.506E-2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8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6"/>
      <c r="O348" s="316"/>
      <c r="P348" s="316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8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6"/>
      <c r="O349" s="316"/>
      <c r="P349" s="316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8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6"/>
      <c r="O350" s="316"/>
      <c r="P350" s="316"/>
      <c r="Q350" s="317"/>
      <c r="R350" s="35"/>
      <c r="S350" s="35"/>
      <c r="T350" s="36" t="s">
        <v>63</v>
      </c>
      <c r="U350" s="309">
        <v>12.95</v>
      </c>
      <c r="V350" s="310">
        <f t="shared" si="15"/>
        <v>14.700000000000001</v>
      </c>
      <c r="W350" s="37">
        <f t="shared" si="16"/>
        <v>3.5140000000000005E-2</v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8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6"/>
      <c r="O351" s="316"/>
      <c r="P351" s="316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8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4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6"/>
      <c r="O352" s="316"/>
      <c r="P352" s="316"/>
      <c r="Q352" s="317"/>
      <c r="R352" s="35"/>
      <c r="S352" s="35"/>
      <c r="T352" s="36" t="s">
        <v>63</v>
      </c>
      <c r="U352" s="309">
        <v>6.3</v>
      </c>
      <c r="V352" s="310">
        <f t="shared" si="15"/>
        <v>6.3000000000000007</v>
      </c>
      <c r="W352" s="37">
        <f t="shared" si="16"/>
        <v>1.506E-2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8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6"/>
      <c r="O353" s="316"/>
      <c r="P353" s="316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8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6"/>
      <c r="O354" s="316"/>
      <c r="P354" s="316"/>
      <c r="Q354" s="317"/>
      <c r="R354" s="35"/>
      <c r="S354" s="35"/>
      <c r="T354" s="36" t="s">
        <v>63</v>
      </c>
      <c r="U354" s="309">
        <v>10.5</v>
      </c>
      <c r="V354" s="310">
        <f t="shared" si="15"/>
        <v>10.5</v>
      </c>
      <c r="W354" s="37">
        <f t="shared" si="16"/>
        <v>2.5100000000000001E-2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8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5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6"/>
      <c r="O355" s="316"/>
      <c r="P355" s="316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8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6"/>
      <c r="O356" s="316"/>
      <c r="P356" s="316"/>
      <c r="Q356" s="317"/>
      <c r="R356" s="35"/>
      <c r="S356" s="35"/>
      <c r="T356" s="36" t="s">
        <v>63</v>
      </c>
      <c r="U356" s="309">
        <v>7</v>
      </c>
      <c r="V356" s="310">
        <f t="shared" si="15"/>
        <v>8.4</v>
      </c>
      <c r="W356" s="37">
        <f t="shared" si="16"/>
        <v>2.0080000000000001E-2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8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526" t="s">
        <v>496</v>
      </c>
      <c r="N357" s="316"/>
      <c r="O357" s="316"/>
      <c r="P357" s="316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32"/>
      <c r="B358" s="327"/>
      <c r="C358" s="327"/>
      <c r="D358" s="327"/>
      <c r="E358" s="327"/>
      <c r="F358" s="327"/>
      <c r="G358" s="327"/>
      <c r="H358" s="327"/>
      <c r="I358" s="327"/>
      <c r="J358" s="327"/>
      <c r="K358" s="327"/>
      <c r="L358" s="333"/>
      <c r="M358" s="331" t="s">
        <v>64</v>
      </c>
      <c r="N358" s="324"/>
      <c r="O358" s="324"/>
      <c r="P358" s="324"/>
      <c r="Q358" s="324"/>
      <c r="R358" s="324"/>
      <c r="S358" s="325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24.88095238095238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27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0.15562000000000004</v>
      </c>
      <c r="X358" s="312"/>
      <c r="Y358" s="312"/>
    </row>
    <row r="359" spans="1:52" x14ac:dyDescent="0.2">
      <c r="A359" s="327"/>
      <c r="B359" s="327"/>
      <c r="C359" s="327"/>
      <c r="D359" s="327"/>
      <c r="E359" s="327"/>
      <c r="F359" s="327"/>
      <c r="G359" s="327"/>
      <c r="H359" s="327"/>
      <c r="I359" s="327"/>
      <c r="J359" s="327"/>
      <c r="K359" s="327"/>
      <c r="L359" s="333"/>
      <c r="M359" s="331" t="s">
        <v>64</v>
      </c>
      <c r="N359" s="324"/>
      <c r="O359" s="324"/>
      <c r="P359" s="324"/>
      <c r="Q359" s="324"/>
      <c r="R359" s="324"/>
      <c r="S359" s="325"/>
      <c r="T359" s="38" t="s">
        <v>63</v>
      </c>
      <c r="U359" s="311">
        <f>IFERROR(SUM(U345:U357),"0")</f>
        <v>67.75</v>
      </c>
      <c r="V359" s="311">
        <f>IFERROR(SUM(V345:V357),"0")</f>
        <v>73.500000000000014</v>
      </c>
      <c r="W359" s="38"/>
      <c r="X359" s="312"/>
      <c r="Y359" s="312"/>
    </row>
    <row r="360" spans="1:52" ht="14.25" customHeight="1" x14ac:dyDescent="0.25">
      <c r="A360" s="326" t="s">
        <v>66</v>
      </c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7"/>
      <c r="N360" s="327"/>
      <c r="O360" s="327"/>
      <c r="P360" s="327"/>
      <c r="Q360" s="327"/>
      <c r="R360" s="327"/>
      <c r="S360" s="327"/>
      <c r="T360" s="327"/>
      <c r="U360" s="327"/>
      <c r="V360" s="327"/>
      <c r="W360" s="327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8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6"/>
      <c r="O361" s="316"/>
      <c r="P361" s="316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8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5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6"/>
      <c r="O362" s="316"/>
      <c r="P362" s="316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8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5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6"/>
      <c r="O363" s="316"/>
      <c r="P363" s="316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8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56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6"/>
      <c r="O364" s="316"/>
      <c r="P364" s="316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32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33"/>
      <c r="M365" s="331" t="s">
        <v>64</v>
      </c>
      <c r="N365" s="324"/>
      <c r="O365" s="324"/>
      <c r="P365" s="324"/>
      <c r="Q365" s="324"/>
      <c r="R365" s="324"/>
      <c r="S365" s="325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33"/>
      <c r="M366" s="331" t="s">
        <v>64</v>
      </c>
      <c r="N366" s="324"/>
      <c r="O366" s="324"/>
      <c r="P366" s="324"/>
      <c r="Q366" s="324"/>
      <c r="R366" s="324"/>
      <c r="S366" s="325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8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6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6"/>
      <c r="O368" s="316"/>
      <c r="P368" s="316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32"/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33"/>
      <c r="M369" s="331" t="s">
        <v>64</v>
      </c>
      <c r="N369" s="324"/>
      <c r="O369" s="324"/>
      <c r="P369" s="324"/>
      <c r="Q369" s="324"/>
      <c r="R369" s="324"/>
      <c r="S369" s="325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7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33"/>
      <c r="M370" s="331" t="s">
        <v>64</v>
      </c>
      <c r="N370" s="324"/>
      <c r="O370" s="324"/>
      <c r="P370" s="324"/>
      <c r="Q370" s="324"/>
      <c r="R370" s="324"/>
      <c r="S370" s="325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7"/>
      <c r="N371" s="327"/>
      <c r="O371" s="327"/>
      <c r="P371" s="327"/>
      <c r="Q371" s="327"/>
      <c r="R371" s="327"/>
      <c r="S371" s="327"/>
      <c r="T371" s="327"/>
      <c r="U371" s="327"/>
      <c r="V371" s="327"/>
      <c r="W371" s="327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8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3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6"/>
      <c r="O372" s="316"/>
      <c r="P372" s="316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8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60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6"/>
      <c r="O373" s="316"/>
      <c r="P373" s="316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8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6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6"/>
      <c r="O374" s="316"/>
      <c r="P374" s="316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32"/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33"/>
      <c r="M375" s="331" t="s">
        <v>64</v>
      </c>
      <c r="N375" s="324"/>
      <c r="O375" s="324"/>
      <c r="P375" s="324"/>
      <c r="Q375" s="324"/>
      <c r="R375" s="324"/>
      <c r="S375" s="325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7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33"/>
      <c r="M376" s="331" t="s">
        <v>64</v>
      </c>
      <c r="N376" s="324"/>
      <c r="O376" s="324"/>
      <c r="P376" s="324"/>
      <c r="Q376" s="324"/>
      <c r="R376" s="324"/>
      <c r="S376" s="325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7"/>
      <c r="N377" s="327"/>
      <c r="O377" s="327"/>
      <c r="P377" s="327"/>
      <c r="Q377" s="327"/>
      <c r="R377" s="327"/>
      <c r="S377" s="327"/>
      <c r="T377" s="327"/>
      <c r="U377" s="327"/>
      <c r="V377" s="327"/>
      <c r="W377" s="327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8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406" t="s">
        <v>516</v>
      </c>
      <c r="N378" s="316"/>
      <c r="O378" s="316"/>
      <c r="P378" s="316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32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33"/>
      <c r="M379" s="331" t="s">
        <v>64</v>
      </c>
      <c r="N379" s="324"/>
      <c r="O379" s="324"/>
      <c r="P379" s="324"/>
      <c r="Q379" s="324"/>
      <c r="R379" s="324"/>
      <c r="S379" s="325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7"/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33"/>
      <c r="M380" s="331" t="s">
        <v>64</v>
      </c>
      <c r="N380" s="324"/>
      <c r="O380" s="324"/>
      <c r="P380" s="324"/>
      <c r="Q380" s="324"/>
      <c r="R380" s="324"/>
      <c r="S380" s="325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4" t="s">
        <v>517</v>
      </c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05"/>
      <c r="Y381" s="305"/>
    </row>
    <row r="382" spans="1:52" ht="14.25" customHeight="1" x14ac:dyDescent="0.25">
      <c r="A382" s="326" t="s">
        <v>93</v>
      </c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7"/>
      <c r="N382" s="327"/>
      <c r="O382" s="327"/>
      <c r="P382" s="327"/>
      <c r="Q382" s="327"/>
      <c r="R382" s="327"/>
      <c r="S382" s="327"/>
      <c r="T382" s="327"/>
      <c r="U382" s="327"/>
      <c r="V382" s="327"/>
      <c r="W382" s="327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8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6"/>
      <c r="O383" s="316"/>
      <c r="P383" s="316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8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6"/>
      <c r="O384" s="316"/>
      <c r="P384" s="316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32"/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33"/>
      <c r="M385" s="331" t="s">
        <v>64</v>
      </c>
      <c r="N385" s="324"/>
      <c r="O385" s="324"/>
      <c r="P385" s="324"/>
      <c r="Q385" s="324"/>
      <c r="R385" s="324"/>
      <c r="S385" s="325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7"/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33"/>
      <c r="M386" s="331" t="s">
        <v>64</v>
      </c>
      <c r="N386" s="324"/>
      <c r="O386" s="324"/>
      <c r="P386" s="324"/>
      <c r="Q386" s="324"/>
      <c r="R386" s="324"/>
      <c r="S386" s="325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27"/>
      <c r="C387" s="327"/>
      <c r="D387" s="327"/>
      <c r="E387" s="327"/>
      <c r="F387" s="327"/>
      <c r="G387" s="327"/>
      <c r="H387" s="327"/>
      <c r="I387" s="327"/>
      <c r="J387" s="327"/>
      <c r="K387" s="327"/>
      <c r="L387" s="327"/>
      <c r="M387" s="327"/>
      <c r="N387" s="327"/>
      <c r="O387" s="327"/>
      <c r="P387" s="327"/>
      <c r="Q387" s="327"/>
      <c r="R387" s="327"/>
      <c r="S387" s="327"/>
      <c r="T387" s="327"/>
      <c r="U387" s="327"/>
      <c r="V387" s="327"/>
      <c r="W387" s="327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8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6"/>
      <c r="O388" s="316"/>
      <c r="P388" s="316"/>
      <c r="Q388" s="317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8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6"/>
      <c r="O389" s="316"/>
      <c r="P389" s="316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8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6"/>
      <c r="O390" s="316"/>
      <c r="P390" s="316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8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611" t="s">
        <v>530</v>
      </c>
      <c r="N391" s="316"/>
      <c r="O391" s="316"/>
      <c r="P391" s="316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8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6"/>
      <c r="O392" s="316"/>
      <c r="P392" s="316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8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6"/>
      <c r="O393" s="316"/>
      <c r="P393" s="316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8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49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6"/>
      <c r="O394" s="316"/>
      <c r="P394" s="316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32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33"/>
      <c r="M395" s="331" t="s">
        <v>64</v>
      </c>
      <c r="N395" s="324"/>
      <c r="O395" s="324"/>
      <c r="P395" s="324"/>
      <c r="Q395" s="324"/>
      <c r="R395" s="324"/>
      <c r="S395" s="325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7"/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33"/>
      <c r="M396" s="331" t="s">
        <v>64</v>
      </c>
      <c r="N396" s="324"/>
      <c r="O396" s="324"/>
      <c r="P396" s="324"/>
      <c r="Q396" s="324"/>
      <c r="R396" s="324"/>
      <c r="S396" s="325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6" t="s">
        <v>79</v>
      </c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8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41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6"/>
      <c r="O398" s="316"/>
      <c r="P398" s="316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32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33"/>
      <c r="M399" s="331" t="s">
        <v>64</v>
      </c>
      <c r="N399" s="324"/>
      <c r="O399" s="324"/>
      <c r="P399" s="324"/>
      <c r="Q399" s="324"/>
      <c r="R399" s="324"/>
      <c r="S399" s="325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33"/>
      <c r="M400" s="331" t="s">
        <v>64</v>
      </c>
      <c r="N400" s="324"/>
      <c r="O400" s="324"/>
      <c r="P400" s="324"/>
      <c r="Q400" s="324"/>
      <c r="R400" s="324"/>
      <c r="S400" s="325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8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53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6"/>
      <c r="O402" s="316"/>
      <c r="P402" s="316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32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33"/>
      <c r="M403" s="331" t="s">
        <v>64</v>
      </c>
      <c r="N403" s="324"/>
      <c r="O403" s="324"/>
      <c r="P403" s="324"/>
      <c r="Q403" s="324"/>
      <c r="R403" s="324"/>
      <c r="S403" s="325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33"/>
      <c r="M404" s="331" t="s">
        <v>64</v>
      </c>
      <c r="N404" s="324"/>
      <c r="O404" s="324"/>
      <c r="P404" s="324"/>
      <c r="Q404" s="324"/>
      <c r="R404" s="324"/>
      <c r="S404" s="325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19" t="s">
        <v>541</v>
      </c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49"/>
      <c r="Y405" s="49"/>
    </row>
    <row r="406" spans="1:52" ht="16.5" customHeight="1" x14ac:dyDescent="0.25">
      <c r="A406" s="334" t="s">
        <v>541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05"/>
      <c r="Y406" s="305"/>
    </row>
    <row r="407" spans="1:52" ht="14.25" customHeight="1" x14ac:dyDescent="0.25">
      <c r="A407" s="326" t="s">
        <v>100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8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5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6"/>
      <c r="O408" s="316"/>
      <c r="P408" s="316"/>
      <c r="Q408" s="317"/>
      <c r="R408" s="35"/>
      <c r="S408" s="35"/>
      <c r="T408" s="36" t="s">
        <v>63</v>
      </c>
      <c r="U408" s="309">
        <v>40</v>
      </c>
      <c r="V408" s="310">
        <f t="shared" ref="V408:V416" si="18">IFERROR(IF(U408="",0,CEILING((U408/$H408),1)*$H408),"")</f>
        <v>42.24</v>
      </c>
      <c r="W408" s="37">
        <f>IFERROR(IF(V408=0,"",ROUNDUP(V408/H408,0)*0.01196),"")</f>
        <v>9.5680000000000001E-2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8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6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6"/>
      <c r="O409" s="316"/>
      <c r="P409" s="316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8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52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6"/>
      <c r="O410" s="316"/>
      <c r="P410" s="316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8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52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6"/>
      <c r="O411" s="316"/>
      <c r="P411" s="316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8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58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6"/>
      <c r="O412" s="316"/>
      <c r="P412" s="316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8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6"/>
      <c r="O413" s="316"/>
      <c r="P413" s="316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8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4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6"/>
      <c r="O414" s="316"/>
      <c r="P414" s="316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8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5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6"/>
      <c r="O415" s="316"/>
      <c r="P415" s="316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8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6"/>
      <c r="O416" s="316"/>
      <c r="P416" s="316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32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33"/>
      <c r="M417" s="331" t="s">
        <v>64</v>
      </c>
      <c r="N417" s="324"/>
      <c r="O417" s="324"/>
      <c r="P417" s="324"/>
      <c r="Q417" s="324"/>
      <c r="R417" s="324"/>
      <c r="S417" s="325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7.5757575757575752</v>
      </c>
      <c r="V417" s="311">
        <f>IFERROR(V408/H408,"0")+IFERROR(V409/H409,"0")+IFERROR(V410/H410,"0")+IFERROR(V411/H411,"0")+IFERROR(V412/H412,"0")+IFERROR(V413/H413,"0")+IFERROR(V414/H414,"0")+IFERROR(V415/H415,"0")+IFERROR(V416/H416,"0")</f>
        <v>8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9.5680000000000001E-2</v>
      </c>
      <c r="X417" s="312"/>
      <c r="Y417" s="312"/>
    </row>
    <row r="418" spans="1:52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33"/>
      <c r="M418" s="331" t="s">
        <v>64</v>
      </c>
      <c r="N418" s="324"/>
      <c r="O418" s="324"/>
      <c r="P418" s="324"/>
      <c r="Q418" s="324"/>
      <c r="R418" s="324"/>
      <c r="S418" s="325"/>
      <c r="T418" s="38" t="s">
        <v>63</v>
      </c>
      <c r="U418" s="311">
        <f>IFERROR(SUM(U408:U416),"0")</f>
        <v>40</v>
      </c>
      <c r="V418" s="311">
        <f>IFERROR(SUM(V408:V416),"0")</f>
        <v>42.24</v>
      </c>
      <c r="W418" s="38"/>
      <c r="X418" s="312"/>
      <c r="Y418" s="312"/>
    </row>
    <row r="419" spans="1:52" ht="14.25" customHeight="1" x14ac:dyDescent="0.25">
      <c r="A419" s="326" t="s">
        <v>93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8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6"/>
      <c r="O420" s="316"/>
      <c r="P420" s="316"/>
      <c r="Q420" s="317"/>
      <c r="R420" s="35"/>
      <c r="S420" s="35"/>
      <c r="T420" s="36" t="s">
        <v>63</v>
      </c>
      <c r="U420" s="309">
        <v>28</v>
      </c>
      <c r="V420" s="310">
        <f>IFERROR(IF(U420="",0,CEILING((U420/$H420),1)*$H420),"")</f>
        <v>31.68</v>
      </c>
      <c r="W420" s="37">
        <f>IFERROR(IF(V420=0,"",ROUNDUP(V420/H420,0)*0.01196),"")</f>
        <v>7.1760000000000004E-2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8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4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6"/>
      <c r="O421" s="316"/>
      <c r="P421" s="316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32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33"/>
      <c r="M422" s="331" t="s">
        <v>64</v>
      </c>
      <c r="N422" s="324"/>
      <c r="O422" s="324"/>
      <c r="P422" s="324"/>
      <c r="Q422" s="324"/>
      <c r="R422" s="324"/>
      <c r="S422" s="325"/>
      <c r="T422" s="38" t="s">
        <v>65</v>
      </c>
      <c r="U422" s="311">
        <f>IFERROR(U420/H420,"0")+IFERROR(U421/H421,"0")</f>
        <v>5.3030303030303028</v>
      </c>
      <c r="V422" s="311">
        <f>IFERROR(V420/H420,"0")+IFERROR(V421/H421,"0")</f>
        <v>6</v>
      </c>
      <c r="W422" s="311">
        <f>IFERROR(IF(W420="",0,W420),"0")+IFERROR(IF(W421="",0,W421),"0")</f>
        <v>7.1760000000000004E-2</v>
      </c>
      <c r="X422" s="312"/>
      <c r="Y422" s="312"/>
    </row>
    <row r="423" spans="1:52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33"/>
      <c r="M423" s="331" t="s">
        <v>64</v>
      </c>
      <c r="N423" s="324"/>
      <c r="O423" s="324"/>
      <c r="P423" s="324"/>
      <c r="Q423" s="324"/>
      <c r="R423" s="324"/>
      <c r="S423" s="325"/>
      <c r="T423" s="38" t="s">
        <v>63</v>
      </c>
      <c r="U423" s="311">
        <f>IFERROR(SUM(U420:U421),"0")</f>
        <v>28</v>
      </c>
      <c r="V423" s="311">
        <f>IFERROR(SUM(V420:V421),"0")</f>
        <v>31.68</v>
      </c>
      <c r="W423" s="38"/>
      <c r="X423" s="312"/>
      <c r="Y423" s="312"/>
    </row>
    <row r="424" spans="1:52" ht="14.25" customHeight="1" x14ac:dyDescent="0.25">
      <c r="A424" s="326" t="s">
        <v>59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8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6"/>
      <c r="O425" s="316"/>
      <c r="P425" s="316"/>
      <c r="Q425" s="317"/>
      <c r="R425" s="35"/>
      <c r="S425" s="35"/>
      <c r="T425" s="36" t="s">
        <v>63</v>
      </c>
      <c r="U425" s="309">
        <v>10</v>
      </c>
      <c r="V425" s="310">
        <f t="shared" ref="V425:V430" si="19">IFERROR(IF(U425="",0,CEILING((U425/$H425),1)*$H425),"")</f>
        <v>10.56</v>
      </c>
      <c r="W425" s="37">
        <f>IFERROR(IF(V425=0,"",ROUNDUP(V425/H425,0)*0.01196),"")</f>
        <v>2.392E-2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8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5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6"/>
      <c r="O426" s="316"/>
      <c r="P426" s="316"/>
      <c r="Q426" s="317"/>
      <c r="R426" s="35"/>
      <c r="S426" s="35"/>
      <c r="T426" s="36" t="s">
        <v>63</v>
      </c>
      <c r="U426" s="309">
        <v>10</v>
      </c>
      <c r="V426" s="310">
        <f t="shared" si="19"/>
        <v>10.56</v>
      </c>
      <c r="W426" s="37">
        <f>IFERROR(IF(V426=0,"",ROUNDUP(V426/H426,0)*0.01196),"")</f>
        <v>2.392E-2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8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6"/>
      <c r="O427" s="316"/>
      <c r="P427" s="316"/>
      <c r="Q427" s="317"/>
      <c r="R427" s="35"/>
      <c r="S427" s="35"/>
      <c r="T427" s="36" t="s">
        <v>63</v>
      </c>
      <c r="U427" s="309">
        <v>10</v>
      </c>
      <c r="V427" s="310">
        <f t="shared" si="19"/>
        <v>10.56</v>
      </c>
      <c r="W427" s="37">
        <f>IFERROR(IF(V427=0,"",ROUNDUP(V427/H427,0)*0.01196),"")</f>
        <v>2.392E-2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8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540" t="s">
        <v>572</v>
      </c>
      <c r="N428" s="316"/>
      <c r="O428" s="316"/>
      <c r="P428" s="316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8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530" t="s">
        <v>575</v>
      </c>
      <c r="N429" s="316"/>
      <c r="O429" s="316"/>
      <c r="P429" s="316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8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91" t="s">
        <v>578</v>
      </c>
      <c r="N430" s="316"/>
      <c r="O430" s="316"/>
      <c r="P430" s="316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32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33"/>
      <c r="M431" s="331" t="s">
        <v>64</v>
      </c>
      <c r="N431" s="324"/>
      <c r="O431" s="324"/>
      <c r="P431" s="324"/>
      <c r="Q431" s="324"/>
      <c r="R431" s="324"/>
      <c r="S431" s="325"/>
      <c r="T431" s="38" t="s">
        <v>65</v>
      </c>
      <c r="U431" s="311">
        <f>IFERROR(U425/H425,"0")+IFERROR(U426/H426,"0")+IFERROR(U427/H427,"0")+IFERROR(U428/H428,"0")+IFERROR(U429/H429,"0")+IFERROR(U430/H430,"0")</f>
        <v>5.6818181818181817</v>
      </c>
      <c r="V431" s="311">
        <f>IFERROR(V425/H425,"0")+IFERROR(V426/H426,"0")+IFERROR(V427/H427,"0")+IFERROR(V428/H428,"0")+IFERROR(V429/H429,"0")+IFERROR(V430/H430,"0")</f>
        <v>6</v>
      </c>
      <c r="W431" s="311">
        <f>IFERROR(IF(W425="",0,W425),"0")+IFERROR(IF(W426="",0,W426),"0")+IFERROR(IF(W427="",0,W427),"0")+IFERROR(IF(W428="",0,W428),"0")+IFERROR(IF(W429="",0,W429),"0")+IFERROR(IF(W430="",0,W430),"0")</f>
        <v>7.1760000000000004E-2</v>
      </c>
      <c r="X431" s="312"/>
      <c r="Y431" s="312"/>
    </row>
    <row r="432" spans="1:52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33"/>
      <c r="M432" s="331" t="s">
        <v>64</v>
      </c>
      <c r="N432" s="324"/>
      <c r="O432" s="324"/>
      <c r="P432" s="324"/>
      <c r="Q432" s="324"/>
      <c r="R432" s="324"/>
      <c r="S432" s="325"/>
      <c r="T432" s="38" t="s">
        <v>63</v>
      </c>
      <c r="U432" s="311">
        <f>IFERROR(SUM(U425:U430),"0")</f>
        <v>30</v>
      </c>
      <c r="V432" s="311">
        <f>IFERROR(SUM(V425:V430),"0")</f>
        <v>31.68</v>
      </c>
      <c r="W432" s="38"/>
      <c r="X432" s="312"/>
      <c r="Y432" s="312"/>
    </row>
    <row r="433" spans="1:52" ht="14.25" customHeight="1" x14ac:dyDescent="0.25">
      <c r="A433" s="326" t="s">
        <v>66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8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6"/>
      <c r="O434" s="316"/>
      <c r="P434" s="316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8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6"/>
      <c r="O435" s="316"/>
      <c r="P435" s="316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32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33"/>
      <c r="M436" s="331" t="s">
        <v>64</v>
      </c>
      <c r="N436" s="324"/>
      <c r="O436" s="324"/>
      <c r="P436" s="324"/>
      <c r="Q436" s="324"/>
      <c r="R436" s="324"/>
      <c r="S436" s="325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33"/>
      <c r="M437" s="331" t="s">
        <v>64</v>
      </c>
      <c r="N437" s="324"/>
      <c r="O437" s="324"/>
      <c r="P437" s="324"/>
      <c r="Q437" s="324"/>
      <c r="R437" s="324"/>
      <c r="S437" s="325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19" t="s">
        <v>583</v>
      </c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49"/>
      <c r="Y438" s="49"/>
    </row>
    <row r="439" spans="1:52" ht="16.5" customHeight="1" x14ac:dyDescent="0.25">
      <c r="A439" s="334" t="s">
        <v>584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05"/>
      <c r="Y439" s="305"/>
    </row>
    <row r="440" spans="1:52" ht="14.25" customHeight="1" x14ac:dyDescent="0.25">
      <c r="A440" s="326" t="s">
        <v>100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8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6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6"/>
      <c r="O441" s="316"/>
      <c r="P441" s="316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8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41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6"/>
      <c r="O442" s="316"/>
      <c r="P442" s="316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32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33"/>
      <c r="M443" s="331" t="s">
        <v>64</v>
      </c>
      <c r="N443" s="324"/>
      <c r="O443" s="324"/>
      <c r="P443" s="324"/>
      <c r="Q443" s="324"/>
      <c r="R443" s="324"/>
      <c r="S443" s="325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33"/>
      <c r="M444" s="331" t="s">
        <v>64</v>
      </c>
      <c r="N444" s="324"/>
      <c r="O444" s="324"/>
      <c r="P444" s="324"/>
      <c r="Q444" s="324"/>
      <c r="R444" s="324"/>
      <c r="S444" s="325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8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456" t="s">
        <v>591</v>
      </c>
      <c r="N446" s="316"/>
      <c r="O446" s="316"/>
      <c r="P446" s="316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8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509" t="s">
        <v>594</v>
      </c>
      <c r="N447" s="316"/>
      <c r="O447" s="316"/>
      <c r="P447" s="316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8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42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6"/>
      <c r="O448" s="316"/>
      <c r="P448" s="316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32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33"/>
      <c r="M449" s="331" t="s">
        <v>64</v>
      </c>
      <c r="N449" s="324"/>
      <c r="O449" s="324"/>
      <c r="P449" s="324"/>
      <c r="Q449" s="324"/>
      <c r="R449" s="324"/>
      <c r="S449" s="325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33"/>
      <c r="M450" s="331" t="s">
        <v>64</v>
      </c>
      <c r="N450" s="324"/>
      <c r="O450" s="324"/>
      <c r="P450" s="324"/>
      <c r="Q450" s="324"/>
      <c r="R450" s="324"/>
      <c r="S450" s="325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8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49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6"/>
      <c r="O452" s="316"/>
      <c r="P452" s="316"/>
      <c r="Q452" s="317"/>
      <c r="R452" s="35"/>
      <c r="S452" s="35"/>
      <c r="T452" s="36" t="s">
        <v>63</v>
      </c>
      <c r="U452" s="309">
        <v>100</v>
      </c>
      <c r="V452" s="310">
        <f>IFERROR(IF(U452="",0,CEILING((U452/$H452),1)*$H452),"")</f>
        <v>100.74</v>
      </c>
      <c r="W452" s="37">
        <f>IFERROR(IF(V452=0,"",ROUNDUP(V452/H452,0)*0.00753),"")</f>
        <v>0.17319000000000001</v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8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40" t="s">
        <v>600</v>
      </c>
      <c r="N453" s="316"/>
      <c r="O453" s="316"/>
      <c r="P453" s="316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8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60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6"/>
      <c r="O454" s="316"/>
      <c r="P454" s="316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32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33"/>
      <c r="M455" s="331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1">
        <f>IFERROR(U452/H452,"0")+IFERROR(U453/H453,"0")+IFERROR(U454/H454,"0")</f>
        <v>22.831050228310502</v>
      </c>
      <c r="V455" s="311">
        <f>IFERROR(V452/H452,"0")+IFERROR(V453/H453,"0")+IFERROR(V454/H454,"0")</f>
        <v>23</v>
      </c>
      <c r="W455" s="311">
        <f>IFERROR(IF(W452="",0,W452),"0")+IFERROR(IF(W453="",0,W453),"0")+IFERROR(IF(W454="",0,W454),"0")</f>
        <v>0.17319000000000001</v>
      </c>
      <c r="X455" s="312"/>
      <c r="Y455" s="312"/>
    </row>
    <row r="456" spans="1:52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33"/>
      <c r="M456" s="331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1">
        <f>IFERROR(SUM(U452:U454),"0")</f>
        <v>100</v>
      </c>
      <c r="V456" s="311">
        <f>IFERROR(SUM(V452:V454),"0")</f>
        <v>100.74</v>
      </c>
      <c r="W456" s="38"/>
      <c r="X456" s="312"/>
      <c r="Y456" s="312"/>
    </row>
    <row r="457" spans="1:52" ht="14.25" customHeight="1" x14ac:dyDescent="0.25">
      <c r="A457" s="32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8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44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6"/>
      <c r="O458" s="316"/>
      <c r="P458" s="316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8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61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6"/>
      <c r="O459" s="316"/>
      <c r="P459" s="316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32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33"/>
      <c r="M460" s="331" t="s">
        <v>64</v>
      </c>
      <c r="N460" s="324"/>
      <c r="O460" s="324"/>
      <c r="P460" s="324"/>
      <c r="Q460" s="324"/>
      <c r="R460" s="324"/>
      <c r="S460" s="325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7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33"/>
      <c r="M461" s="331" t="s">
        <v>64</v>
      </c>
      <c r="N461" s="324"/>
      <c r="O461" s="324"/>
      <c r="P461" s="324"/>
      <c r="Q461" s="324"/>
      <c r="R461" s="324"/>
      <c r="S461" s="325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4" t="s">
        <v>606</v>
      </c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7"/>
      <c r="N462" s="327"/>
      <c r="O462" s="327"/>
      <c r="P462" s="327"/>
      <c r="Q462" s="327"/>
      <c r="R462" s="327"/>
      <c r="S462" s="327"/>
      <c r="T462" s="327"/>
      <c r="U462" s="327"/>
      <c r="V462" s="327"/>
      <c r="W462" s="327"/>
      <c r="X462" s="305"/>
      <c r="Y462" s="305"/>
    </row>
    <row r="463" spans="1:52" ht="14.25" customHeight="1" x14ac:dyDescent="0.25">
      <c r="A463" s="326" t="s">
        <v>66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8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4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6"/>
      <c r="O464" s="316"/>
      <c r="P464" s="316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32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31" t="s">
        <v>64</v>
      </c>
      <c r="N465" s="324"/>
      <c r="O465" s="324"/>
      <c r="P465" s="324"/>
      <c r="Q465" s="324"/>
      <c r="R465" s="324"/>
      <c r="S465" s="325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31" t="s">
        <v>64</v>
      </c>
      <c r="N466" s="324"/>
      <c r="O466" s="324"/>
      <c r="P466" s="324"/>
      <c r="Q466" s="324"/>
      <c r="R466" s="324"/>
      <c r="S466" s="325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539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58"/>
      <c r="M467" s="451" t="s">
        <v>609</v>
      </c>
      <c r="N467" s="365"/>
      <c r="O467" s="365"/>
      <c r="P467" s="365"/>
      <c r="Q467" s="365"/>
      <c r="R467" s="365"/>
      <c r="S467" s="366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15272.369999999999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15398.689999999999</v>
      </c>
      <c r="W467" s="38"/>
      <c r="X467" s="312"/>
      <c r="Y467" s="312"/>
    </row>
    <row r="468" spans="1:28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58"/>
      <c r="M468" s="451" t="s">
        <v>610</v>
      </c>
      <c r="N468" s="365"/>
      <c r="O468" s="365"/>
      <c r="P468" s="365"/>
      <c r="Q468" s="365"/>
      <c r="R468" s="365"/>
      <c r="S468" s="366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16192.087573233513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16325.446000000002</v>
      </c>
      <c r="W468" s="38"/>
      <c r="X468" s="312"/>
      <c r="Y468" s="312"/>
    </row>
    <row r="469" spans="1:28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58"/>
      <c r="M469" s="451" t="s">
        <v>611</v>
      </c>
      <c r="N469" s="365"/>
      <c r="O469" s="365"/>
      <c r="P469" s="365"/>
      <c r="Q469" s="365"/>
      <c r="R469" s="365"/>
      <c r="S469" s="366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31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31</v>
      </c>
      <c r="W469" s="38"/>
      <c r="X469" s="312"/>
      <c r="Y469" s="312"/>
    </row>
    <row r="470" spans="1:28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58"/>
      <c r="M470" s="451" t="s">
        <v>613</v>
      </c>
      <c r="N470" s="365"/>
      <c r="O470" s="365"/>
      <c r="P470" s="365"/>
      <c r="Q470" s="365"/>
      <c r="R470" s="365"/>
      <c r="S470" s="366"/>
      <c r="T470" s="38" t="s">
        <v>63</v>
      </c>
      <c r="U470" s="311">
        <f>GrossWeightTotal+PalletQtyTotal*25</f>
        <v>16967.087573233512</v>
      </c>
      <c r="V470" s="311">
        <f>GrossWeightTotalR+PalletQtyTotalR*25</f>
        <v>17100.446000000004</v>
      </c>
      <c r="W470" s="38"/>
      <c r="X470" s="312"/>
      <c r="Y470" s="312"/>
    </row>
    <row r="471" spans="1:28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58"/>
      <c r="M471" s="451" t="s">
        <v>614</v>
      </c>
      <c r="N471" s="365"/>
      <c r="O471" s="365"/>
      <c r="P471" s="365"/>
      <c r="Q471" s="365"/>
      <c r="R471" s="365"/>
      <c r="S471" s="366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2042.7693778117527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2061</v>
      </c>
      <c r="W471" s="38"/>
      <c r="X471" s="312"/>
      <c r="Y471" s="312"/>
    </row>
    <row r="472" spans="1:28" ht="14.25" customHeight="1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58"/>
      <c r="M472" s="451" t="s">
        <v>615</v>
      </c>
      <c r="N472" s="365"/>
      <c r="O472" s="365"/>
      <c r="P472" s="365"/>
      <c r="Q472" s="365"/>
      <c r="R472" s="365"/>
      <c r="S472" s="366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36.182019999999994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38" t="s">
        <v>91</v>
      </c>
      <c r="D474" s="346"/>
      <c r="E474" s="346"/>
      <c r="F474" s="347"/>
      <c r="G474" s="338" t="s">
        <v>227</v>
      </c>
      <c r="H474" s="346"/>
      <c r="I474" s="346"/>
      <c r="J474" s="346"/>
      <c r="K474" s="346"/>
      <c r="L474" s="347"/>
      <c r="M474" s="338" t="s">
        <v>417</v>
      </c>
      <c r="N474" s="347"/>
      <c r="O474" s="338" t="s">
        <v>464</v>
      </c>
      <c r="P474" s="347"/>
      <c r="Q474" s="307" t="s">
        <v>541</v>
      </c>
      <c r="R474" s="338" t="s">
        <v>583</v>
      </c>
      <c r="S474" s="347"/>
      <c r="T474" s="1"/>
      <c r="Y474" s="53"/>
      <c r="AB474" s="1"/>
    </row>
    <row r="475" spans="1:28" ht="14.25" customHeight="1" thickTop="1" x14ac:dyDescent="0.2">
      <c r="A475" s="419" t="s">
        <v>618</v>
      </c>
      <c r="B475" s="338" t="s">
        <v>58</v>
      </c>
      <c r="C475" s="338" t="s">
        <v>92</v>
      </c>
      <c r="D475" s="338" t="s">
        <v>99</v>
      </c>
      <c r="E475" s="338" t="s">
        <v>91</v>
      </c>
      <c r="F475" s="338" t="s">
        <v>218</v>
      </c>
      <c r="G475" s="338" t="s">
        <v>228</v>
      </c>
      <c r="H475" s="338" t="s">
        <v>235</v>
      </c>
      <c r="I475" s="338" t="s">
        <v>252</v>
      </c>
      <c r="J475" s="338" t="s">
        <v>312</v>
      </c>
      <c r="K475" s="338" t="s">
        <v>385</v>
      </c>
      <c r="L475" s="338" t="s">
        <v>403</v>
      </c>
      <c r="M475" s="338" t="s">
        <v>418</v>
      </c>
      <c r="N475" s="338" t="s">
        <v>441</v>
      </c>
      <c r="O475" s="338" t="s">
        <v>465</v>
      </c>
      <c r="P475" s="338" t="s">
        <v>517</v>
      </c>
      <c r="Q475" s="338" t="s">
        <v>541</v>
      </c>
      <c r="R475" s="338" t="s">
        <v>584</v>
      </c>
      <c r="S475" s="338" t="s">
        <v>606</v>
      </c>
      <c r="T475" s="1"/>
      <c r="Y475" s="53"/>
      <c r="AB475" s="1"/>
    </row>
    <row r="476" spans="1:28" ht="13.5" customHeight="1" thickBot="1" x14ac:dyDescent="0.25">
      <c r="A476" s="420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39"/>
      <c r="N476" s="339"/>
      <c r="O476" s="339"/>
      <c r="P476" s="339"/>
      <c r="Q476" s="339"/>
      <c r="R476" s="339"/>
      <c r="S476" s="339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688.5</v>
      </c>
      <c r="D477" s="47">
        <f>IFERROR(V55*1,"0")+IFERROR(V56*1,"0")+IFERROR(V57*1,"0")+IFERROR(V58*1,"0")</f>
        <v>337.5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498.80000000000007</v>
      </c>
      <c r="F477" s="47">
        <f>IFERROR(V125*1,"0")+IFERROR(V126*1,"0")+IFERROR(V127*1,"0")+IFERROR(V128*1,"0")</f>
        <v>18.900000000000002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46.2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24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10696.549999999997</v>
      </c>
      <c r="K477" s="47">
        <f>IFERROR(V254*1,"0")+IFERROR(V255*1,"0")+IFERROR(V256*1,"0")+IFERROR(V257*1,"0")+IFERROR(V258*1,"0")+IFERROR(V259*1,"0")+IFERROR(V260*1,"0")+IFERROR(V264*1,"0")+IFERROR(V265*1,"0")</f>
        <v>61.6</v>
      </c>
      <c r="L477" s="47">
        <f>IFERROR(V270*1,"0")+IFERROR(V274*1,"0")+IFERROR(V275*1,"0")+IFERROR(V276*1,"0")+IFERROR(V280*1,"0")+IFERROR(V284*1,"0")</f>
        <v>361.79999999999995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2385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73.500000000000014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105.60000000000001</v>
      </c>
      <c r="R477" s="47">
        <f>IFERROR(V441*1,"0")+IFERROR(V442*1,"0")+IFERROR(V446*1,"0")+IFERROR(V447*1,"0")+IFERROR(V448*1,"0")+IFERROR(V452*1,"0")+IFERROR(V453*1,"0")+IFERROR(V454*1,"0")+IFERROR(V458*1,"0")+IFERROR(V459*1,"0")</f>
        <v>100.74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A451:W451"/>
    <mergeCell ref="A445:W445"/>
    <mergeCell ref="M168:S168"/>
    <mergeCell ref="M239:S239"/>
    <mergeCell ref="M331:S331"/>
    <mergeCell ref="D315:E315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292:Q292"/>
    <mergeCell ref="M174:Q174"/>
    <mergeCell ref="M207:Q207"/>
    <mergeCell ref="M334:Q334"/>
    <mergeCell ref="M270:Q270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M426:Q426"/>
    <mergeCell ref="M346:Q346"/>
    <mergeCell ref="D353:E353"/>
    <mergeCell ref="M175:Q175"/>
    <mergeCell ref="M422:S422"/>
    <mergeCell ref="A438:W438"/>
    <mergeCell ref="M455:S455"/>
    <mergeCell ref="M441:Q441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357:Q357"/>
    <mergeCell ref="M379:S379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261:S261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02:E402"/>
    <mergeCell ref="M434:Q434"/>
    <mergeCell ref="M443:S443"/>
    <mergeCell ref="M432:S432"/>
    <mergeCell ref="D179:E179"/>
    <mergeCell ref="M188:S188"/>
    <mergeCell ref="A246:W246"/>
    <mergeCell ref="D166:E166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A190:W190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A266:L267"/>
    <mergeCell ref="A61:W61"/>
    <mergeCell ref="M224:S224"/>
    <mergeCell ref="D254:E254"/>
    <mergeCell ref="A137:L138"/>
    <mergeCell ref="M232:S232"/>
    <mergeCell ref="D346:E346"/>
    <mergeCell ref="D125:E125"/>
    <mergeCell ref="M81:Q81"/>
    <mergeCell ref="A385:L386"/>
    <mergeCell ref="M276:Q276"/>
    <mergeCell ref="A132:W132"/>
    <mergeCell ref="M122:S122"/>
    <mergeCell ref="D350:E350"/>
    <mergeCell ref="A129:L130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452:Q452"/>
    <mergeCell ref="M466:S466"/>
    <mergeCell ref="L475:L476"/>
    <mergeCell ref="N475:N476"/>
    <mergeCell ref="M470:S470"/>
    <mergeCell ref="D464:E464"/>
    <mergeCell ref="A431:L432"/>
    <mergeCell ref="D409:E409"/>
    <mergeCell ref="D104:E104"/>
    <mergeCell ref="M429:Q429"/>
    <mergeCell ref="D340:E340"/>
    <mergeCell ref="M87:S87"/>
    <mergeCell ref="D185:E185"/>
    <mergeCell ref="D448:E448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M82:Q82"/>
    <mergeCell ref="M153:Q153"/>
    <mergeCell ref="M141:Q141"/>
    <mergeCell ref="M353:Q353"/>
    <mergeCell ref="A337:W33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D76:E76"/>
    <mergeCell ref="D265:E265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A263:W263"/>
    <mergeCell ref="M135:Q135"/>
    <mergeCell ref="D95:E95"/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D173:E173"/>
    <mergeCell ref="A44:L45"/>
    <mergeCell ref="M67:Q67"/>
    <mergeCell ref="M69:Q69"/>
    <mergeCell ref="M274:Q274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2023-10-23T10:50:16Z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