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0475" windowHeight="1206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Setting!$E$15:$E$16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Setting!$B$6:$B$8</definedName>
    <definedName name="DeliveryCodeAdressList">Setting!$C$6:$C$8</definedName>
    <definedName name="DeliveryConditions">'Бланк заказа'!$T$12</definedName>
    <definedName name="DeliveryConditionsList">Setting!$B$16:$B$26</definedName>
    <definedName name="DeliveryDate">'Бланк заказа'!$O$9</definedName>
    <definedName name="DeliveryMethodList">Setting!$B$3:$B$4</definedName>
    <definedName name="DeliveryNumAdressList">Setting!$D$6:$D$8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Setting!$C$15:$C$16</definedName>
    <definedName name="GrossWeightTotal">'Бланк заказа'!$V$461:$V$461</definedName>
    <definedName name="GrossWeightTotalR">'Бланк заказа'!$W$461:$W$461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Setting!$B$15:$B$16</definedName>
    <definedName name="PalletQtyTotal">'Бланк заказа'!$V$462:$V$462</definedName>
    <definedName name="PalletQtyTotalR">'Бланк заказа'!$W$462:$W$462</definedName>
    <definedName name="PassportProxy">'Бланк заказа'!$J$9:$L$9</definedName>
    <definedName name="PassportProxySet">Setting!$D$15:$D$16</definedName>
    <definedName name="ProductId1">'Бланк заказа'!$B$22:$B$22</definedName>
    <definedName name="ProductId10">'Бланк заказа'!$B$43:$B$43</definedName>
    <definedName name="ProductId100">'Бланк заказа'!$B$187:$B$187</definedName>
    <definedName name="ProductId101">'Бланк заказа'!$B$192:$B$192</definedName>
    <definedName name="ProductId102">'Бланк заказа'!$B$193:$B$193</definedName>
    <definedName name="ProductId103">'Бланк заказа'!$B$194:$B$194</definedName>
    <definedName name="ProductId104">'Бланк заказа'!$B$195:$B$195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заказа'!$B$209:$B$209</definedName>
    <definedName name="ProductId116">'Бланк заказа'!$B$213:$B$213</definedName>
    <definedName name="ProductId117">'Бланк заказа'!$B$214:$B$214</definedName>
    <definedName name="ProductId118">'Бланк заказа'!$B$215:$B$215</definedName>
    <definedName name="ProductId119">'Бланк заказа'!$B$216:$B$216</definedName>
    <definedName name="ProductId12">'Бланк заказа'!$B$54:$B$54</definedName>
    <definedName name="ProductId120">'Бланк заказа'!$B$220:$B$220</definedName>
    <definedName name="ProductId121">'Бланк заказа'!$B$221:$B$221</definedName>
    <definedName name="ProductId122">'Бланк заказа'!$B$222:$B$222</definedName>
    <definedName name="ProductId123">'Бланк заказа'!$B$223:$B$223</definedName>
    <definedName name="ProductId124">'Бланк заказа'!$B$224:$B$224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заказа'!$B$228:$B$228</definedName>
    <definedName name="ProductId129">'Бланк заказа'!$B$232:$B$232</definedName>
    <definedName name="ProductId13">'Бланк заказа'!$B$55:$B$55</definedName>
    <definedName name="ProductId130">'Бланк заказа'!$B$233:$B$233</definedName>
    <definedName name="ProductId131">'Бланк заказа'!$B$234:$B$234</definedName>
    <definedName name="ProductId132">'Бланк заказа'!$B$238:$B$238</definedName>
    <definedName name="ProductId133">'Бланк заказа'!$B$239:$B$239</definedName>
    <definedName name="ProductId134">'Бланк заказа'!$B$240:$B$240</definedName>
    <definedName name="ProductId135">'Бланк заказа'!$B$244:$B$244</definedName>
    <definedName name="ProductId136">'Бланк заказа'!$B$245:$B$245</definedName>
    <definedName name="ProductId137">'Бланк заказа'!$B$246:$B$246</definedName>
    <definedName name="ProductId138">'Бланк заказа'!$B$251:$B$251</definedName>
    <definedName name="ProductId139">'Бланк заказа'!$B$252:$B$252</definedName>
    <definedName name="ProductId14">'Бланк заказа'!$B$56:$B$56</definedName>
    <definedName name="ProductId140">'Бланк заказа'!$B$253:$B$253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заказа'!$B$261:$B$261</definedName>
    <definedName name="ProductId146">'Бланк заказа'!$B$262:$B$262</definedName>
    <definedName name="ProductId147">'Бланк заказа'!$B$267:$B$267</definedName>
    <definedName name="ProductId148">'Бланк заказа'!$B$271:$B$271</definedName>
    <definedName name="ProductId149">'Бланк заказа'!$B$272:$B$272</definedName>
    <definedName name="ProductId15">'Бланк заказа'!$B$57:$B$57</definedName>
    <definedName name="ProductId150">'Бланк заказа'!$B$276:$B$276</definedName>
    <definedName name="ProductId151">'Бланк заказа'!$B$280:$B$280</definedName>
    <definedName name="ProductId152">'Бланк заказа'!$B$286:$B$286</definedName>
    <definedName name="ProductId153">'Бланк заказа'!$B$287:$B$287</definedName>
    <definedName name="ProductId154">'Бланк заказа'!$B$288:$B$288</definedName>
    <definedName name="ProductId155">'Бланк заказа'!$B$289:$B$289</definedName>
    <definedName name="ProductId156">'Бланк заказа'!$B$290:$B$290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заказа'!$B$62:$B$62</definedName>
    <definedName name="ProductId160">'Бланк заказа'!$B$297:$B$297</definedName>
    <definedName name="ProductId161">'Бланк заказа'!$B$298:$B$298</definedName>
    <definedName name="ProductId162">'Бланк заказа'!$B$299:$B$299</definedName>
    <definedName name="ProductId163">'Бланк заказа'!$B$303:$B$303</definedName>
    <definedName name="ProductId164">'Бланк заказа'!$B$307:$B$307</definedName>
    <definedName name="ProductId165">'Бланк заказа'!$B$312:$B$312</definedName>
    <definedName name="ProductId166">'Бланк заказа'!$B$313:$B$313</definedName>
    <definedName name="ProductId167">'Бланк заказа'!$B$314:$B$314</definedName>
    <definedName name="ProductId168">'Бланк заказа'!$B$315:$B$315</definedName>
    <definedName name="ProductId169">'Бланк заказа'!$B$319:$B$319</definedName>
    <definedName name="ProductId17">'Бланк заказа'!$B$63:$B$63</definedName>
    <definedName name="ProductId170">'Бланк заказа'!$B$320:$B$320</definedName>
    <definedName name="ProductId171">'Бланк заказа'!$B$324:$B$324</definedName>
    <definedName name="ProductId172">'Бланк заказа'!$B$325:$B$325</definedName>
    <definedName name="ProductId173">'Бланк заказа'!$B$326:$B$326</definedName>
    <definedName name="ProductId174">'Бланк заказа'!$B$327:$B$327</definedName>
    <definedName name="ProductId175">'Бланк заказа'!$B$331:$B$331</definedName>
    <definedName name="ProductId176">'Бланк заказа'!$B$337:$B$337</definedName>
    <definedName name="ProductId177">'Бланк заказа'!$B$338:$B$338</definedName>
    <definedName name="ProductId178">'Бланк заказа'!$B$342:$B$342</definedName>
    <definedName name="ProductId179">'Бланк заказа'!$B$343:$B$343</definedName>
    <definedName name="ProductId18">'Бланк заказа'!$B$64:$B$64</definedName>
    <definedName name="ProductId180">'Бланк заказа'!$B$344:$B$344</definedName>
    <definedName name="ProductId181">'Бланк заказа'!$B$345:$B$345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заказа'!$B$358:$B$358</definedName>
    <definedName name="ProductId192">'Бланк заказа'!$B$359:$B$359</definedName>
    <definedName name="ProductId193">'Бланк заказа'!$B$360:$B$360</definedName>
    <definedName name="ProductId194">'Бланк заказа'!$B$361:$B$361</definedName>
    <definedName name="ProductId195">'Бланк заказа'!$B$365:$B$365</definedName>
    <definedName name="ProductId196">'Бланк заказа'!$B$369:$B$369</definedName>
    <definedName name="ProductId197">'Бланк заказа'!$B$370:$B$370</definedName>
    <definedName name="ProductId198">'Бланк заказа'!$B$371:$B$371</definedName>
    <definedName name="ProductId199">'Бланк заказа'!$B$372:$B$372</definedName>
    <definedName name="ProductId2">'Бланк заказа'!$B$26:$B$26</definedName>
    <definedName name="ProductId20">'Бланк заказа'!$B$66:$B$66</definedName>
    <definedName name="ProductId200">'Бланк заказа'!$B$376:$B$376</definedName>
    <definedName name="ProductId201">'Бланк заказа'!$B$377:$B$377</definedName>
    <definedName name="ProductId202">'Бланк заказа'!$B$382:$B$382</definedName>
    <definedName name="ProductId203">'Бланк заказа'!$B$383:$B$383</definedName>
    <definedName name="ProductId204">'Бланк заказа'!$B$387:$B$387</definedName>
    <definedName name="ProductId205">'Бланк заказа'!$B$388:$B$388</definedName>
    <definedName name="ProductId206">'Бланк заказа'!$B$389:$B$389</definedName>
    <definedName name="ProductId207">'Бланк заказа'!$B$390:$B$390</definedName>
    <definedName name="ProductId208">'Бланк заказа'!$B$391:$B$391</definedName>
    <definedName name="ProductId209">'Бланк заказа'!$B$392:$B$392</definedName>
    <definedName name="ProductId21">'Бланк заказа'!$B$67:$B$67</definedName>
    <definedName name="ProductId210">'Бланк заказа'!$B$393:$B$393</definedName>
    <definedName name="ProductId211">'Бланк заказа'!$B$397:$B$397</definedName>
    <definedName name="ProductId212">'Бланк заказа'!$B$403:$B$403</definedName>
    <definedName name="ProductId213">'Бланк заказа'!$B$404:$B$404</definedName>
    <definedName name="ProductId214">'Бланк заказа'!$B$405:$B$405</definedName>
    <definedName name="ProductId215">'Бланк заказа'!$B$406:$B$406</definedName>
    <definedName name="ProductId216">'Бланк заказа'!$B$407:$B$407</definedName>
    <definedName name="ProductId217">'Бланк заказа'!$B$408:$B$408</definedName>
    <definedName name="ProductId218">'Бланк заказа'!$B$409:$B$409</definedName>
    <definedName name="ProductId219">'Бланк заказа'!$B$410:$B$410</definedName>
    <definedName name="ProductId22">'Бланк заказа'!$B$68:$B$68</definedName>
    <definedName name="ProductId220">'Бланк заказа'!$B$411:$B$411</definedName>
    <definedName name="ProductId221">'Бланк заказа'!$B$415:$B$415</definedName>
    <definedName name="ProductId222">'Бланк заказа'!$B$416:$B$416</definedName>
    <definedName name="ProductId223">'Бланк заказа'!$B$420:$B$420</definedName>
    <definedName name="ProductId224">'Бланк заказа'!$B$421:$B$421</definedName>
    <definedName name="ProductId225">'Бланк заказа'!$B$422:$B$422</definedName>
    <definedName name="ProductId226">'Бланк заказа'!$B$423:$B$423</definedName>
    <definedName name="ProductId227">'Бланк заказа'!$B$424:$B$424</definedName>
    <definedName name="ProductId228">'Бланк заказа'!$B$425:$B$425</definedName>
    <definedName name="ProductId229">'Бланк заказа'!$B$429:$B$429</definedName>
    <definedName name="ProductId23">'Бланк заказа'!$B$69:$B$69</definedName>
    <definedName name="ProductId230">'Бланк заказа'!$B$430:$B$430</definedName>
    <definedName name="ProductId231">'Бланк заказа'!$B$436:$B$436</definedName>
    <definedName name="ProductId232">'Бланк заказа'!$B$437:$B$437</definedName>
    <definedName name="ProductId233">'Бланк заказа'!$B$441:$B$441</definedName>
    <definedName name="ProductId234">'Бланк заказа'!$B$442:$B$442</definedName>
    <definedName name="ProductId235">'Бланк заказа'!$B$446:$B$446</definedName>
    <definedName name="ProductId236">'Бланк заказа'!$B$447:$B$447</definedName>
    <definedName name="ProductId237">'Бланк заказа'!$B$451:$B$451</definedName>
    <definedName name="ProductId238">'Бланк заказа'!$B$452:$B$452</definedName>
    <definedName name="ProductId239">'Бланк заказа'!$B$457:$B$457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заказа'!$B$80:$B$80</definedName>
    <definedName name="ProductId32">'Бланк заказа'!$B$81:$B$81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заказа'!$B$90:$B$90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заказа'!$B$101:$B$101</definedName>
    <definedName name="ProductId47">'Бланк заказа'!$B$102:$B$102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заказа'!$B$113:$B$113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заказа'!$B$130:$B$130</definedName>
    <definedName name="ProductId64">'Бланк заказа'!$B$131:$B$131</definedName>
    <definedName name="ProductId65">'Бланк заказа'!$B$132:$B$132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заказа'!$B$149:$B$149</definedName>
    <definedName name="ProductId75">'Бланк заказа'!$B$150:$B$150</definedName>
    <definedName name="ProductId76">'Бланк заказа'!$B$154:$B$154</definedName>
    <definedName name="ProductId77">'Бланк заказа'!$B$155:$B$155</definedName>
    <definedName name="ProductId78">'Бланк заказа'!$B$159:$B$159</definedName>
    <definedName name="ProductId79">'Бланк заказа'!$B$160:$B$160</definedName>
    <definedName name="ProductId8">'Бланк заказа'!$B$35:$B$35</definedName>
    <definedName name="ProductId80">'Бланк заказа'!$B$161:$B$161</definedName>
    <definedName name="ProductId81">'Бланк заказа'!$B$162:$B$162</definedName>
    <definedName name="ProductId82">'Бланк заказа'!$B$166:$B$166</definedName>
    <definedName name="ProductId83">'Бланк заказа'!$B$167:$B$167</definedName>
    <definedName name="ProductId84">'Бланк заказа'!$B$168:$B$168</definedName>
    <definedName name="ProductId85">'Бланк заказа'!$B$169:$B$169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заказа'!$B$186:$B$186</definedName>
    <definedName name="Proxy">Setting!$B$15:$E$16</definedName>
    <definedName name="Ref_UnloadCodeAdressList0001">Setting!$C$10:$C$10</definedName>
    <definedName name="Ref_UnloadCodeAdressList0002">Setting!$C$12:$C$12</definedName>
    <definedName name="Ref_UnloadCodeAdressList0003">Setting!$C$14:$C$14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заказа'!$V$187:$V$187</definedName>
    <definedName name="SalesQty101">'Бланк заказа'!$V$192:$V$192</definedName>
    <definedName name="SalesQty102">'Бланк заказа'!$V$193:$V$193</definedName>
    <definedName name="SalesQty103">'Бланк заказа'!$V$194:$V$194</definedName>
    <definedName name="SalesQty104">'Бланк заказа'!$V$195:$V$195</definedName>
    <definedName name="SalesQty105">'Бланк заказа'!$V$196:$V$196</definedName>
    <definedName name="SalesQty106">'Бланк заказа'!$V$197:$V$197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заказа'!$V$209:$V$209</definedName>
    <definedName name="SalesQty116">'Бланк заказа'!$V$213:$V$213</definedName>
    <definedName name="SalesQty117">'Бланк заказа'!$V$214:$V$214</definedName>
    <definedName name="SalesQty118">'Бланк заказа'!$V$215:$V$215</definedName>
    <definedName name="SalesQty119">'Бланк заказа'!$V$216:$V$216</definedName>
    <definedName name="SalesQty12">'Бланк заказа'!$V$54:$V$54</definedName>
    <definedName name="SalesQty120">'Бланк заказа'!$V$220:$V$220</definedName>
    <definedName name="SalesQty121">'Бланк заказа'!$V$221:$V$221</definedName>
    <definedName name="SalesQty122">'Бланк заказа'!$V$222:$V$222</definedName>
    <definedName name="SalesQty123">'Бланк заказа'!$V$223:$V$223</definedName>
    <definedName name="SalesQty124">'Бланк заказа'!$V$224:$V$224</definedName>
    <definedName name="SalesQty125">'Бланк заказа'!$V$225:$V$225</definedName>
    <definedName name="SalesQty126">'Бланк заказа'!$V$226:$V$226</definedName>
    <definedName name="SalesQty127">'Бланк заказа'!$V$227:$V$227</definedName>
    <definedName name="SalesQty128">'Бланк заказа'!$V$228:$V$228</definedName>
    <definedName name="SalesQty129">'Бланк заказа'!$V$232:$V$232</definedName>
    <definedName name="SalesQty13">'Бланк заказа'!$V$55:$V$55</definedName>
    <definedName name="SalesQty130">'Бланк заказа'!$V$233:$V$233</definedName>
    <definedName name="SalesQty131">'Бланк заказа'!$V$234:$V$234</definedName>
    <definedName name="SalesQty132">'Бланк заказа'!$V$238:$V$238</definedName>
    <definedName name="SalesQty133">'Бланк заказа'!$V$239:$V$239</definedName>
    <definedName name="SalesQty134">'Бланк заказа'!$V$240:$V$240</definedName>
    <definedName name="SalesQty135">'Бланк заказа'!$V$244:$V$244</definedName>
    <definedName name="SalesQty136">'Бланк заказа'!$V$245:$V$245</definedName>
    <definedName name="SalesQty137">'Бланк заказа'!$V$246:$V$246</definedName>
    <definedName name="SalesQty138">'Бланк заказа'!$V$251:$V$251</definedName>
    <definedName name="SalesQty139">'Бланк заказа'!$V$252:$V$252</definedName>
    <definedName name="SalesQty14">'Бланк заказа'!$V$56:$V$56</definedName>
    <definedName name="SalesQty140">'Бланк заказа'!$V$253:$V$253</definedName>
    <definedName name="SalesQty141">'Бланк заказа'!$V$254:$V$254</definedName>
    <definedName name="SalesQty142">'Бланк заказа'!$V$255:$V$255</definedName>
    <definedName name="SalesQty143">'Бланк заказа'!$V$256:$V$256</definedName>
    <definedName name="SalesQty144">'Бланк заказа'!$V$257:$V$257</definedName>
    <definedName name="SalesQty145">'Бланк заказа'!$V$261:$V$261</definedName>
    <definedName name="SalesQty146">'Бланк заказа'!$V$262:$V$262</definedName>
    <definedName name="SalesQty147">'Бланк заказа'!$V$267:$V$267</definedName>
    <definedName name="SalesQty148">'Бланк заказа'!$V$271:$V$271</definedName>
    <definedName name="SalesQty149">'Бланк заказа'!$V$272:$V$272</definedName>
    <definedName name="SalesQty15">'Бланк заказа'!$V$57:$V$57</definedName>
    <definedName name="SalesQty150">'Бланк заказа'!$V$276:$V$276</definedName>
    <definedName name="SalesQty151">'Бланк заказа'!$V$280:$V$280</definedName>
    <definedName name="SalesQty152">'Бланк заказа'!$V$286:$V$286</definedName>
    <definedName name="SalesQty153">'Бланк заказа'!$V$287:$V$287</definedName>
    <definedName name="SalesQty154">'Бланк заказа'!$V$288:$V$288</definedName>
    <definedName name="SalesQty155">'Бланк заказа'!$V$289:$V$289</definedName>
    <definedName name="SalesQty156">'Бланк заказа'!$V$290:$V$290</definedName>
    <definedName name="SalesQty157">'Бланк заказа'!$V$291:$V$291</definedName>
    <definedName name="SalesQty158">'Бланк заказа'!$V$292:$V$292</definedName>
    <definedName name="SalesQty159">'Бланк заказа'!$V$293:$V$293</definedName>
    <definedName name="SalesQty16">'Бланк заказа'!$V$62:$V$62</definedName>
    <definedName name="SalesQty160">'Бланк заказа'!$V$297:$V$297</definedName>
    <definedName name="SalesQty161">'Бланк заказа'!$V$298:$V$298</definedName>
    <definedName name="SalesQty162">'Бланк заказа'!$V$299:$V$299</definedName>
    <definedName name="SalesQty163">'Бланк заказа'!$V$303:$V$303</definedName>
    <definedName name="SalesQty164">'Бланк заказа'!$V$307:$V$307</definedName>
    <definedName name="SalesQty165">'Бланк заказа'!$V$312:$V$312</definedName>
    <definedName name="SalesQty166">'Бланк заказа'!$V$313:$V$313</definedName>
    <definedName name="SalesQty167">'Бланк заказа'!$V$314:$V$314</definedName>
    <definedName name="SalesQty168">'Бланк заказа'!$V$315:$V$315</definedName>
    <definedName name="SalesQty169">'Бланк заказа'!$V$319:$V$319</definedName>
    <definedName name="SalesQty17">'Бланк заказа'!$V$63:$V$63</definedName>
    <definedName name="SalesQty170">'Бланк заказа'!$V$320:$V$320</definedName>
    <definedName name="SalesQty171">'Бланк заказа'!$V$324:$V$324</definedName>
    <definedName name="SalesQty172">'Бланк заказа'!$V$325:$V$325</definedName>
    <definedName name="SalesQty173">'Бланк заказа'!$V$326:$V$326</definedName>
    <definedName name="SalesQty174">'Бланк заказа'!$V$327:$V$327</definedName>
    <definedName name="SalesQty175">'Бланк заказа'!$V$331:$V$331</definedName>
    <definedName name="SalesQty176">'Бланк заказа'!$V$337:$V$337</definedName>
    <definedName name="SalesQty177">'Бланк заказа'!$V$338:$V$338</definedName>
    <definedName name="SalesQty178">'Бланк заказа'!$V$342:$V$342</definedName>
    <definedName name="SalesQty179">'Бланк заказа'!$V$343:$V$343</definedName>
    <definedName name="SalesQty18">'Бланк заказа'!$V$64:$V$64</definedName>
    <definedName name="SalesQty180">'Бланк заказа'!$V$344:$V$344</definedName>
    <definedName name="SalesQty181">'Бланк заказа'!$V$345:$V$345</definedName>
    <definedName name="SalesQty182">'Бланк заказа'!$V$346:$V$346</definedName>
    <definedName name="SalesQty183">'Бланк заказа'!$V$347:$V$347</definedName>
    <definedName name="SalesQty184">'Бланк заказа'!$V$348:$V$348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заказа'!$V$358:$V$358</definedName>
    <definedName name="SalesQty192">'Бланк заказа'!$V$359:$V$359</definedName>
    <definedName name="SalesQty193">'Бланк заказа'!$V$360:$V$360</definedName>
    <definedName name="SalesQty194">'Бланк заказа'!$V$361:$V$361</definedName>
    <definedName name="SalesQty195">'Бланк заказа'!$V$365:$V$365</definedName>
    <definedName name="SalesQty196">'Бланк заказа'!$V$369:$V$369</definedName>
    <definedName name="SalesQty197">'Бланк заказа'!$V$370:$V$370</definedName>
    <definedName name="SalesQty198">'Бланк заказа'!$V$371:$V$371</definedName>
    <definedName name="SalesQty199">'Бланк заказа'!$V$372:$V$372</definedName>
    <definedName name="SalesQty2">'Бланк заказа'!$V$26:$V$26</definedName>
    <definedName name="SalesQty20">'Бланк заказа'!$V$66:$V$66</definedName>
    <definedName name="SalesQty200">'Бланк заказа'!$V$376:$V$376</definedName>
    <definedName name="SalesQty201">'Бланк заказа'!$V$377:$V$377</definedName>
    <definedName name="SalesQty202">'Бланк заказа'!$V$382:$V$382</definedName>
    <definedName name="SalesQty203">'Бланк заказа'!$V$383:$V$383</definedName>
    <definedName name="SalesQty204">'Бланк заказа'!$V$387:$V$387</definedName>
    <definedName name="SalesQty205">'Бланк заказа'!$V$388:$V$388</definedName>
    <definedName name="SalesQty206">'Бланк заказа'!$V$389:$V$389</definedName>
    <definedName name="SalesQty207">'Бланк заказа'!$V$390:$V$390</definedName>
    <definedName name="SalesQty208">'Бланк заказа'!$V$391:$V$391</definedName>
    <definedName name="SalesQty209">'Бланк заказа'!$V$392:$V$392</definedName>
    <definedName name="SalesQty21">'Бланк заказа'!$V$67:$V$67</definedName>
    <definedName name="SalesQty210">'Бланк заказа'!$V$393:$V$393</definedName>
    <definedName name="SalesQty211">'Бланк заказа'!$V$397:$V$397</definedName>
    <definedName name="SalesQty212">'Бланк заказа'!$V$403:$V$403</definedName>
    <definedName name="SalesQty213">'Бланк заказа'!$V$404:$V$404</definedName>
    <definedName name="SalesQty214">'Бланк заказа'!$V$405:$V$405</definedName>
    <definedName name="SalesQty215">'Бланк заказа'!$V$406:$V$406</definedName>
    <definedName name="SalesQty216">'Бланк заказа'!$V$407:$V$407</definedName>
    <definedName name="SalesQty217">'Бланк заказа'!$V$408:$V$408</definedName>
    <definedName name="SalesQty218">'Бланк заказа'!$V$409:$V$409</definedName>
    <definedName name="SalesQty219">'Бланк заказа'!$V$410:$V$410</definedName>
    <definedName name="SalesQty22">'Бланк заказа'!$V$68:$V$68</definedName>
    <definedName name="SalesQty220">'Бланк заказа'!$V$411:$V$411</definedName>
    <definedName name="SalesQty221">'Бланк заказа'!$V$415:$V$415</definedName>
    <definedName name="SalesQty222">'Бланк заказа'!$V$416:$V$416</definedName>
    <definedName name="SalesQty223">'Бланк заказа'!$V$420:$V$420</definedName>
    <definedName name="SalesQty224">'Бланк заказа'!$V$421:$V$421</definedName>
    <definedName name="SalesQty225">'Бланк заказа'!$V$422:$V$422</definedName>
    <definedName name="SalesQty226">'Бланк заказа'!$V$423:$V$423</definedName>
    <definedName name="SalesQty227">'Бланк заказа'!$V$424:$V$424</definedName>
    <definedName name="SalesQty228">'Бланк заказа'!$V$425:$V$425</definedName>
    <definedName name="SalesQty229">'Бланк заказа'!$V$429:$V$429</definedName>
    <definedName name="SalesQty23">'Бланк заказа'!$V$69:$V$69</definedName>
    <definedName name="SalesQty230">'Бланк заказа'!$V$430:$V$430</definedName>
    <definedName name="SalesQty231">'Бланк заказа'!$V$436:$V$436</definedName>
    <definedName name="SalesQty232">'Бланк заказа'!$V$437:$V$437</definedName>
    <definedName name="SalesQty233">'Бланк заказа'!$V$441:$V$441</definedName>
    <definedName name="SalesQty234">'Бланк заказа'!$V$442:$V$442</definedName>
    <definedName name="SalesQty235">'Бланк заказа'!$V$446:$V$446</definedName>
    <definedName name="SalesQty236">'Бланк заказа'!$V$447:$V$447</definedName>
    <definedName name="SalesQty237">'Бланк заказа'!$V$451:$V$451</definedName>
    <definedName name="SalesQty238">'Бланк заказа'!$V$452:$V$452</definedName>
    <definedName name="SalesQty239">'Бланк заказа'!$V$457:$V$457</definedName>
    <definedName name="SalesQty24">'Бланк заказа'!$V$70:$V$70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заказа'!$V$80:$V$80</definedName>
    <definedName name="SalesQty32">'Бланк заказа'!$V$81:$V$81</definedName>
    <definedName name="SalesQty33">'Бланк заказа'!$V$82:$V$82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заказа'!$V$90:$V$90</definedName>
    <definedName name="SalesQty39">'Бланк заказа'!$V$91:$V$91</definedName>
    <definedName name="SalesQty4">'Бланк заказа'!$V$28:$V$28</definedName>
    <definedName name="SalesQty40">'Бланк заказа'!$V$92:$V$92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заказа'!$V$101:$V$101</definedName>
    <definedName name="SalesQty47">'Бланк заказа'!$V$102:$V$102</definedName>
    <definedName name="SalesQty48">'Бланк заказа'!$V$103:$V$103</definedName>
    <definedName name="SalesQty49">'Бланк заказа'!$V$104:$V$104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заказа'!$V$113:$V$113</definedName>
    <definedName name="SalesQty56">'Бланк заказа'!$V$114:$V$114</definedName>
    <definedName name="SalesQty57">'Бланк заказа'!$V$115:$V$115</definedName>
    <definedName name="SalesQty58">'Бланк заказа'!$V$116:$V$116</definedName>
    <definedName name="SalesQty59">'Бланк заказа'!$V$117:$V$117</definedName>
    <definedName name="SalesQty6">'Бланк заказа'!$V$30:$V$30</definedName>
    <definedName name="SalesQty60">'Бланк заказа'!$V$122:$V$122</definedName>
    <definedName name="SalesQty61">'Бланк заказа'!$V$123:$V$123</definedName>
    <definedName name="SalesQty62">'Бланк заказа'!$V$124:$V$124</definedName>
    <definedName name="SalesQty63">'Бланк заказа'!$V$130:$V$130</definedName>
    <definedName name="SalesQty64">'Бланк заказа'!$V$131:$V$131</definedName>
    <definedName name="SalesQty65">'Бланк заказа'!$V$132:$V$132</definedName>
    <definedName name="SalesQty66">'Бланк заказа'!$V$137:$V$137</definedName>
    <definedName name="SalesQty67">'Бланк заказа'!$V$138:$V$138</definedName>
    <definedName name="SalesQty68">'Бланк заказа'!$V$139:$V$139</definedName>
    <definedName name="SalesQty69">'Бланк заказа'!$V$140:$V$140</definedName>
    <definedName name="SalesQty7">'Бланк заказа'!$V$31:$V$31</definedName>
    <definedName name="SalesQty70">'Бланк заказа'!$V$141:$V$141</definedName>
    <definedName name="SalesQty71">'Бланк заказа'!$V$142:$V$142</definedName>
    <definedName name="SalesQty72">'Бланк заказа'!$V$143:$V$143</definedName>
    <definedName name="SalesQty73">'Бланк заказа'!$V$144:$V$144</definedName>
    <definedName name="SalesQty74">'Бланк заказа'!$V$149:$V$149</definedName>
    <definedName name="SalesQty75">'Бланк заказа'!$V$150:$V$150</definedName>
    <definedName name="SalesQty76">'Бланк заказа'!$V$154:$V$154</definedName>
    <definedName name="SalesQty77">'Бланк заказа'!$V$155:$V$155</definedName>
    <definedName name="SalesQty78">'Бланк заказа'!$V$159:$V$159</definedName>
    <definedName name="SalesQty79">'Бланк заказа'!$V$160:$V$160</definedName>
    <definedName name="SalesQty8">'Бланк заказа'!$V$35:$V$35</definedName>
    <definedName name="SalesQty80">'Бланк заказа'!$V$161:$V$161</definedName>
    <definedName name="SalesQty81">'Бланк заказа'!$V$162:$V$162</definedName>
    <definedName name="SalesQty82">'Бланк заказа'!$V$166:$V$166</definedName>
    <definedName name="SalesQty83">'Бланк заказа'!$V$167:$V$167</definedName>
    <definedName name="SalesQty84">'Бланк заказа'!$V$168:$V$168</definedName>
    <definedName name="SalesQty85">'Бланк заказа'!$V$169:$V$169</definedName>
    <definedName name="SalesQty86">'Бланк заказа'!$V$170:$V$170</definedName>
    <definedName name="SalesQty87">'Бланк заказа'!$V$171:$V$171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заказа'!$V$186:$V$186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заказа'!$W$187:$W$187</definedName>
    <definedName name="SalesRoundBox101">'Бланк заказа'!$W$192:$W$192</definedName>
    <definedName name="SalesRoundBox102">'Бланк заказа'!$W$193:$W$193</definedName>
    <definedName name="SalesRoundBox103">'Бланк заказа'!$W$194:$W$194</definedName>
    <definedName name="SalesRoundBox104">'Бланк заказа'!$W$195:$W$195</definedName>
    <definedName name="SalesRoundBox105">'Бланк заказа'!$W$196:$W$196</definedName>
    <definedName name="SalesRoundBox106">'Бланк заказа'!$W$197:$W$197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заказа'!$W$209:$W$209</definedName>
    <definedName name="SalesRoundBox116">'Бланк заказа'!$W$213:$W$213</definedName>
    <definedName name="SalesRoundBox117">'Бланк заказа'!$W$214:$W$214</definedName>
    <definedName name="SalesRoundBox118">'Бланк заказа'!$W$215:$W$215</definedName>
    <definedName name="SalesRoundBox119">'Бланк заказа'!$W$216:$W$216</definedName>
    <definedName name="SalesRoundBox12">'Бланк заказа'!$W$54:$W$54</definedName>
    <definedName name="SalesRoundBox120">'Бланк заказа'!$W$220:$W$220</definedName>
    <definedName name="SalesRoundBox121">'Бланк заказа'!$W$221:$W$221</definedName>
    <definedName name="SalesRoundBox122">'Бланк заказа'!$W$222:$W$222</definedName>
    <definedName name="SalesRoundBox123">'Бланк заказа'!$W$223:$W$223</definedName>
    <definedName name="SalesRoundBox124">'Бланк заказа'!$W$224:$W$224</definedName>
    <definedName name="SalesRoundBox125">'Бланк заказа'!$W$225:$W$225</definedName>
    <definedName name="SalesRoundBox126">'Бланк заказа'!$W$226:$W$226</definedName>
    <definedName name="SalesRoundBox127">'Бланк заказа'!$W$227:$W$227</definedName>
    <definedName name="SalesRoundBox128">'Бланк заказа'!$W$228:$W$228</definedName>
    <definedName name="SalesRoundBox129">'Бланк заказа'!$W$232:$W$232</definedName>
    <definedName name="SalesRoundBox13">'Бланк заказа'!$W$55:$W$55</definedName>
    <definedName name="SalesRoundBox130">'Бланк заказа'!$W$233:$W$233</definedName>
    <definedName name="SalesRoundBox131">'Бланк заказа'!$W$234:$W$234</definedName>
    <definedName name="SalesRoundBox132">'Бланк заказа'!$W$238:$W$238</definedName>
    <definedName name="SalesRoundBox133">'Бланк заказа'!$W$239:$W$239</definedName>
    <definedName name="SalesRoundBox134">'Бланк заказа'!$W$240:$W$240</definedName>
    <definedName name="SalesRoundBox135">'Бланк заказа'!$W$244:$W$244</definedName>
    <definedName name="SalesRoundBox136">'Бланк заказа'!$W$245:$W$245</definedName>
    <definedName name="SalesRoundBox137">'Бланк заказа'!$W$246:$W$246</definedName>
    <definedName name="SalesRoundBox138">'Бланк заказа'!$W$251:$W$251</definedName>
    <definedName name="SalesRoundBox139">'Бланк заказа'!$W$252:$W$252</definedName>
    <definedName name="SalesRoundBox14">'Бланк заказа'!$W$56:$W$56</definedName>
    <definedName name="SalesRoundBox140">'Бланк заказа'!$W$253:$W$253</definedName>
    <definedName name="SalesRoundBox141">'Бланк заказа'!$W$254:$W$254</definedName>
    <definedName name="SalesRoundBox142">'Бланк заказа'!$W$255:$W$255</definedName>
    <definedName name="SalesRoundBox143">'Бланк заказа'!$W$256:$W$256</definedName>
    <definedName name="SalesRoundBox144">'Бланк заказа'!$W$257:$W$257</definedName>
    <definedName name="SalesRoundBox145">'Бланк заказа'!$W$261:$W$261</definedName>
    <definedName name="SalesRoundBox146">'Бланк заказа'!$W$262:$W$262</definedName>
    <definedName name="SalesRoundBox147">'Бланк заказа'!$W$267:$W$267</definedName>
    <definedName name="SalesRoundBox148">'Бланк заказа'!$W$271:$W$271</definedName>
    <definedName name="SalesRoundBox149">'Бланк заказа'!$W$272:$W$272</definedName>
    <definedName name="SalesRoundBox15">'Бланк заказа'!$W$57:$W$57</definedName>
    <definedName name="SalesRoundBox150">'Бланк заказа'!$W$276:$W$276</definedName>
    <definedName name="SalesRoundBox151">'Бланк заказа'!$W$280:$W$280</definedName>
    <definedName name="SalesRoundBox152">'Бланк заказа'!$W$286:$W$286</definedName>
    <definedName name="SalesRoundBox153">'Бланк заказа'!$W$287:$W$287</definedName>
    <definedName name="SalesRoundBox154">'Бланк заказа'!$W$288:$W$288</definedName>
    <definedName name="SalesRoundBox155">'Бланк заказа'!$W$289:$W$289</definedName>
    <definedName name="SalesRoundBox156">'Бланк заказа'!$W$290:$W$290</definedName>
    <definedName name="SalesRoundBox157">'Бланк заказа'!$W$291:$W$291</definedName>
    <definedName name="SalesRoundBox158">'Бланк заказа'!$W$292:$W$292</definedName>
    <definedName name="SalesRoundBox159">'Бланк заказа'!$W$293:$W$293</definedName>
    <definedName name="SalesRoundBox16">'Бланк заказа'!$W$62:$W$62</definedName>
    <definedName name="SalesRoundBox160">'Бланк заказа'!$W$297:$W$297</definedName>
    <definedName name="SalesRoundBox161">'Бланк заказа'!$W$298:$W$298</definedName>
    <definedName name="SalesRoundBox162">'Бланк заказа'!$W$299:$W$299</definedName>
    <definedName name="SalesRoundBox163">'Бланк заказа'!$W$303:$W$303</definedName>
    <definedName name="SalesRoundBox164">'Бланк заказа'!$W$307:$W$307</definedName>
    <definedName name="SalesRoundBox165">'Бланк заказа'!$W$312:$W$312</definedName>
    <definedName name="SalesRoundBox166">'Бланк заказа'!$W$313:$W$313</definedName>
    <definedName name="SalesRoundBox167">'Бланк заказа'!$W$314:$W$314</definedName>
    <definedName name="SalesRoundBox168">'Бланк заказа'!$W$315:$W$315</definedName>
    <definedName name="SalesRoundBox169">'Бланк заказа'!$W$319:$W$319</definedName>
    <definedName name="SalesRoundBox17">'Бланк заказа'!$W$63:$W$63</definedName>
    <definedName name="SalesRoundBox170">'Бланк заказа'!$W$320:$W$320</definedName>
    <definedName name="SalesRoundBox171">'Бланк заказа'!$W$324:$W$324</definedName>
    <definedName name="SalesRoundBox172">'Бланк заказа'!$W$325:$W$325</definedName>
    <definedName name="SalesRoundBox173">'Бланк заказа'!$W$326:$W$326</definedName>
    <definedName name="SalesRoundBox174">'Бланк заказа'!$W$327:$W$327</definedName>
    <definedName name="SalesRoundBox175">'Бланк заказа'!$W$331:$W$331</definedName>
    <definedName name="SalesRoundBox176">'Бланк заказа'!$W$337:$W$337</definedName>
    <definedName name="SalesRoundBox177">'Бланк заказа'!$W$338:$W$338</definedName>
    <definedName name="SalesRoundBox178">'Бланк заказа'!$W$342:$W$342</definedName>
    <definedName name="SalesRoundBox179">'Бланк заказа'!$W$343:$W$343</definedName>
    <definedName name="SalesRoundBox18">'Бланк заказа'!$W$64:$W$64</definedName>
    <definedName name="SalesRoundBox180">'Бланк заказа'!$W$344:$W$344</definedName>
    <definedName name="SalesRoundBox181">'Бланк заказа'!$W$345:$W$345</definedName>
    <definedName name="SalesRoundBox182">'Бланк заказа'!$W$346:$W$346</definedName>
    <definedName name="SalesRoundBox183">'Бланк заказа'!$W$347:$W$347</definedName>
    <definedName name="SalesRoundBox184">'Бланк заказа'!$W$348:$W$348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заказа'!$W$358:$W$358</definedName>
    <definedName name="SalesRoundBox192">'Бланк заказа'!$W$359:$W$359</definedName>
    <definedName name="SalesRoundBox193">'Бланк заказа'!$W$360:$W$360</definedName>
    <definedName name="SalesRoundBox194">'Бланк заказа'!$W$361:$W$361</definedName>
    <definedName name="SalesRoundBox195">'Бланк заказа'!$W$365:$W$365</definedName>
    <definedName name="SalesRoundBox196">'Бланк заказа'!$W$369:$W$369</definedName>
    <definedName name="SalesRoundBox197">'Бланк заказа'!$W$370:$W$370</definedName>
    <definedName name="SalesRoundBox198">'Бланк заказа'!$W$371:$W$371</definedName>
    <definedName name="SalesRoundBox199">'Бланк заказа'!$W$372:$W$372</definedName>
    <definedName name="SalesRoundBox2">'Бланк заказа'!$W$26:$W$26</definedName>
    <definedName name="SalesRoundBox20">'Бланк заказа'!$W$66:$W$66</definedName>
    <definedName name="SalesRoundBox200">'Бланк заказа'!$W$376:$W$376</definedName>
    <definedName name="SalesRoundBox201">'Бланк заказа'!$W$377:$W$377</definedName>
    <definedName name="SalesRoundBox202">'Бланк заказа'!$W$382:$W$382</definedName>
    <definedName name="SalesRoundBox203">'Бланк заказа'!$W$383:$W$383</definedName>
    <definedName name="SalesRoundBox204">'Бланк заказа'!$W$387:$W$387</definedName>
    <definedName name="SalesRoundBox205">'Бланк заказа'!$W$388:$W$388</definedName>
    <definedName name="SalesRoundBox206">'Бланк заказа'!$W$389:$W$389</definedName>
    <definedName name="SalesRoundBox207">'Бланк заказа'!$W$390:$W$390</definedName>
    <definedName name="SalesRoundBox208">'Бланк заказа'!$W$391:$W$391</definedName>
    <definedName name="SalesRoundBox209">'Бланк заказа'!$W$392:$W$392</definedName>
    <definedName name="SalesRoundBox21">'Бланк заказа'!$W$67:$W$67</definedName>
    <definedName name="SalesRoundBox210">'Бланк заказа'!$W$393:$W$393</definedName>
    <definedName name="SalesRoundBox211">'Бланк заказа'!$W$397:$W$397</definedName>
    <definedName name="SalesRoundBox212">'Бланк заказа'!$W$403:$W$403</definedName>
    <definedName name="SalesRoundBox213">'Бланк заказа'!$W$404:$W$404</definedName>
    <definedName name="SalesRoundBox214">'Бланк заказа'!$W$405:$W$405</definedName>
    <definedName name="SalesRoundBox215">'Бланк заказа'!$W$406:$W$406</definedName>
    <definedName name="SalesRoundBox216">'Бланк заказа'!$W$407:$W$407</definedName>
    <definedName name="SalesRoundBox217">'Бланк заказа'!$W$408:$W$408</definedName>
    <definedName name="SalesRoundBox218">'Бланк заказа'!$W$409:$W$409</definedName>
    <definedName name="SalesRoundBox219">'Бланк заказа'!$W$410:$W$410</definedName>
    <definedName name="SalesRoundBox22">'Бланк заказа'!$W$68:$W$68</definedName>
    <definedName name="SalesRoundBox220">'Бланк заказа'!$W$411:$W$411</definedName>
    <definedName name="SalesRoundBox221">'Бланк заказа'!$W$415:$W$415</definedName>
    <definedName name="SalesRoundBox222">'Бланк заказа'!$W$416:$W$416</definedName>
    <definedName name="SalesRoundBox223">'Бланк заказа'!$W$420:$W$420</definedName>
    <definedName name="SalesRoundBox224">'Бланк заказа'!$W$421:$W$421</definedName>
    <definedName name="SalesRoundBox225">'Бланк заказа'!$W$422:$W$422</definedName>
    <definedName name="SalesRoundBox226">'Бланк заказа'!$W$423:$W$423</definedName>
    <definedName name="SalesRoundBox227">'Бланк заказа'!$W$424:$W$424</definedName>
    <definedName name="SalesRoundBox228">'Бланк заказа'!$W$425:$W$425</definedName>
    <definedName name="SalesRoundBox229">'Бланк заказа'!$W$429:$W$429</definedName>
    <definedName name="SalesRoundBox23">'Бланк заказа'!$W$69:$W$69</definedName>
    <definedName name="SalesRoundBox230">'Бланк заказа'!$W$430:$W$430</definedName>
    <definedName name="SalesRoundBox231">'Бланк заказа'!$W$436:$W$436</definedName>
    <definedName name="SalesRoundBox232">'Бланк заказа'!$W$437:$W$437</definedName>
    <definedName name="SalesRoundBox233">'Бланк заказа'!$W$441:$W$441</definedName>
    <definedName name="SalesRoundBox234">'Бланк заказа'!$W$442:$W$442</definedName>
    <definedName name="SalesRoundBox235">'Бланк заказа'!$W$446:$W$446</definedName>
    <definedName name="SalesRoundBox236">'Бланк заказа'!$W$447:$W$447</definedName>
    <definedName name="SalesRoundBox237">'Бланк заказа'!$W$451:$W$451</definedName>
    <definedName name="SalesRoundBox238">'Бланк заказа'!$W$452:$W$452</definedName>
    <definedName name="SalesRoundBox239">'Бланк заказа'!$W$457:$W$457</definedName>
    <definedName name="SalesRoundBox24">'Бланк заказа'!$W$70:$W$70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заказа'!$W$80:$W$80</definedName>
    <definedName name="SalesRoundBox32">'Бланк заказа'!$W$81:$W$81</definedName>
    <definedName name="SalesRoundBox33">'Бланк заказа'!$W$82:$W$82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заказа'!$W$90:$W$90</definedName>
    <definedName name="SalesRoundBox39">'Бланк заказа'!$W$91:$W$91</definedName>
    <definedName name="SalesRoundBox4">'Бланк заказа'!$W$28:$W$28</definedName>
    <definedName name="SalesRoundBox40">'Бланк заказа'!$W$92:$W$92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заказа'!$W$101:$W$101</definedName>
    <definedName name="SalesRoundBox47">'Бланк заказа'!$W$102:$W$102</definedName>
    <definedName name="SalesRoundBox48">'Бланк заказа'!$W$103:$W$103</definedName>
    <definedName name="SalesRoundBox49">'Бланк заказа'!$W$104:$W$104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заказа'!$W$113:$W$113</definedName>
    <definedName name="SalesRoundBox56">'Бланк заказа'!$W$114:$W$114</definedName>
    <definedName name="SalesRoundBox57">'Бланк заказа'!$W$115:$W$115</definedName>
    <definedName name="SalesRoundBox58">'Бланк заказа'!$W$116:$W$116</definedName>
    <definedName name="SalesRoundBox59">'Бланк заказа'!$W$117:$W$117</definedName>
    <definedName name="SalesRoundBox6">'Бланк заказа'!$W$30:$W$30</definedName>
    <definedName name="SalesRoundBox60">'Бланк заказа'!$W$122:$W$122</definedName>
    <definedName name="SalesRoundBox61">'Бланк заказа'!$W$123:$W$123</definedName>
    <definedName name="SalesRoundBox62">'Бланк заказа'!$W$124:$W$124</definedName>
    <definedName name="SalesRoundBox63">'Бланк заказа'!$W$130:$W$130</definedName>
    <definedName name="SalesRoundBox64">'Бланк заказа'!$W$131:$W$131</definedName>
    <definedName name="SalesRoundBox65">'Бланк заказа'!$W$132:$W$132</definedName>
    <definedName name="SalesRoundBox66">'Бланк заказа'!$W$137:$W$137</definedName>
    <definedName name="SalesRoundBox67">'Бланк заказа'!$W$138:$W$138</definedName>
    <definedName name="SalesRoundBox68">'Бланк заказа'!$W$139:$W$139</definedName>
    <definedName name="SalesRoundBox69">'Бланк заказа'!$W$140:$W$140</definedName>
    <definedName name="SalesRoundBox7">'Бланк заказа'!$W$31:$W$31</definedName>
    <definedName name="SalesRoundBox70">'Бланк заказа'!$W$141:$W$141</definedName>
    <definedName name="SalesRoundBox71">'Бланк заказа'!$W$142:$W$142</definedName>
    <definedName name="SalesRoundBox72">'Бланк заказа'!$W$143:$W$143</definedName>
    <definedName name="SalesRoundBox73">'Бланк заказа'!$W$144:$W$144</definedName>
    <definedName name="SalesRoundBox74">'Бланк заказа'!$W$149:$W$149</definedName>
    <definedName name="SalesRoundBox75">'Бланк заказа'!$W$150:$W$150</definedName>
    <definedName name="SalesRoundBox76">'Бланк заказа'!$W$154:$W$154</definedName>
    <definedName name="SalesRoundBox77">'Бланк заказа'!$W$155:$W$155</definedName>
    <definedName name="SalesRoundBox78">'Бланк заказа'!$W$159:$W$159</definedName>
    <definedName name="SalesRoundBox79">'Бланк заказа'!$W$160:$W$160</definedName>
    <definedName name="SalesRoundBox8">'Бланк заказа'!$W$35:$W$35</definedName>
    <definedName name="SalesRoundBox80">'Бланк заказа'!$W$161:$W$161</definedName>
    <definedName name="SalesRoundBox81">'Бланк заказа'!$W$162:$W$162</definedName>
    <definedName name="SalesRoundBox82">'Бланк заказа'!$W$166:$W$166</definedName>
    <definedName name="SalesRoundBox83">'Бланк заказа'!$W$167:$W$167</definedName>
    <definedName name="SalesRoundBox84">'Бланк заказа'!$W$168:$W$168</definedName>
    <definedName name="SalesRoundBox85">'Бланк заказа'!$W$169:$W$169</definedName>
    <definedName name="SalesRoundBox86">'Бланк заказа'!$W$170:$W$170</definedName>
    <definedName name="SalesRoundBox87">'Бланк заказа'!$W$171:$W$171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заказа'!$W$186:$W$186</definedName>
    <definedName name="Table">Setting!$B$6:$D$8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заказа'!$U$187:$U$187</definedName>
    <definedName name="UnitOfMeasure101">'Бланк заказа'!$U$192:$U$192</definedName>
    <definedName name="UnitOfMeasure102">'Бланк заказа'!$U$193:$U$193</definedName>
    <definedName name="UnitOfMeasure103">'Бланк заказа'!$U$194:$U$194</definedName>
    <definedName name="UnitOfMeasure104">'Бланк заказа'!$U$195:$U$195</definedName>
    <definedName name="UnitOfMeasure105">'Бланк заказа'!$U$196:$U$196</definedName>
    <definedName name="UnitOfMeasure106">'Бланк заказа'!$U$197:$U$197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заказа'!$U$209:$U$209</definedName>
    <definedName name="UnitOfMeasure116">'Бланк заказа'!$U$213:$U$213</definedName>
    <definedName name="UnitOfMeasure117">'Бланк заказа'!$U$214:$U$214</definedName>
    <definedName name="UnitOfMeasure118">'Бланк заказа'!$U$215:$U$215</definedName>
    <definedName name="UnitOfMeasure119">'Бланк заказа'!$U$216:$U$216</definedName>
    <definedName name="UnitOfMeasure12">'Бланк заказа'!$U$54:$U$54</definedName>
    <definedName name="UnitOfMeasure120">'Бланк заказа'!$U$220:$U$220</definedName>
    <definedName name="UnitOfMeasure121">'Бланк заказа'!$U$221:$U$221</definedName>
    <definedName name="UnitOfMeasure122">'Бланк заказа'!$U$222:$U$222</definedName>
    <definedName name="UnitOfMeasure123">'Бланк заказа'!$U$223:$U$223</definedName>
    <definedName name="UnitOfMeasure124">'Бланк заказа'!$U$224:$U$224</definedName>
    <definedName name="UnitOfMeasure125">'Бланк заказа'!$U$225:$U$225</definedName>
    <definedName name="UnitOfMeasure126">'Бланк заказа'!$U$226:$U$226</definedName>
    <definedName name="UnitOfMeasure127">'Бланк заказа'!$U$227:$U$227</definedName>
    <definedName name="UnitOfMeasure128">'Бланк заказа'!$U$228:$U$228</definedName>
    <definedName name="UnitOfMeasure129">'Бланк заказа'!$U$232:$U$232</definedName>
    <definedName name="UnitOfMeasure13">'Бланк заказа'!$U$55:$U$55</definedName>
    <definedName name="UnitOfMeasure130">'Бланк заказа'!$U$233:$U$233</definedName>
    <definedName name="UnitOfMeasure131">'Бланк заказа'!$U$234:$U$234</definedName>
    <definedName name="UnitOfMeasure132">'Бланк заказа'!$U$238:$U$238</definedName>
    <definedName name="UnitOfMeasure133">'Бланк заказа'!$U$239:$U$239</definedName>
    <definedName name="UnitOfMeasure134">'Бланк заказа'!$U$240:$U$240</definedName>
    <definedName name="UnitOfMeasure135">'Бланк заказа'!$U$244:$U$244</definedName>
    <definedName name="UnitOfMeasure136">'Бланк заказа'!$U$245:$U$245</definedName>
    <definedName name="UnitOfMeasure137">'Бланк заказа'!$U$246:$U$246</definedName>
    <definedName name="UnitOfMeasure138">'Бланк заказа'!$U$251:$U$251</definedName>
    <definedName name="UnitOfMeasure139">'Бланк заказа'!$U$252:$U$252</definedName>
    <definedName name="UnitOfMeasure14">'Бланк заказа'!$U$56:$U$56</definedName>
    <definedName name="UnitOfMeasure140">'Бланк заказа'!$U$253:$U$253</definedName>
    <definedName name="UnitOfMeasure141">'Бланк заказа'!$U$254:$U$254</definedName>
    <definedName name="UnitOfMeasure142">'Бланк заказа'!$U$255:$U$255</definedName>
    <definedName name="UnitOfMeasure143">'Бланк заказа'!$U$256:$U$256</definedName>
    <definedName name="UnitOfMeasure144">'Бланк заказа'!$U$257:$U$257</definedName>
    <definedName name="UnitOfMeasure145">'Бланк заказа'!$U$261:$U$261</definedName>
    <definedName name="UnitOfMeasure146">'Бланк заказа'!$U$262:$U$262</definedName>
    <definedName name="UnitOfMeasure147">'Бланк заказа'!$U$267:$U$267</definedName>
    <definedName name="UnitOfMeasure148">'Бланк заказа'!$U$271:$U$271</definedName>
    <definedName name="UnitOfMeasure149">'Бланк заказа'!$U$272:$U$272</definedName>
    <definedName name="UnitOfMeasure15">'Бланк заказа'!$U$57:$U$57</definedName>
    <definedName name="UnitOfMeasure150">'Бланк заказа'!$U$276:$U$276</definedName>
    <definedName name="UnitOfMeasure151">'Бланк заказа'!$U$280:$U$280</definedName>
    <definedName name="UnitOfMeasure152">'Бланк заказа'!$U$286:$U$286</definedName>
    <definedName name="UnitOfMeasure153">'Бланк заказа'!$U$287:$U$287</definedName>
    <definedName name="UnitOfMeasure154">'Бланк заказа'!$U$288:$U$288</definedName>
    <definedName name="UnitOfMeasure155">'Бланк заказа'!$U$289:$U$289</definedName>
    <definedName name="UnitOfMeasure156">'Бланк заказа'!$U$290:$U$290</definedName>
    <definedName name="UnitOfMeasure157">'Бланк заказа'!$U$291:$U$291</definedName>
    <definedName name="UnitOfMeasure158">'Бланк заказа'!$U$292:$U$292</definedName>
    <definedName name="UnitOfMeasure159">'Бланк заказа'!$U$293:$U$293</definedName>
    <definedName name="UnitOfMeasure16">'Бланк заказа'!$U$62:$U$62</definedName>
    <definedName name="UnitOfMeasure160">'Бланк заказа'!$U$297:$U$297</definedName>
    <definedName name="UnitOfMeasure161">'Бланк заказа'!$U$298:$U$298</definedName>
    <definedName name="UnitOfMeasure162">'Бланк заказа'!$U$299:$U$299</definedName>
    <definedName name="UnitOfMeasure163">'Бланк заказа'!$U$303:$U$303</definedName>
    <definedName name="UnitOfMeasure164">'Бланк заказа'!$U$307:$U$307</definedName>
    <definedName name="UnitOfMeasure165">'Бланк заказа'!$U$312:$U$312</definedName>
    <definedName name="UnitOfMeasure166">'Бланк заказа'!$U$313:$U$313</definedName>
    <definedName name="UnitOfMeasure167">'Бланк заказа'!$U$314:$U$314</definedName>
    <definedName name="UnitOfMeasure168">'Бланк заказа'!$U$315:$U$315</definedName>
    <definedName name="UnitOfMeasure169">'Бланк заказа'!$U$319:$U$319</definedName>
    <definedName name="UnitOfMeasure17">'Бланк заказа'!$U$63:$U$63</definedName>
    <definedName name="UnitOfMeasure170">'Бланк заказа'!$U$320:$U$320</definedName>
    <definedName name="UnitOfMeasure171">'Бланк заказа'!$U$324:$U$324</definedName>
    <definedName name="UnitOfMeasure172">'Бланк заказа'!$U$325:$U$325</definedName>
    <definedName name="UnitOfMeasure173">'Бланк заказа'!$U$326:$U$326</definedName>
    <definedName name="UnitOfMeasure174">'Бланк заказа'!$U$327:$U$327</definedName>
    <definedName name="UnitOfMeasure175">'Бланк заказа'!$U$331:$U$331</definedName>
    <definedName name="UnitOfMeasure176">'Бланк заказа'!$U$337:$U$337</definedName>
    <definedName name="UnitOfMeasure177">'Бланк заказа'!$U$338:$U$338</definedName>
    <definedName name="UnitOfMeasure178">'Бланк заказа'!$U$342:$U$342</definedName>
    <definedName name="UnitOfMeasure179">'Бланк заказа'!$U$343:$U$343</definedName>
    <definedName name="UnitOfMeasure18">'Бланк заказа'!$U$64:$U$64</definedName>
    <definedName name="UnitOfMeasure180">'Бланк заказа'!$U$344:$U$344</definedName>
    <definedName name="UnitOfMeasure181">'Бланк заказа'!$U$345:$U$345</definedName>
    <definedName name="UnitOfMeasure182">'Бланк заказа'!$U$346:$U$346</definedName>
    <definedName name="UnitOfMeasure183">'Бланк заказа'!$U$347:$U$347</definedName>
    <definedName name="UnitOfMeasure184">'Бланк заказа'!$U$348:$U$348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заказа'!$U$358:$U$358</definedName>
    <definedName name="UnitOfMeasure192">'Бланк заказа'!$U$359:$U$359</definedName>
    <definedName name="UnitOfMeasure193">'Бланк заказа'!$U$360:$U$360</definedName>
    <definedName name="UnitOfMeasure194">'Бланк заказа'!$U$361:$U$361</definedName>
    <definedName name="UnitOfMeasure195">'Бланк заказа'!$U$365:$U$365</definedName>
    <definedName name="UnitOfMeasure196">'Бланк заказа'!$U$369:$U$369</definedName>
    <definedName name="UnitOfMeasure197">'Бланк заказа'!$U$370:$U$370</definedName>
    <definedName name="UnitOfMeasure198">'Бланк заказа'!$U$371:$U$371</definedName>
    <definedName name="UnitOfMeasure199">'Бланк заказа'!$U$372:$U$372</definedName>
    <definedName name="UnitOfMeasure2">'Бланк заказа'!$U$26:$U$26</definedName>
    <definedName name="UnitOfMeasure20">'Бланк заказа'!$U$66:$U$66</definedName>
    <definedName name="UnitOfMeasure200">'Бланк заказа'!$U$376:$U$376</definedName>
    <definedName name="UnitOfMeasure201">'Бланк заказа'!$U$377:$U$377</definedName>
    <definedName name="UnitOfMeasure202">'Бланк заказа'!$U$382:$U$382</definedName>
    <definedName name="UnitOfMeasure203">'Бланк заказа'!$U$383:$U$383</definedName>
    <definedName name="UnitOfMeasure204">'Бланк заказа'!$U$387:$U$387</definedName>
    <definedName name="UnitOfMeasure205">'Бланк заказа'!$U$388:$U$388</definedName>
    <definedName name="UnitOfMeasure206">'Бланк заказа'!$U$389:$U$389</definedName>
    <definedName name="UnitOfMeasure207">'Бланк заказа'!$U$390:$U$390</definedName>
    <definedName name="UnitOfMeasure208">'Бланк заказа'!$U$391:$U$391</definedName>
    <definedName name="UnitOfMeasure209">'Бланк заказа'!$U$392:$U$392</definedName>
    <definedName name="UnitOfMeasure21">'Бланк заказа'!$U$67:$U$67</definedName>
    <definedName name="UnitOfMeasure210">'Бланк заказа'!$U$393:$U$393</definedName>
    <definedName name="UnitOfMeasure211">'Бланк заказа'!$U$397:$U$397</definedName>
    <definedName name="UnitOfMeasure212">'Бланк заказа'!$U$403:$U$403</definedName>
    <definedName name="UnitOfMeasure213">'Бланк заказа'!$U$404:$U$404</definedName>
    <definedName name="UnitOfMeasure214">'Бланк заказа'!$U$405:$U$405</definedName>
    <definedName name="UnitOfMeasure215">'Бланк заказа'!$U$406:$U$406</definedName>
    <definedName name="UnitOfMeasure216">'Бланк заказа'!$U$407:$U$407</definedName>
    <definedName name="UnitOfMeasure217">'Бланк заказа'!$U$408:$U$408</definedName>
    <definedName name="UnitOfMeasure218">'Бланк заказа'!$U$409:$U$409</definedName>
    <definedName name="UnitOfMeasure219">'Бланк заказа'!$U$410:$U$410</definedName>
    <definedName name="UnitOfMeasure22">'Бланк заказа'!$U$68:$U$68</definedName>
    <definedName name="UnitOfMeasure220">'Бланк заказа'!$U$411:$U$411</definedName>
    <definedName name="UnitOfMeasure221">'Бланк заказа'!$U$415:$U$415</definedName>
    <definedName name="UnitOfMeasure222">'Бланк заказа'!$U$416:$U$416</definedName>
    <definedName name="UnitOfMeasure223">'Бланк заказа'!$U$420:$U$420</definedName>
    <definedName name="UnitOfMeasure224">'Бланк заказа'!$U$421:$U$421</definedName>
    <definedName name="UnitOfMeasure225">'Бланк заказа'!$U$422:$U$422</definedName>
    <definedName name="UnitOfMeasure226">'Бланк заказа'!$U$423:$U$423</definedName>
    <definedName name="UnitOfMeasure227">'Бланк заказа'!$U$424:$U$424</definedName>
    <definedName name="UnitOfMeasure228">'Бланк заказа'!$U$425:$U$425</definedName>
    <definedName name="UnitOfMeasure229">'Бланк заказа'!$U$429:$U$429</definedName>
    <definedName name="UnitOfMeasure23">'Бланк заказа'!$U$69:$U$69</definedName>
    <definedName name="UnitOfMeasure230">'Бланк заказа'!$U$430:$U$430</definedName>
    <definedName name="UnitOfMeasure231">'Бланк заказа'!$U$436:$U$436</definedName>
    <definedName name="UnitOfMeasure232">'Бланк заказа'!$U$437:$U$437</definedName>
    <definedName name="UnitOfMeasure233">'Бланк заказа'!$U$441:$U$441</definedName>
    <definedName name="UnitOfMeasure234">'Бланк заказа'!$U$442:$U$442</definedName>
    <definedName name="UnitOfMeasure235">'Бланк заказа'!$U$446:$U$446</definedName>
    <definedName name="UnitOfMeasure236">'Бланк заказа'!$U$447:$U$447</definedName>
    <definedName name="UnitOfMeasure237">'Бланк заказа'!$U$451:$U$451</definedName>
    <definedName name="UnitOfMeasure238">'Бланк заказа'!$U$452:$U$452</definedName>
    <definedName name="UnitOfMeasure239">'Бланк заказа'!$U$457:$U$457</definedName>
    <definedName name="UnitOfMeasure24">'Бланк заказа'!$U$70:$U$70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заказа'!$U$80:$U$80</definedName>
    <definedName name="UnitOfMeasure32">'Бланк заказа'!$U$81:$U$81</definedName>
    <definedName name="UnitOfMeasure33">'Бланк заказа'!$U$82:$U$82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заказа'!$U$90:$U$90</definedName>
    <definedName name="UnitOfMeasure39">'Бланк заказа'!$U$91:$U$91</definedName>
    <definedName name="UnitOfMeasure4">'Бланк заказа'!$U$28:$U$28</definedName>
    <definedName name="UnitOfMeasure40">'Бланк заказа'!$U$92:$U$92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заказа'!$U$101:$U$101</definedName>
    <definedName name="UnitOfMeasure47">'Бланк заказа'!$U$102:$U$102</definedName>
    <definedName name="UnitOfMeasure48">'Бланк заказа'!$U$103:$U$103</definedName>
    <definedName name="UnitOfMeasure49">'Бланк заказа'!$U$104:$U$104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заказа'!$U$113:$U$113</definedName>
    <definedName name="UnitOfMeasure56">'Бланк заказа'!$U$114:$U$114</definedName>
    <definedName name="UnitOfMeasure57">'Бланк заказа'!$U$115:$U$115</definedName>
    <definedName name="UnitOfMeasure58">'Бланк заказа'!$U$116:$U$116</definedName>
    <definedName name="UnitOfMeasure59">'Бланк заказа'!$U$117:$U$117</definedName>
    <definedName name="UnitOfMeasure6">'Бланк заказа'!$U$30:$U$30</definedName>
    <definedName name="UnitOfMeasure60">'Бланк заказа'!$U$122:$U$122</definedName>
    <definedName name="UnitOfMeasure61">'Бланк заказа'!$U$123:$U$123</definedName>
    <definedName name="UnitOfMeasure62">'Бланк заказа'!$U$124:$U$124</definedName>
    <definedName name="UnitOfMeasure63">'Бланк заказа'!$U$130:$U$130</definedName>
    <definedName name="UnitOfMeasure64">'Бланк заказа'!$U$131:$U$131</definedName>
    <definedName name="UnitOfMeasure65">'Бланк заказа'!$U$132:$U$132</definedName>
    <definedName name="UnitOfMeasure66">'Бланк заказа'!$U$137:$U$137</definedName>
    <definedName name="UnitOfMeasure67">'Бланк заказа'!$U$138:$U$138</definedName>
    <definedName name="UnitOfMeasure68">'Бланк заказа'!$U$139:$U$139</definedName>
    <definedName name="UnitOfMeasure69">'Бланк заказа'!$U$140:$U$140</definedName>
    <definedName name="UnitOfMeasure7">'Бланк заказа'!$U$31:$U$31</definedName>
    <definedName name="UnitOfMeasure70">'Бланк заказа'!$U$141:$U$141</definedName>
    <definedName name="UnitOfMeasure71">'Бланк заказа'!$U$142:$U$142</definedName>
    <definedName name="UnitOfMeasure72">'Бланк заказа'!$U$143:$U$143</definedName>
    <definedName name="UnitOfMeasure73">'Бланк заказа'!$U$144:$U$144</definedName>
    <definedName name="UnitOfMeasure74">'Бланк заказа'!$U$149:$U$149</definedName>
    <definedName name="UnitOfMeasure75">'Бланк заказа'!$U$150:$U$150</definedName>
    <definedName name="UnitOfMeasure76">'Бланк заказа'!$U$154:$U$154</definedName>
    <definedName name="UnitOfMeasure77">'Бланк заказа'!$U$155:$U$155</definedName>
    <definedName name="UnitOfMeasure78">'Бланк заказа'!$U$159:$U$159</definedName>
    <definedName name="UnitOfMeasure79">'Бланк заказа'!$U$160:$U$160</definedName>
    <definedName name="UnitOfMeasure8">'Бланк заказа'!$U$35:$U$35</definedName>
    <definedName name="UnitOfMeasure80">'Бланк заказа'!$U$161:$U$161</definedName>
    <definedName name="UnitOfMeasure81">'Бланк заказа'!$U$162:$U$162</definedName>
    <definedName name="UnitOfMeasure82">'Бланк заказа'!$U$166:$U$166</definedName>
    <definedName name="UnitOfMeasure83">'Бланк заказа'!$U$167:$U$167</definedName>
    <definedName name="UnitOfMeasure84">'Бланк заказа'!$U$168:$U$168</definedName>
    <definedName name="UnitOfMeasure85">'Бланк заказа'!$U$169:$U$169</definedName>
    <definedName name="UnitOfMeasure86">'Бланк заказа'!$U$170:$U$170</definedName>
    <definedName name="UnitOfMeasure87">'Бланк заказа'!$U$171:$U$171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заказа'!$U$186:$U$186</definedName>
    <definedName name="UnloadAddress">'Бланк заказа'!$D$8</definedName>
    <definedName name="UnloadAdressList0001">Setting!$B$10:$B$10</definedName>
    <definedName name="UnloadAdressList0002">Setting!$B$12:$B$12</definedName>
    <definedName name="UnloadAdressList0003">Setting!$B$14:$B$14</definedName>
    <definedName name="_xlnm._FilterDatabase" localSheetId="0" hidden="1">'Бланк заказа'!$B$18:$X$18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9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21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535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0" fontId="53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8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471"/>
  <sheetViews>
    <sheetView showGridLines="0" tabSelected="1" topLeftCell="F2" zoomScaleNormal="100" zoomScaleSheetLayoutView="100" workbookViewId="0">
      <selection activeCell="V26" sqref="V26"/>
    </sheetView>
  </sheetViews>
  <sheetFormatPr baseColWidth="8" defaultColWidth="9.140625" defaultRowHeight="12.75"/>
  <cols>
    <col width="9.140625" customWidth="1" style="313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hidden="1" width="13.85546875" customWidth="1" style="5" min="11" max="11"/>
    <col width="9.42578125" customWidth="1" style="5" min="12" max="12"/>
    <col width="10.42578125" customWidth="1" style="4" min="13" max="13"/>
    <col width="7.42578125" customWidth="1" style="2" min="14" max="14"/>
    <col width="15.5703125" customWidth="1" style="2" min="15" max="15"/>
    <col width="8.140625" customWidth="1" style="313" min="16" max="16"/>
    <col width="6.140625" customWidth="1" style="313" min="17" max="17"/>
    <col width="10.85546875" customWidth="1" style="3" min="18" max="18"/>
    <col width="10.42578125" customWidth="1" style="3" min="19" max="19"/>
    <col width="9.42578125" customWidth="1" style="3" min="20" max="20"/>
    <col width="8.42578125" customWidth="1" style="3" min="21" max="21"/>
    <col width="10" customWidth="1" style="313" min="22" max="22"/>
    <col width="11" customWidth="1" style="313" min="23" max="23"/>
    <col width="10" customWidth="1" style="313" min="24" max="24"/>
    <col width="11.5703125" customWidth="1" style="313" min="25" max="25"/>
    <col width="10.42578125" customWidth="1" style="313" min="26" max="26"/>
    <col width="11.42578125" bestFit="1" customWidth="1" style="61" min="27" max="27"/>
    <col width="9.140625" customWidth="1" style="61" min="28" max="28"/>
    <col width="8.85546875" customWidth="1" style="61" min="29" max="29"/>
    <col width="13.5703125" customWidth="1" style="313" min="30" max="30"/>
    <col width="9.140625" customWidth="1" style="313" min="31" max="16384"/>
  </cols>
  <sheetData>
    <row r="1" ht="45" customFormat="1" customHeight="1" s="599">
      <c r="A1" s="48" t="n"/>
      <c r="B1" s="48" t="n"/>
      <c r="C1" s="48" t="n"/>
      <c r="D1" s="618" t="inlineStr">
        <is>
          <t xml:space="preserve">  БЛАНК ЗАКАЗА </t>
        </is>
      </c>
      <c r="G1" s="14" t="inlineStr">
        <is>
          <t>КИ</t>
        </is>
      </c>
      <c r="H1" s="618" t="inlineStr">
        <is>
          <t>на отгрузку продукции с ООО Трейд-Сервис с</t>
        </is>
      </c>
      <c r="P1" s="619" t="inlineStr">
        <is>
          <t>27.11.2023</t>
        </is>
      </c>
      <c r="S1" s="15" t="n"/>
      <c r="T1" s="15" t="n"/>
      <c r="U1" s="15" t="n"/>
      <c r="V1" s="15" t="n"/>
      <c r="W1" s="15" t="n"/>
      <c r="X1" s="15" t="n"/>
      <c r="Y1" s="15" t="n"/>
      <c r="Z1" s="62" t="n"/>
      <c r="AA1" s="62" t="n"/>
      <c r="AB1" s="62" t="n"/>
      <c r="AC1" s="62" t="n"/>
    </row>
    <row r="2" ht="16.5" customFormat="1" customHeight="1" s="599">
      <c r="A2" s="34" t="inlineStr">
        <is>
          <t>бланк создан</t>
        </is>
      </c>
      <c r="B2" s="35" t="inlineStr">
        <is>
          <t>22.11.2023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621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13" t="n"/>
      <c r="P2" s="313" t="n"/>
      <c r="Q2" s="313" t="n"/>
      <c r="R2" s="313" t="n"/>
      <c r="S2" s="313" t="n"/>
      <c r="T2" s="313" t="n"/>
      <c r="U2" s="313" t="n"/>
      <c r="V2" s="19" t="n"/>
      <c r="W2" s="19" t="n"/>
      <c r="X2" s="19" t="n"/>
      <c r="Y2" s="19" t="n"/>
      <c r="Z2" s="60" t="n"/>
      <c r="AA2" s="60" t="n"/>
      <c r="AB2" s="60" t="n"/>
    </row>
    <row r="3" ht="11.25" customFormat="1" customHeight="1" s="599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313" t="n"/>
      <c r="O3" s="313" t="n"/>
      <c r="P3" s="313" t="n"/>
      <c r="Q3" s="313" t="n"/>
      <c r="R3" s="313" t="n"/>
      <c r="S3" s="313" t="n"/>
      <c r="T3" s="313" t="n"/>
      <c r="U3" s="313" t="n"/>
      <c r="V3" s="19" t="n"/>
      <c r="W3" s="19" t="n"/>
      <c r="X3" s="19" t="n"/>
      <c r="Y3" s="19" t="n"/>
      <c r="Z3" s="60" t="n"/>
      <c r="AA3" s="60" t="n"/>
      <c r="AB3" s="60" t="n"/>
    </row>
    <row r="4" ht="9" customFormat="1" customHeight="1" s="599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3" t="n"/>
      <c r="P4" s="23" t="n"/>
      <c r="Q4" s="23" t="n"/>
      <c r="R4" s="23" t="n"/>
      <c r="S4" s="23" t="n"/>
      <c r="T4" s="24" t="n"/>
      <c r="U4" s="25" t="n"/>
      <c r="V4" s="25" t="n"/>
      <c r="W4" s="25" t="n"/>
      <c r="X4" s="25" t="n"/>
      <c r="Y4" s="25" t="n"/>
      <c r="Z4" s="60" t="n"/>
      <c r="AA4" s="60" t="n"/>
      <c r="AB4" s="60" t="n"/>
    </row>
    <row r="5" ht="23.45" customFormat="1" customHeight="1" s="599">
      <c r="A5" s="600" t="inlineStr">
        <is>
          <t xml:space="preserve">Ваш контактный телефон и имя: </t>
        </is>
      </c>
      <c r="B5" s="628" t="n"/>
      <c r="C5" s="629" t="n"/>
      <c r="D5" s="622" t="n"/>
      <c r="E5" s="630" t="n"/>
      <c r="F5" s="623" t="inlineStr">
        <is>
          <t>Комментарий к заказу:</t>
        </is>
      </c>
      <c r="G5" s="629" t="n"/>
      <c r="H5" s="622" t="n"/>
      <c r="I5" s="631" t="n"/>
      <c r="J5" s="631" t="n"/>
      <c r="K5" s="631" t="n"/>
      <c r="L5" s="630" t="n"/>
      <c r="N5" s="29" t="inlineStr">
        <is>
          <t>Дата загрузки</t>
        </is>
      </c>
      <c r="O5" s="632" t="n">
        <v>45255</v>
      </c>
      <c r="P5" s="633" t="n"/>
      <c r="R5" s="625" t="inlineStr">
        <is>
          <t>Способ доставки (доставка/самовывоз)</t>
        </is>
      </c>
      <c r="S5" s="634" t="n"/>
      <c r="T5" s="635" t="inlineStr">
        <is>
          <t>Самовывоз</t>
        </is>
      </c>
      <c r="U5" s="633" t="n"/>
      <c r="Z5" s="60" t="n"/>
      <c r="AA5" s="60" t="n"/>
      <c r="AB5" s="60" t="n"/>
    </row>
    <row r="6" ht="24" customFormat="1" customHeight="1" s="599">
      <c r="A6" s="600" t="inlineStr">
        <is>
          <t>Адрес доставки:</t>
        </is>
      </c>
      <c r="B6" s="628" t="n"/>
      <c r="C6" s="629" t="n"/>
      <c r="D6" s="601" t="inlineStr">
        <is>
          <t>НВ, ООО 9001015535, Запорожская обл, Мелитополь г, 8 Марта ул, д. 43/1,</t>
        </is>
      </c>
      <c r="E6" s="636" t="n"/>
      <c r="F6" s="636" t="n"/>
      <c r="G6" s="636" t="n"/>
      <c r="H6" s="636" t="n"/>
      <c r="I6" s="636" t="n"/>
      <c r="J6" s="636" t="n"/>
      <c r="K6" s="636" t="n"/>
      <c r="L6" s="633" t="n"/>
      <c r="N6" s="29" t="inlineStr">
        <is>
          <t>День недели</t>
        </is>
      </c>
      <c r="O6" s="602">
        <f>IF(O5=0," ",CHOOSE(WEEKDAY(O5,2),"Понедельник","Вторник","Среда","Четверг","Пятница","Суббота","Воскресенье"))</f>
        <v/>
      </c>
      <c r="P6" s="637" t="n"/>
      <c r="R6" s="604" t="inlineStr">
        <is>
          <t>Наименование клиента</t>
        </is>
      </c>
      <c r="S6" s="634" t="n"/>
      <c r="T6" s="638" t="inlineStr">
        <is>
          <t>ОБЩЕСТВО С ОГРАНИЧЕННОЙ ОТВЕТСТВЕННОСТЬЮ "НОВОЕ ВРЕМЯ"</t>
        </is>
      </c>
      <c r="U6" s="639" t="n"/>
      <c r="Z6" s="60" t="n"/>
      <c r="AA6" s="60" t="n"/>
      <c r="AB6" s="60" t="n"/>
    </row>
    <row r="7" hidden="1" ht="21.75" customFormat="1" customHeight="1" s="599">
      <c r="A7" s="65" t="n"/>
      <c r="B7" s="65" t="n"/>
      <c r="C7" s="65" t="n"/>
      <c r="D7" s="640">
        <f>IFERROR(VLOOKUP(DeliveryAddress,Table,3,0),1)</f>
        <v/>
      </c>
      <c r="E7" s="641" t="n"/>
      <c r="F7" s="641" t="n"/>
      <c r="G7" s="641" t="n"/>
      <c r="H7" s="641" t="n"/>
      <c r="I7" s="641" t="n"/>
      <c r="J7" s="641" t="n"/>
      <c r="K7" s="641" t="n"/>
      <c r="L7" s="642" t="n"/>
      <c r="N7" s="29" t="n"/>
      <c r="O7" s="49" t="n"/>
      <c r="P7" s="49" t="n"/>
      <c r="R7" s="313" t="n"/>
      <c r="S7" s="634" t="n"/>
      <c r="T7" s="643" t="n"/>
      <c r="U7" s="644" t="n"/>
      <c r="Z7" s="60" t="n"/>
      <c r="AA7" s="60" t="n"/>
      <c r="AB7" s="60" t="n"/>
    </row>
    <row r="8" ht="25.5" customFormat="1" customHeight="1" s="599">
      <c r="A8" s="614" t="inlineStr">
        <is>
          <t>Адрес сдачи груза:</t>
        </is>
      </c>
      <c r="B8" s="645" t="n"/>
      <c r="C8" s="646" t="n"/>
      <c r="D8" s="615" t="n"/>
      <c r="E8" s="647" t="n"/>
      <c r="F8" s="647" t="n"/>
      <c r="G8" s="647" t="n"/>
      <c r="H8" s="647" t="n"/>
      <c r="I8" s="647" t="n"/>
      <c r="J8" s="647" t="n"/>
      <c r="K8" s="647" t="n"/>
      <c r="L8" s="648" t="n"/>
      <c r="N8" s="29" t="inlineStr">
        <is>
          <t>Время загрузки</t>
        </is>
      </c>
      <c r="O8" s="595" t="n">
        <v>0.3333333333333333</v>
      </c>
      <c r="P8" s="633" t="n"/>
      <c r="R8" s="313" t="n"/>
      <c r="S8" s="634" t="n"/>
      <c r="T8" s="643" t="n"/>
      <c r="U8" s="644" t="n"/>
      <c r="Z8" s="60" t="n"/>
      <c r="AA8" s="60" t="n"/>
      <c r="AB8" s="60" t="n"/>
    </row>
    <row r="9" ht="39.95" customFormat="1" customHeight="1" s="599">
      <c r="A9" s="591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3" t="n"/>
      <c r="C9" s="313" t="n"/>
      <c r="D9" s="592" t="inlineStr"/>
      <c r="E9" s="3" t="n"/>
      <c r="F9" s="591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3" t="n"/>
      <c r="H9" s="616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616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N9" s="31" t="inlineStr">
        <is>
          <t>Дата доставки</t>
        </is>
      </c>
      <c r="O9" s="632" t="n"/>
      <c r="P9" s="633" t="n"/>
      <c r="R9" s="313" t="n"/>
      <c r="S9" s="634" t="n"/>
      <c r="T9" s="649" t="n"/>
      <c r="U9" s="650" t="n"/>
      <c r="V9" s="50" t="n"/>
      <c r="W9" s="50" t="n"/>
      <c r="X9" s="50" t="n"/>
      <c r="Y9" s="50" t="n"/>
      <c r="Z9" s="60" t="n"/>
      <c r="AA9" s="60" t="n"/>
      <c r="AB9" s="60" t="n"/>
    </row>
    <row r="10" ht="26.45" customFormat="1" customHeight="1" s="599">
      <c r="A10" s="591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3" t="n"/>
      <c r="C10" s="313" t="n"/>
      <c r="D10" s="592" t="n"/>
      <c r="E10" s="3" t="n"/>
      <c r="F10" s="591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3" t="n"/>
      <c r="H10" s="594">
        <f>IFERROR(VLOOKUP($D$10,Proxy,2,FALSE),"")</f>
        <v/>
      </c>
      <c r="I10" s="313" t="n"/>
      <c r="J10" s="313" t="n"/>
      <c r="K10" s="313" t="n"/>
      <c r="L10" s="313" t="n"/>
      <c r="N10" s="31" t="inlineStr">
        <is>
          <t>Время доставки</t>
        </is>
      </c>
      <c r="O10" s="595" t="n"/>
      <c r="P10" s="633" t="n"/>
      <c r="S10" s="29" t="inlineStr">
        <is>
          <t>КОД Аксапты Клиента</t>
        </is>
      </c>
      <c r="T10" s="651" t="inlineStr">
        <is>
          <t>596383</t>
        </is>
      </c>
      <c r="U10" s="639" t="n"/>
      <c r="V10" s="51" t="n"/>
      <c r="W10" s="51" t="n"/>
      <c r="X10" s="51" t="n"/>
      <c r="Y10" s="51" t="n"/>
      <c r="Z10" s="60" t="n"/>
      <c r="AA10" s="60" t="n"/>
      <c r="AB10" s="60" t="n"/>
    </row>
    <row r="11" ht="15.95" customFormat="1" customHeight="1" s="599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N11" s="31" t="inlineStr">
        <is>
          <t>Время доставки 2 машины</t>
        </is>
      </c>
      <c r="O11" s="595" t="n"/>
      <c r="P11" s="633" t="n"/>
      <c r="S11" s="29" t="inlineStr">
        <is>
          <t>Тип заказа</t>
        </is>
      </c>
      <c r="T11" s="583" t="inlineStr">
        <is>
          <t>Основной заказ</t>
        </is>
      </c>
      <c r="U11" s="652" t="n"/>
      <c r="V11" s="52" t="n"/>
      <c r="W11" s="52" t="n"/>
      <c r="X11" s="52" t="n"/>
      <c r="Y11" s="52" t="n"/>
      <c r="Z11" s="60" t="n"/>
      <c r="AA11" s="60" t="n"/>
      <c r="AB11" s="60" t="n"/>
    </row>
    <row r="12" ht="18.6" customFormat="1" customHeight="1" s="599">
      <c r="A12" s="582" t="inlineStr">
        <is>
          <t>Телефоны для заказов: 8(919)002-63-01  E-mail: kolbasa@abiproduct.ru  Телефон сотрудников склада: 8 (910) 775-52-91</t>
        </is>
      </c>
      <c r="B12" s="628" t="n"/>
      <c r="C12" s="628" t="n"/>
      <c r="D12" s="628" t="n"/>
      <c r="E12" s="628" t="n"/>
      <c r="F12" s="628" t="n"/>
      <c r="G12" s="628" t="n"/>
      <c r="H12" s="628" t="n"/>
      <c r="I12" s="628" t="n"/>
      <c r="J12" s="628" t="n"/>
      <c r="K12" s="628" t="n"/>
      <c r="L12" s="629" t="n"/>
      <c r="N12" s="29" t="inlineStr">
        <is>
          <t>Время доставки 3 машины</t>
        </is>
      </c>
      <c r="O12" s="598" t="n"/>
      <c r="P12" s="642" t="n"/>
      <c r="Q12" s="28" t="n"/>
      <c r="S12" s="29" t="inlineStr"/>
      <c r="T12" s="599" t="n"/>
      <c r="U12" s="313" t="n"/>
      <c r="Z12" s="60" t="n"/>
      <c r="AA12" s="60" t="n"/>
      <c r="AB12" s="60" t="n"/>
    </row>
    <row r="13" ht="23.25" customFormat="1" customHeight="1" s="599">
      <c r="A13" s="582" t="inlineStr">
        <is>
          <t>График приема заказов: Заказы принимаются за ДВА дня до отгрузки Пн-Пт: с 9:00 до 14:00, Суб., Вс. - до 12:00</t>
        </is>
      </c>
      <c r="B13" s="628" t="n"/>
      <c r="C13" s="628" t="n"/>
      <c r="D13" s="628" t="n"/>
      <c r="E13" s="628" t="n"/>
      <c r="F13" s="628" t="n"/>
      <c r="G13" s="628" t="n"/>
      <c r="H13" s="628" t="n"/>
      <c r="I13" s="628" t="n"/>
      <c r="J13" s="628" t="n"/>
      <c r="K13" s="628" t="n"/>
      <c r="L13" s="629" t="n"/>
      <c r="M13" s="31" t="n"/>
      <c r="N13" s="31" t="inlineStr">
        <is>
          <t>Время доставки 4 машины</t>
        </is>
      </c>
      <c r="O13" s="583" t="n"/>
      <c r="P13" s="652" t="n"/>
      <c r="Q13" s="28" t="n"/>
      <c r="V13" s="57" t="n"/>
      <c r="W13" s="57" t="n"/>
      <c r="X13" s="57" t="n"/>
      <c r="Y13" s="57" t="n"/>
      <c r="Z13" s="60" t="n"/>
      <c r="AA13" s="60" t="n"/>
      <c r="AB13" s="60" t="n"/>
    </row>
    <row r="14" ht="18.6" customFormat="1" customHeight="1" s="599">
      <c r="A14" s="582" t="inlineStr">
        <is>
          <t>Телефон менеджера по логистике: 8 (919) 012-30-55 - по вопросам доставки продукции</t>
        </is>
      </c>
      <c r="B14" s="628" t="n"/>
      <c r="C14" s="628" t="n"/>
      <c r="D14" s="628" t="n"/>
      <c r="E14" s="628" t="n"/>
      <c r="F14" s="628" t="n"/>
      <c r="G14" s="628" t="n"/>
      <c r="H14" s="628" t="n"/>
      <c r="I14" s="628" t="n"/>
      <c r="J14" s="628" t="n"/>
      <c r="K14" s="628" t="n"/>
      <c r="L14" s="629" t="n"/>
      <c r="V14" s="58" t="n"/>
      <c r="W14" s="58" t="n"/>
      <c r="X14" s="58" t="n"/>
      <c r="Y14" s="58" t="n"/>
      <c r="Z14" s="60" t="n"/>
      <c r="AA14" s="60" t="n"/>
      <c r="AB14" s="60" t="n"/>
    </row>
    <row r="15" ht="22.5" customFormat="1" customHeight="1" s="599">
      <c r="A15" s="584" t="inlineStr">
        <is>
          <t>Телефон по работе с претензиями/жалобами (WhatSapp): 8 (980) 757-69-93       E-mail: Claims@abiproduct.ru</t>
        </is>
      </c>
      <c r="B15" s="628" t="n"/>
      <c r="C15" s="628" t="n"/>
      <c r="D15" s="628" t="n"/>
      <c r="E15" s="628" t="n"/>
      <c r="F15" s="628" t="n"/>
      <c r="G15" s="628" t="n"/>
      <c r="H15" s="628" t="n"/>
      <c r="I15" s="628" t="n"/>
      <c r="J15" s="628" t="n"/>
      <c r="K15" s="628" t="n"/>
      <c r="L15" s="629" t="n"/>
      <c r="N15" s="586" t="inlineStr">
        <is>
          <t>Кликните на продукт, чтобы просмотреть изображение</t>
        </is>
      </c>
      <c r="V15" s="599" t="n"/>
      <c r="W15" s="599" t="n"/>
      <c r="X15" s="599" t="n"/>
      <c r="Y15" s="599" t="n"/>
      <c r="Z15" s="60" t="n"/>
      <c r="AA15" s="60" t="n"/>
      <c r="AB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653" t="n"/>
      <c r="O16" s="653" t="n"/>
      <c r="P16" s="653" t="n"/>
      <c r="Q16" s="653" t="n"/>
      <c r="R16" s="653" t="n"/>
      <c r="S16" s="8" t="n"/>
      <c r="T16" s="8" t="n"/>
      <c r="U16" s="10" t="n"/>
      <c r="V16" s="11" t="n"/>
      <c r="W16" s="11" t="n"/>
      <c r="X16" s="11" t="n"/>
      <c r="Y16" s="11" t="n"/>
      <c r="Z16" s="11" t="n"/>
    </row>
    <row r="17" ht="27.75" customHeight="1">
      <c r="A17" s="570" t="inlineStr">
        <is>
          <t>Код единицы продаж</t>
        </is>
      </c>
      <c r="B17" s="570" t="inlineStr">
        <is>
          <t>Код продукта</t>
        </is>
      </c>
      <c r="C17" s="588" t="inlineStr">
        <is>
          <t>Номер варианта</t>
        </is>
      </c>
      <c r="D17" s="570" t="inlineStr">
        <is>
          <t xml:space="preserve">Штрих-код </t>
        </is>
      </c>
      <c r="E17" s="654" t="n"/>
      <c r="F17" s="570" t="inlineStr">
        <is>
          <t>Вес нетто штуки, кг</t>
        </is>
      </c>
      <c r="G17" s="570" t="inlineStr">
        <is>
          <t>Кол-во штук в коробе, шт</t>
        </is>
      </c>
      <c r="H17" s="570" t="inlineStr">
        <is>
          <t>Вес нетто короба, кг</t>
        </is>
      </c>
      <c r="I17" s="570" t="inlineStr">
        <is>
          <t>Вес брутто короба, кг</t>
        </is>
      </c>
      <c r="J17" s="570" t="inlineStr">
        <is>
          <t>Кол-во кор. на паллте, шт</t>
        </is>
      </c>
      <c r="K17" s="570" t="inlineStr">
        <is>
          <t>Коробок в слое</t>
        </is>
      </c>
      <c r="L17" s="570" t="inlineStr">
        <is>
          <t>Завод</t>
        </is>
      </c>
      <c r="M17" s="570" t="inlineStr">
        <is>
          <t>Срок годности, сут.</t>
        </is>
      </c>
      <c r="N17" s="570" t="inlineStr">
        <is>
          <t>Наименование</t>
        </is>
      </c>
      <c r="O17" s="655" t="n"/>
      <c r="P17" s="655" t="n"/>
      <c r="Q17" s="655" t="n"/>
      <c r="R17" s="654" t="n"/>
      <c r="S17" s="587" t="inlineStr">
        <is>
          <t>Доступно к отгрузке</t>
        </is>
      </c>
      <c r="T17" s="629" t="n"/>
      <c r="U17" s="570" t="inlineStr">
        <is>
          <t>Ед. изм.</t>
        </is>
      </c>
      <c r="V17" s="570" t="inlineStr">
        <is>
          <t>Заказ</t>
        </is>
      </c>
      <c r="W17" s="571" t="inlineStr">
        <is>
          <t>Заказ с округлением до короба</t>
        </is>
      </c>
      <c r="X17" s="570" t="inlineStr">
        <is>
          <t>Объём заказа, м3</t>
        </is>
      </c>
      <c r="Y17" s="573" t="inlineStr">
        <is>
          <t>Примечание по продуктку</t>
        </is>
      </c>
      <c r="Z17" s="573" t="inlineStr">
        <is>
          <t>Признак "НОВИНКА"</t>
        </is>
      </c>
      <c r="AA17" s="573" t="inlineStr">
        <is>
          <t>Для формул</t>
        </is>
      </c>
      <c r="AB17" s="656" t="n"/>
      <c r="AC17" s="657" t="n"/>
      <c r="AD17" s="580" t="n"/>
      <c r="BA17" s="581" t="inlineStr">
        <is>
          <t>Вид продукции</t>
        </is>
      </c>
    </row>
    <row r="18" ht="14.25" customHeight="1">
      <c r="A18" s="658" t="n"/>
      <c r="B18" s="658" t="n"/>
      <c r="C18" s="658" t="n"/>
      <c r="D18" s="659" t="n"/>
      <c r="E18" s="660" t="n"/>
      <c r="F18" s="658" t="n"/>
      <c r="G18" s="658" t="n"/>
      <c r="H18" s="658" t="n"/>
      <c r="I18" s="658" t="n"/>
      <c r="J18" s="658" t="n"/>
      <c r="K18" s="658" t="n"/>
      <c r="L18" s="658" t="n"/>
      <c r="M18" s="658" t="n"/>
      <c r="N18" s="659" t="n"/>
      <c r="O18" s="661" t="n"/>
      <c r="P18" s="661" t="n"/>
      <c r="Q18" s="661" t="n"/>
      <c r="R18" s="660" t="n"/>
      <c r="S18" s="587" t="inlineStr">
        <is>
          <t>начиная с</t>
        </is>
      </c>
      <c r="T18" s="587" t="inlineStr">
        <is>
          <t>до</t>
        </is>
      </c>
      <c r="U18" s="658" t="n"/>
      <c r="V18" s="658" t="n"/>
      <c r="W18" s="662" t="n"/>
      <c r="X18" s="658" t="n"/>
      <c r="Y18" s="663" t="n"/>
      <c r="Z18" s="663" t="n"/>
      <c r="AA18" s="664" t="n"/>
      <c r="AB18" s="665" t="n"/>
      <c r="AC18" s="666" t="n"/>
      <c r="AD18" s="667" t="n"/>
      <c r="BA18" s="313" t="n"/>
    </row>
    <row r="19" ht="27.75" customHeight="1">
      <c r="A19" s="341" t="inlineStr">
        <is>
          <t>Ядрена копоть</t>
        </is>
      </c>
      <c r="B19" s="668" t="n"/>
      <c r="C19" s="668" t="n"/>
      <c r="D19" s="668" t="n"/>
      <c r="E19" s="668" t="n"/>
      <c r="F19" s="668" t="n"/>
      <c r="G19" s="668" t="n"/>
      <c r="H19" s="668" t="n"/>
      <c r="I19" s="668" t="n"/>
      <c r="J19" s="668" t="n"/>
      <c r="K19" s="668" t="n"/>
      <c r="L19" s="668" t="n"/>
      <c r="M19" s="668" t="n"/>
      <c r="N19" s="668" t="n"/>
      <c r="O19" s="668" t="n"/>
      <c r="P19" s="668" t="n"/>
      <c r="Q19" s="668" t="n"/>
      <c r="R19" s="668" t="n"/>
      <c r="S19" s="668" t="n"/>
      <c r="T19" s="668" t="n"/>
      <c r="U19" s="668" t="n"/>
      <c r="V19" s="668" t="n"/>
      <c r="W19" s="668" t="n"/>
      <c r="X19" s="668" t="n"/>
      <c r="Y19" s="55" t="n"/>
      <c r="Z19" s="55" t="n"/>
    </row>
    <row r="20" ht="16.5" customHeight="1">
      <c r="A20" s="329" t="inlineStr">
        <is>
          <t>Ядрена копоть</t>
        </is>
      </c>
      <c r="B20" s="313" t="n"/>
      <c r="C20" s="313" t="n"/>
      <c r="D20" s="313" t="n"/>
      <c r="E20" s="313" t="n"/>
      <c r="F20" s="313" t="n"/>
      <c r="G20" s="313" t="n"/>
      <c r="H20" s="313" t="n"/>
      <c r="I20" s="313" t="n"/>
      <c r="J20" s="313" t="n"/>
      <c r="K20" s="313" t="n"/>
      <c r="L20" s="313" t="n"/>
      <c r="M20" s="313" t="n"/>
      <c r="N20" s="313" t="n"/>
      <c r="O20" s="313" t="n"/>
      <c r="P20" s="313" t="n"/>
      <c r="Q20" s="313" t="n"/>
      <c r="R20" s="313" t="n"/>
      <c r="S20" s="313" t="n"/>
      <c r="T20" s="313" t="n"/>
      <c r="U20" s="313" t="n"/>
      <c r="V20" s="313" t="n"/>
      <c r="W20" s="313" t="n"/>
      <c r="X20" s="313" t="n"/>
      <c r="Y20" s="329" t="n"/>
      <c r="Z20" s="329" t="n"/>
    </row>
    <row r="21" ht="14.25" customHeight="1">
      <c r="A21" s="330" t="inlineStr">
        <is>
          <t>Копченые колбасы</t>
        </is>
      </c>
      <c r="B21" s="313" t="n"/>
      <c r="C21" s="313" t="n"/>
      <c r="D21" s="313" t="n"/>
      <c r="E21" s="313" t="n"/>
      <c r="F21" s="313" t="n"/>
      <c r="G21" s="313" t="n"/>
      <c r="H21" s="313" t="n"/>
      <c r="I21" s="313" t="n"/>
      <c r="J21" s="313" t="n"/>
      <c r="K21" s="313" t="n"/>
      <c r="L21" s="313" t="n"/>
      <c r="M21" s="313" t="n"/>
      <c r="N21" s="313" t="n"/>
      <c r="O21" s="313" t="n"/>
      <c r="P21" s="313" t="n"/>
      <c r="Q21" s="313" t="n"/>
      <c r="R21" s="313" t="n"/>
      <c r="S21" s="313" t="n"/>
      <c r="T21" s="313" t="n"/>
      <c r="U21" s="313" t="n"/>
      <c r="V21" s="313" t="n"/>
      <c r="W21" s="313" t="n"/>
      <c r="X21" s="313" t="n"/>
      <c r="Y21" s="330" t="n"/>
      <c r="Z21" s="330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25" t="n">
        <v>4607091389258</v>
      </c>
      <c r="E22" s="637" t="n"/>
      <c r="F22" s="669" t="n">
        <v>0.3</v>
      </c>
      <c r="G22" s="38" t="n">
        <v>6</v>
      </c>
      <c r="H22" s="669" t="n">
        <v>1.8</v>
      </c>
      <c r="I22" s="669" t="n">
        <v>2</v>
      </c>
      <c r="J22" s="38" t="n">
        <v>156</v>
      </c>
      <c r="K22" s="38" t="inlineStr">
        <is>
          <t>12</t>
        </is>
      </c>
      <c r="L22" s="39" t="inlineStr">
        <is>
          <t>СК2</t>
        </is>
      </c>
      <c r="M22" s="38" t="n">
        <v>35</v>
      </c>
      <c r="N22" s="670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O22" s="671" t="n"/>
      <c r="P22" s="671" t="n"/>
      <c r="Q22" s="671" t="n"/>
      <c r="R22" s="637" t="n"/>
      <c r="S22" s="40" t="inlineStr"/>
      <c r="T22" s="40" t="inlineStr"/>
      <c r="U22" s="41" t="inlineStr">
        <is>
          <t>кг</t>
        </is>
      </c>
      <c r="V22" s="672" t="n">
        <v>0</v>
      </c>
      <c r="W22" s="673">
        <f>IFERROR(IF(V22="",0,CEILING((V22/$H22),1)*$H22),"")</f>
        <v/>
      </c>
      <c r="X22" s="42">
        <f>IFERROR(IF(W22=0,"",ROUNDUP(W22/H22,0)*0.00753),"")</f>
        <v/>
      </c>
      <c r="Y22" s="69" t="inlineStr"/>
      <c r="Z22" s="70" t="inlineStr"/>
      <c r="AD22" s="71" t="n"/>
      <c r="BA22" s="73" t="inlineStr">
        <is>
          <t>КИ</t>
        </is>
      </c>
    </row>
    <row r="23">
      <c r="A23" s="320" t="n"/>
      <c r="B23" s="313" t="n"/>
      <c r="C23" s="313" t="n"/>
      <c r="D23" s="313" t="n"/>
      <c r="E23" s="313" t="n"/>
      <c r="F23" s="313" t="n"/>
      <c r="G23" s="313" t="n"/>
      <c r="H23" s="313" t="n"/>
      <c r="I23" s="313" t="n"/>
      <c r="J23" s="313" t="n"/>
      <c r="K23" s="313" t="n"/>
      <c r="L23" s="313" t="n"/>
      <c r="M23" s="674" t="n"/>
      <c r="N23" s="675" t="inlineStr">
        <is>
          <t>Итого</t>
        </is>
      </c>
      <c r="O23" s="645" t="n"/>
      <c r="P23" s="645" t="n"/>
      <c r="Q23" s="645" t="n"/>
      <c r="R23" s="645" t="n"/>
      <c r="S23" s="645" t="n"/>
      <c r="T23" s="646" t="n"/>
      <c r="U23" s="43" t="inlineStr">
        <is>
          <t>кор</t>
        </is>
      </c>
      <c r="V23" s="676">
        <f>IFERROR(V22/H22,"0")</f>
        <v/>
      </c>
      <c r="W23" s="676">
        <f>IFERROR(W22/H22,"0")</f>
        <v/>
      </c>
      <c r="X23" s="676">
        <f>IFERROR(IF(X22="",0,X22),"0")</f>
        <v/>
      </c>
      <c r="Y23" s="677" t="n"/>
      <c r="Z23" s="677" t="n"/>
    </row>
    <row r="24">
      <c r="A24" s="313" t="n"/>
      <c r="B24" s="313" t="n"/>
      <c r="C24" s="313" t="n"/>
      <c r="D24" s="313" t="n"/>
      <c r="E24" s="313" t="n"/>
      <c r="F24" s="313" t="n"/>
      <c r="G24" s="313" t="n"/>
      <c r="H24" s="313" t="n"/>
      <c r="I24" s="313" t="n"/>
      <c r="J24" s="313" t="n"/>
      <c r="K24" s="313" t="n"/>
      <c r="L24" s="313" t="n"/>
      <c r="M24" s="674" t="n"/>
      <c r="N24" s="675" t="inlineStr">
        <is>
          <t>Итого</t>
        </is>
      </c>
      <c r="O24" s="645" t="n"/>
      <c r="P24" s="645" t="n"/>
      <c r="Q24" s="645" t="n"/>
      <c r="R24" s="645" t="n"/>
      <c r="S24" s="645" t="n"/>
      <c r="T24" s="646" t="n"/>
      <c r="U24" s="43" t="inlineStr">
        <is>
          <t>кг</t>
        </is>
      </c>
      <c r="V24" s="676">
        <f>IFERROR(SUM(V22:V22),"0")</f>
        <v/>
      </c>
      <c r="W24" s="676">
        <f>IFERROR(SUM(W22:W22),"0")</f>
        <v/>
      </c>
      <c r="X24" s="43" t="n"/>
      <c r="Y24" s="677" t="n"/>
      <c r="Z24" s="677" t="n"/>
    </row>
    <row r="25" ht="14.25" customHeight="1">
      <c r="A25" s="330" t="inlineStr">
        <is>
          <t>Сосиски</t>
        </is>
      </c>
      <c r="B25" s="313" t="n"/>
      <c r="C25" s="313" t="n"/>
      <c r="D25" s="313" t="n"/>
      <c r="E25" s="313" t="n"/>
      <c r="F25" s="313" t="n"/>
      <c r="G25" s="313" t="n"/>
      <c r="H25" s="313" t="n"/>
      <c r="I25" s="313" t="n"/>
      <c r="J25" s="313" t="n"/>
      <c r="K25" s="313" t="n"/>
      <c r="L25" s="313" t="n"/>
      <c r="M25" s="313" t="n"/>
      <c r="N25" s="313" t="n"/>
      <c r="O25" s="313" t="n"/>
      <c r="P25" s="313" t="n"/>
      <c r="Q25" s="313" t="n"/>
      <c r="R25" s="313" t="n"/>
      <c r="S25" s="313" t="n"/>
      <c r="T25" s="313" t="n"/>
      <c r="U25" s="313" t="n"/>
      <c r="V25" s="313" t="n"/>
      <c r="W25" s="313" t="n"/>
      <c r="X25" s="313" t="n"/>
      <c r="Y25" s="330" t="n"/>
      <c r="Z25" s="330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25" t="n">
        <v>4607091383881</v>
      </c>
      <c r="E26" s="637" t="n"/>
      <c r="F26" s="669" t="n">
        <v>0.33</v>
      </c>
      <c r="G26" s="38" t="n">
        <v>6</v>
      </c>
      <c r="H26" s="669" t="n">
        <v>1.98</v>
      </c>
      <c r="I26" s="669" t="n">
        <v>2.246</v>
      </c>
      <c r="J26" s="38" t="n">
        <v>156</v>
      </c>
      <c r="K26" s="38" t="inlineStr">
        <is>
          <t>12</t>
        </is>
      </c>
      <c r="L26" s="39" t="inlineStr">
        <is>
          <t>СК2</t>
        </is>
      </c>
      <c r="M26" s="38" t="n">
        <v>35</v>
      </c>
      <c r="N26" s="678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O26" s="671" t="n"/>
      <c r="P26" s="671" t="n"/>
      <c r="Q26" s="671" t="n"/>
      <c r="R26" s="637" t="n"/>
      <c r="S26" s="40" t="inlineStr"/>
      <c r="T26" s="40" t="inlineStr"/>
      <c r="U26" s="41" t="inlineStr">
        <is>
          <t>кг</t>
        </is>
      </c>
      <c r="V26" s="672" t="n">
        <v>0</v>
      </c>
      <c r="W26" s="673">
        <f>IFERROR(IF(V26="",0,CEILING((V26/$H26),1)*$H26),"")</f>
        <v/>
      </c>
      <c r="X26" s="42">
        <f>IFERROR(IF(W26=0,"",ROUNDUP(W26/H26,0)*0.00753),"")</f>
        <v/>
      </c>
      <c r="Y26" s="69" t="inlineStr"/>
      <c r="Z26" s="70" t="inlineStr"/>
      <c r="AD26" s="71" t="n"/>
      <c r="BA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25" t="n">
        <v>4607091388237</v>
      </c>
      <c r="E27" s="637" t="n"/>
      <c r="F27" s="669" t="n">
        <v>0.42</v>
      </c>
      <c r="G27" s="38" t="n">
        <v>6</v>
      </c>
      <c r="H27" s="669" t="n">
        <v>2.52</v>
      </c>
      <c r="I27" s="669" t="n">
        <v>2.786</v>
      </c>
      <c r="J27" s="38" t="n">
        <v>156</v>
      </c>
      <c r="K27" s="38" t="inlineStr">
        <is>
          <t>12</t>
        </is>
      </c>
      <c r="L27" s="39" t="inlineStr">
        <is>
          <t>СК2</t>
        </is>
      </c>
      <c r="M27" s="38" t="n">
        <v>35</v>
      </c>
      <c r="N27" s="679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O27" s="671" t="n"/>
      <c r="P27" s="671" t="n"/>
      <c r="Q27" s="671" t="n"/>
      <c r="R27" s="637" t="n"/>
      <c r="S27" s="40" t="inlineStr"/>
      <c r="T27" s="40" t="inlineStr"/>
      <c r="U27" s="41" t="inlineStr">
        <is>
          <t>кг</t>
        </is>
      </c>
      <c r="V27" s="672" t="n">
        <v>0</v>
      </c>
      <c r="W27" s="673">
        <f>IFERROR(IF(V27="",0,CEILING((V27/$H27),1)*$H27),"")</f>
        <v/>
      </c>
      <c r="X27" s="42">
        <f>IFERROR(IF(W27=0,"",ROUNDUP(W27/H27,0)*0.00753),"")</f>
        <v/>
      </c>
      <c r="Y27" s="69" t="inlineStr"/>
      <c r="Z27" s="70" t="inlineStr"/>
      <c r="AD27" s="71" t="n"/>
      <c r="BA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25" t="n">
        <v>4607091383935</v>
      </c>
      <c r="E28" s="637" t="n"/>
      <c r="F28" s="669" t="n">
        <v>0.33</v>
      </c>
      <c r="G28" s="38" t="n">
        <v>6</v>
      </c>
      <c r="H28" s="669" t="n">
        <v>1.98</v>
      </c>
      <c r="I28" s="669" t="n">
        <v>2.246</v>
      </c>
      <c r="J28" s="38" t="n">
        <v>156</v>
      </c>
      <c r="K28" s="38" t="inlineStr">
        <is>
          <t>12</t>
        </is>
      </c>
      <c r="L28" s="39" t="inlineStr">
        <is>
          <t>СК2</t>
        </is>
      </c>
      <c r="M28" s="38" t="n">
        <v>30</v>
      </c>
      <c r="N28" s="680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O28" s="671" t="n"/>
      <c r="P28" s="671" t="n"/>
      <c r="Q28" s="671" t="n"/>
      <c r="R28" s="637" t="n"/>
      <c r="S28" s="40" t="inlineStr"/>
      <c r="T28" s="40" t="inlineStr"/>
      <c r="U28" s="41" t="inlineStr">
        <is>
          <t>кг</t>
        </is>
      </c>
      <c r="V28" s="672" t="n">
        <v>0</v>
      </c>
      <c r="W28" s="673">
        <f>IFERROR(IF(V28="",0,CEILING((V28/$H28),1)*$H28),"")</f>
        <v/>
      </c>
      <c r="X28" s="42">
        <f>IFERROR(IF(W28=0,"",ROUNDUP(W28/H28,0)*0.00753),"")</f>
        <v/>
      </c>
      <c r="Y28" s="69" t="inlineStr"/>
      <c r="Z28" s="70" t="inlineStr"/>
      <c r="AD28" s="71" t="n"/>
      <c r="BA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25" t="n">
        <v>4680115881853</v>
      </c>
      <c r="E29" s="637" t="n"/>
      <c r="F29" s="669" t="n">
        <v>0.33</v>
      </c>
      <c r="G29" s="38" t="n">
        <v>6</v>
      </c>
      <c r="H29" s="669" t="n">
        <v>1.98</v>
      </c>
      <c r="I29" s="669" t="n">
        <v>2.246</v>
      </c>
      <c r="J29" s="38" t="n">
        <v>156</v>
      </c>
      <c r="K29" s="38" t="inlineStr">
        <is>
          <t>12</t>
        </is>
      </c>
      <c r="L29" s="39" t="inlineStr">
        <is>
          <t>СК2</t>
        </is>
      </c>
      <c r="M29" s="38" t="n">
        <v>30</v>
      </c>
      <c r="N29" s="681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O29" s="671" t="n"/>
      <c r="P29" s="671" t="n"/>
      <c r="Q29" s="671" t="n"/>
      <c r="R29" s="637" t="n"/>
      <c r="S29" s="40" t="inlineStr"/>
      <c r="T29" s="40" t="inlineStr"/>
      <c r="U29" s="41" t="inlineStr">
        <is>
          <t>кг</t>
        </is>
      </c>
      <c r="V29" s="672" t="n">
        <v>0</v>
      </c>
      <c r="W29" s="673">
        <f>IFERROR(IF(V29="",0,CEILING((V29/$H29),1)*$H29),"")</f>
        <v/>
      </c>
      <c r="X29" s="42">
        <f>IFERROR(IF(W29=0,"",ROUNDUP(W29/H29,0)*0.00753),"")</f>
        <v/>
      </c>
      <c r="Y29" s="69" t="inlineStr"/>
      <c r="Z29" s="70" t="inlineStr"/>
      <c r="AD29" s="71" t="n"/>
      <c r="BA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25" t="n">
        <v>4607091383911</v>
      </c>
      <c r="E30" s="637" t="n"/>
      <c r="F30" s="669" t="n">
        <v>0.33</v>
      </c>
      <c r="G30" s="38" t="n">
        <v>6</v>
      </c>
      <c r="H30" s="669" t="n">
        <v>1.98</v>
      </c>
      <c r="I30" s="669" t="n">
        <v>2.246</v>
      </c>
      <c r="J30" s="38" t="n">
        <v>156</v>
      </c>
      <c r="K30" s="38" t="inlineStr">
        <is>
          <t>12</t>
        </is>
      </c>
      <c r="L30" s="39" t="inlineStr">
        <is>
          <t>СК2</t>
        </is>
      </c>
      <c r="M30" s="38" t="n">
        <v>35</v>
      </c>
      <c r="N30" s="682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O30" s="671" t="n"/>
      <c r="P30" s="671" t="n"/>
      <c r="Q30" s="671" t="n"/>
      <c r="R30" s="637" t="n"/>
      <c r="S30" s="40" t="inlineStr"/>
      <c r="T30" s="40" t="inlineStr"/>
      <c r="U30" s="41" t="inlineStr">
        <is>
          <t>кг</t>
        </is>
      </c>
      <c r="V30" s="672" t="n">
        <v>0</v>
      </c>
      <c r="W30" s="673">
        <f>IFERROR(IF(V30="",0,CEILING((V30/$H30),1)*$H30),"")</f>
        <v/>
      </c>
      <c r="X30" s="42">
        <f>IFERROR(IF(W30=0,"",ROUNDUP(W30/H30,0)*0.00753),"")</f>
        <v/>
      </c>
      <c r="Y30" s="69" t="inlineStr"/>
      <c r="Z30" s="70" t="inlineStr"/>
      <c r="AD30" s="71" t="n"/>
      <c r="BA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25" t="n">
        <v>4607091388244</v>
      </c>
      <c r="E31" s="637" t="n"/>
      <c r="F31" s="669" t="n">
        <v>0.42</v>
      </c>
      <c r="G31" s="38" t="n">
        <v>6</v>
      </c>
      <c r="H31" s="669" t="n">
        <v>2.52</v>
      </c>
      <c r="I31" s="669" t="n">
        <v>2.786</v>
      </c>
      <c r="J31" s="38" t="n">
        <v>156</v>
      </c>
      <c r="K31" s="38" t="inlineStr">
        <is>
          <t>12</t>
        </is>
      </c>
      <c r="L31" s="39" t="inlineStr">
        <is>
          <t>СК2</t>
        </is>
      </c>
      <c r="M31" s="38" t="n">
        <v>35</v>
      </c>
      <c r="N31" s="683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O31" s="671" t="n"/>
      <c r="P31" s="671" t="n"/>
      <c r="Q31" s="671" t="n"/>
      <c r="R31" s="637" t="n"/>
      <c r="S31" s="40" t="inlineStr"/>
      <c r="T31" s="40" t="inlineStr"/>
      <c r="U31" s="41" t="inlineStr">
        <is>
          <t>кг</t>
        </is>
      </c>
      <c r="V31" s="672" t="n">
        <v>0</v>
      </c>
      <c r="W31" s="673">
        <f>IFERROR(IF(V31="",0,CEILING((V31/$H31),1)*$H31),"")</f>
        <v/>
      </c>
      <c r="X31" s="42">
        <f>IFERROR(IF(W31=0,"",ROUNDUP(W31/H31,0)*0.00753),"")</f>
        <v/>
      </c>
      <c r="Y31" s="69" t="inlineStr"/>
      <c r="Z31" s="70" t="inlineStr"/>
      <c r="AD31" s="71" t="n"/>
      <c r="BA31" s="79" t="inlineStr">
        <is>
          <t>КИ</t>
        </is>
      </c>
    </row>
    <row r="32">
      <c r="A32" s="320" t="n"/>
      <c r="B32" s="313" t="n"/>
      <c r="C32" s="313" t="n"/>
      <c r="D32" s="313" t="n"/>
      <c r="E32" s="313" t="n"/>
      <c r="F32" s="313" t="n"/>
      <c r="G32" s="313" t="n"/>
      <c r="H32" s="313" t="n"/>
      <c r="I32" s="313" t="n"/>
      <c r="J32" s="313" t="n"/>
      <c r="K32" s="313" t="n"/>
      <c r="L32" s="313" t="n"/>
      <c r="M32" s="674" t="n"/>
      <c r="N32" s="675" t="inlineStr">
        <is>
          <t>Итого</t>
        </is>
      </c>
      <c r="O32" s="645" t="n"/>
      <c r="P32" s="645" t="n"/>
      <c r="Q32" s="645" t="n"/>
      <c r="R32" s="645" t="n"/>
      <c r="S32" s="645" t="n"/>
      <c r="T32" s="646" t="n"/>
      <c r="U32" s="43" t="inlineStr">
        <is>
          <t>кор</t>
        </is>
      </c>
      <c r="V32" s="676">
        <f>IFERROR(V26/H26,"0")+IFERROR(V27/H27,"0")+IFERROR(V28/H28,"0")+IFERROR(V29/H29,"0")+IFERROR(V30/H30,"0")+IFERROR(V31/H31,"0")</f>
        <v/>
      </c>
      <c r="W32" s="676">
        <f>IFERROR(W26/H26,"0")+IFERROR(W27/H27,"0")+IFERROR(W28/H28,"0")+IFERROR(W29/H29,"0")+IFERROR(W30/H30,"0")+IFERROR(W31/H31,"0")</f>
        <v/>
      </c>
      <c r="X32" s="676">
        <f>IFERROR(IF(X26="",0,X26),"0")+IFERROR(IF(X27="",0,X27),"0")+IFERROR(IF(X28="",0,X28),"0")+IFERROR(IF(X29="",0,X29),"0")+IFERROR(IF(X30="",0,X30),"0")+IFERROR(IF(X31="",0,X31),"0")</f>
        <v/>
      </c>
      <c r="Y32" s="677" t="n"/>
      <c r="Z32" s="677" t="n"/>
    </row>
    <row r="33">
      <c r="A33" s="313" t="n"/>
      <c r="B33" s="313" t="n"/>
      <c r="C33" s="313" t="n"/>
      <c r="D33" s="313" t="n"/>
      <c r="E33" s="313" t="n"/>
      <c r="F33" s="313" t="n"/>
      <c r="G33" s="313" t="n"/>
      <c r="H33" s="313" t="n"/>
      <c r="I33" s="313" t="n"/>
      <c r="J33" s="313" t="n"/>
      <c r="K33" s="313" t="n"/>
      <c r="L33" s="313" t="n"/>
      <c r="M33" s="674" t="n"/>
      <c r="N33" s="675" t="inlineStr">
        <is>
          <t>Итого</t>
        </is>
      </c>
      <c r="O33" s="645" t="n"/>
      <c r="P33" s="645" t="n"/>
      <c r="Q33" s="645" t="n"/>
      <c r="R33" s="645" t="n"/>
      <c r="S33" s="645" t="n"/>
      <c r="T33" s="646" t="n"/>
      <c r="U33" s="43" t="inlineStr">
        <is>
          <t>кг</t>
        </is>
      </c>
      <c r="V33" s="676">
        <f>IFERROR(SUM(V26:V31),"0")</f>
        <v/>
      </c>
      <c r="W33" s="676">
        <f>IFERROR(SUM(W26:W31),"0")</f>
        <v/>
      </c>
      <c r="X33" s="43" t="n"/>
      <c r="Y33" s="677" t="n"/>
      <c r="Z33" s="677" t="n"/>
    </row>
    <row r="34" ht="14.25" customHeight="1">
      <c r="A34" s="330" t="inlineStr">
        <is>
          <t>Сырокопченые колбасы</t>
        </is>
      </c>
      <c r="B34" s="313" t="n"/>
      <c r="C34" s="313" t="n"/>
      <c r="D34" s="313" t="n"/>
      <c r="E34" s="313" t="n"/>
      <c r="F34" s="313" t="n"/>
      <c r="G34" s="313" t="n"/>
      <c r="H34" s="313" t="n"/>
      <c r="I34" s="313" t="n"/>
      <c r="J34" s="313" t="n"/>
      <c r="K34" s="313" t="n"/>
      <c r="L34" s="313" t="n"/>
      <c r="M34" s="313" t="n"/>
      <c r="N34" s="313" t="n"/>
      <c r="O34" s="313" t="n"/>
      <c r="P34" s="313" t="n"/>
      <c r="Q34" s="313" t="n"/>
      <c r="R34" s="313" t="n"/>
      <c r="S34" s="313" t="n"/>
      <c r="T34" s="313" t="n"/>
      <c r="U34" s="313" t="n"/>
      <c r="V34" s="313" t="n"/>
      <c r="W34" s="313" t="n"/>
      <c r="X34" s="313" t="n"/>
      <c r="Y34" s="330" t="n"/>
      <c r="Z34" s="330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25" t="n">
        <v>4607091388503</v>
      </c>
      <c r="E35" s="637" t="n"/>
      <c r="F35" s="669" t="n">
        <v>0.05</v>
      </c>
      <c r="G35" s="38" t="n">
        <v>12</v>
      </c>
      <c r="H35" s="669" t="n">
        <v>0.6</v>
      </c>
      <c r="I35" s="669" t="n">
        <v>0.842</v>
      </c>
      <c r="J35" s="38" t="n">
        <v>156</v>
      </c>
      <c r="K35" s="38" t="inlineStr">
        <is>
          <t>12</t>
        </is>
      </c>
      <c r="L35" s="39" t="inlineStr">
        <is>
          <t>АК</t>
        </is>
      </c>
      <c r="M35" s="38" t="n">
        <v>120</v>
      </c>
      <c r="N35" s="684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O35" s="671" t="n"/>
      <c r="P35" s="671" t="n"/>
      <c r="Q35" s="671" t="n"/>
      <c r="R35" s="637" t="n"/>
      <c r="S35" s="40" t="inlineStr"/>
      <c r="T35" s="40" t="inlineStr"/>
      <c r="U35" s="41" t="inlineStr">
        <is>
          <t>кг</t>
        </is>
      </c>
      <c r="V35" s="672" t="n">
        <v>1</v>
      </c>
      <c r="W35" s="673">
        <f>IFERROR(IF(V35="",0,CEILING((V35/$H35),1)*$H35),"")</f>
        <v/>
      </c>
      <c r="X35" s="42">
        <f>IFERROR(IF(W35=0,"",ROUNDUP(W35/H35,0)*0.00753),"")</f>
        <v/>
      </c>
      <c r="Y35" s="69" t="inlineStr"/>
      <c r="Z35" s="70" t="inlineStr"/>
      <c r="AD35" s="71" t="n"/>
      <c r="BA35" s="80" t="inlineStr">
        <is>
          <t>СНК</t>
        </is>
      </c>
    </row>
    <row r="36">
      <c r="A36" s="320" t="n"/>
      <c r="B36" s="313" t="n"/>
      <c r="C36" s="313" t="n"/>
      <c r="D36" s="313" t="n"/>
      <c r="E36" s="313" t="n"/>
      <c r="F36" s="313" t="n"/>
      <c r="G36" s="313" t="n"/>
      <c r="H36" s="313" t="n"/>
      <c r="I36" s="313" t="n"/>
      <c r="J36" s="313" t="n"/>
      <c r="K36" s="313" t="n"/>
      <c r="L36" s="313" t="n"/>
      <c r="M36" s="674" t="n"/>
      <c r="N36" s="675" t="inlineStr">
        <is>
          <t>Итого</t>
        </is>
      </c>
      <c r="O36" s="645" t="n"/>
      <c r="P36" s="645" t="n"/>
      <c r="Q36" s="645" t="n"/>
      <c r="R36" s="645" t="n"/>
      <c r="S36" s="645" t="n"/>
      <c r="T36" s="646" t="n"/>
      <c r="U36" s="43" t="inlineStr">
        <is>
          <t>кор</t>
        </is>
      </c>
      <c r="V36" s="676">
        <f>IFERROR(V35/H35,"0")</f>
        <v/>
      </c>
      <c r="W36" s="676">
        <f>IFERROR(W35/H35,"0")</f>
        <v/>
      </c>
      <c r="X36" s="676">
        <f>IFERROR(IF(X35="",0,X35),"0")</f>
        <v/>
      </c>
      <c r="Y36" s="677" t="n"/>
      <c r="Z36" s="677" t="n"/>
    </row>
    <row r="37">
      <c r="A37" s="313" t="n"/>
      <c r="B37" s="313" t="n"/>
      <c r="C37" s="313" t="n"/>
      <c r="D37" s="313" t="n"/>
      <c r="E37" s="313" t="n"/>
      <c r="F37" s="313" t="n"/>
      <c r="G37" s="313" t="n"/>
      <c r="H37" s="313" t="n"/>
      <c r="I37" s="313" t="n"/>
      <c r="J37" s="313" t="n"/>
      <c r="K37" s="313" t="n"/>
      <c r="L37" s="313" t="n"/>
      <c r="M37" s="674" t="n"/>
      <c r="N37" s="675" t="inlineStr">
        <is>
          <t>Итого</t>
        </is>
      </c>
      <c r="O37" s="645" t="n"/>
      <c r="P37" s="645" t="n"/>
      <c r="Q37" s="645" t="n"/>
      <c r="R37" s="645" t="n"/>
      <c r="S37" s="645" t="n"/>
      <c r="T37" s="646" t="n"/>
      <c r="U37" s="43" t="inlineStr">
        <is>
          <t>кг</t>
        </is>
      </c>
      <c r="V37" s="676">
        <f>IFERROR(SUM(V35:V35),"0")</f>
        <v/>
      </c>
      <c r="W37" s="676">
        <f>IFERROR(SUM(W35:W35),"0")</f>
        <v/>
      </c>
      <c r="X37" s="43" t="n"/>
      <c r="Y37" s="677" t="n"/>
      <c r="Z37" s="677" t="n"/>
    </row>
    <row r="38" ht="14.25" customHeight="1">
      <c r="A38" s="330" t="inlineStr">
        <is>
          <t>Продукты из мяса птицы копчено-вареные</t>
        </is>
      </c>
      <c r="B38" s="313" t="n"/>
      <c r="C38" s="313" t="n"/>
      <c r="D38" s="313" t="n"/>
      <c r="E38" s="313" t="n"/>
      <c r="F38" s="313" t="n"/>
      <c r="G38" s="313" t="n"/>
      <c r="H38" s="313" t="n"/>
      <c r="I38" s="313" t="n"/>
      <c r="J38" s="313" t="n"/>
      <c r="K38" s="313" t="n"/>
      <c r="L38" s="313" t="n"/>
      <c r="M38" s="313" t="n"/>
      <c r="N38" s="313" t="n"/>
      <c r="O38" s="313" t="n"/>
      <c r="P38" s="313" t="n"/>
      <c r="Q38" s="313" t="n"/>
      <c r="R38" s="313" t="n"/>
      <c r="S38" s="313" t="n"/>
      <c r="T38" s="313" t="n"/>
      <c r="U38" s="313" t="n"/>
      <c r="V38" s="313" t="n"/>
      <c r="W38" s="313" t="n"/>
      <c r="X38" s="313" t="n"/>
      <c r="Y38" s="330" t="n"/>
      <c r="Z38" s="330" t="n"/>
    </row>
    <row r="39" ht="80.25" customHeight="1">
      <c r="A39" s="64" t="inlineStr">
        <is>
          <t>SU001872</t>
        </is>
      </c>
      <c r="B39" s="64" t="inlineStr">
        <is>
          <t>P001933</t>
        </is>
      </c>
      <c r="C39" s="37" t="n">
        <v>4301160001</v>
      </c>
      <c r="D39" s="325" t="n">
        <v>4607091388282</v>
      </c>
      <c r="E39" s="637" t="n"/>
      <c r="F39" s="669" t="n">
        <v>0.3</v>
      </c>
      <c r="G39" s="38" t="n">
        <v>6</v>
      </c>
      <c r="H39" s="669" t="n">
        <v>1.8</v>
      </c>
      <c r="I39" s="669" t="n">
        <v>2.084</v>
      </c>
      <c r="J39" s="38" t="n">
        <v>156</v>
      </c>
      <c r="K39" s="38" t="inlineStr">
        <is>
          <t>12</t>
        </is>
      </c>
      <c r="L39" s="39" t="inlineStr">
        <is>
          <t>АК</t>
        </is>
      </c>
      <c r="M39" s="38" t="n">
        <v>30</v>
      </c>
      <c r="N39" s="685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O39" s="671" t="n"/>
      <c r="P39" s="671" t="n"/>
      <c r="Q39" s="671" t="n"/>
      <c r="R39" s="637" t="n"/>
      <c r="S39" s="40" t="inlineStr"/>
      <c r="T39" s="40" t="inlineStr"/>
      <c r="U39" s="41" t="inlineStr">
        <is>
          <t>кг</t>
        </is>
      </c>
      <c r="V39" s="672" t="n">
        <v>0</v>
      </c>
      <c r="W39" s="673">
        <f>IFERROR(IF(V39="",0,CEILING((V39/$H39),1)*$H39),"")</f>
        <v/>
      </c>
      <c r="X39" s="42">
        <f>IFERROR(IF(W39=0,"",ROUNDUP(W39/H39,0)*0.00753),"")</f>
        <v/>
      </c>
      <c r="Y39" s="69" t="inlineStr">
        <is>
          <t>Предзаказ по четвергам до 12:00 на отгрузку со вторника следующей недели</t>
        </is>
      </c>
      <c r="Z39" s="70" t="inlineStr"/>
      <c r="AD39" s="71" t="n"/>
      <c r="BA39" s="81" t="inlineStr">
        <is>
          <t>КИ</t>
        </is>
      </c>
    </row>
    <row r="40">
      <c r="A40" s="320" t="n"/>
      <c r="B40" s="313" t="n"/>
      <c r="C40" s="313" t="n"/>
      <c r="D40" s="313" t="n"/>
      <c r="E40" s="313" t="n"/>
      <c r="F40" s="313" t="n"/>
      <c r="G40" s="313" t="n"/>
      <c r="H40" s="313" t="n"/>
      <c r="I40" s="313" t="n"/>
      <c r="J40" s="313" t="n"/>
      <c r="K40" s="313" t="n"/>
      <c r="L40" s="313" t="n"/>
      <c r="M40" s="674" t="n"/>
      <c r="N40" s="675" t="inlineStr">
        <is>
          <t>Итого</t>
        </is>
      </c>
      <c r="O40" s="645" t="n"/>
      <c r="P40" s="645" t="n"/>
      <c r="Q40" s="645" t="n"/>
      <c r="R40" s="645" t="n"/>
      <c r="S40" s="645" t="n"/>
      <c r="T40" s="646" t="n"/>
      <c r="U40" s="43" t="inlineStr">
        <is>
          <t>кор</t>
        </is>
      </c>
      <c r="V40" s="676">
        <f>IFERROR(V39/H39,"0")</f>
        <v/>
      </c>
      <c r="W40" s="676">
        <f>IFERROR(W39/H39,"0")</f>
        <v/>
      </c>
      <c r="X40" s="676">
        <f>IFERROR(IF(X39="",0,X39),"0")</f>
        <v/>
      </c>
      <c r="Y40" s="677" t="n"/>
      <c r="Z40" s="677" t="n"/>
    </row>
    <row r="41">
      <c r="A41" s="313" t="n"/>
      <c r="B41" s="313" t="n"/>
      <c r="C41" s="313" t="n"/>
      <c r="D41" s="313" t="n"/>
      <c r="E41" s="313" t="n"/>
      <c r="F41" s="313" t="n"/>
      <c r="G41" s="313" t="n"/>
      <c r="H41" s="313" t="n"/>
      <c r="I41" s="313" t="n"/>
      <c r="J41" s="313" t="n"/>
      <c r="K41" s="313" t="n"/>
      <c r="L41" s="313" t="n"/>
      <c r="M41" s="674" t="n"/>
      <c r="N41" s="675" t="inlineStr">
        <is>
          <t>Итого</t>
        </is>
      </c>
      <c r="O41" s="645" t="n"/>
      <c r="P41" s="645" t="n"/>
      <c r="Q41" s="645" t="n"/>
      <c r="R41" s="645" t="n"/>
      <c r="S41" s="645" t="n"/>
      <c r="T41" s="646" t="n"/>
      <c r="U41" s="43" t="inlineStr">
        <is>
          <t>кг</t>
        </is>
      </c>
      <c r="V41" s="676">
        <f>IFERROR(SUM(V39:V39),"0")</f>
        <v/>
      </c>
      <c r="W41" s="676">
        <f>IFERROR(SUM(W39:W39),"0")</f>
        <v/>
      </c>
      <c r="X41" s="43" t="n"/>
      <c r="Y41" s="677" t="n"/>
      <c r="Z41" s="677" t="n"/>
    </row>
    <row r="42" ht="14.25" customHeight="1">
      <c r="A42" s="330" t="inlineStr">
        <is>
          <t>Сыровяленые колбасы</t>
        </is>
      </c>
      <c r="B42" s="313" t="n"/>
      <c r="C42" s="313" t="n"/>
      <c r="D42" s="313" t="n"/>
      <c r="E42" s="313" t="n"/>
      <c r="F42" s="313" t="n"/>
      <c r="G42" s="313" t="n"/>
      <c r="H42" s="313" t="n"/>
      <c r="I42" s="313" t="n"/>
      <c r="J42" s="313" t="n"/>
      <c r="K42" s="313" t="n"/>
      <c r="L42" s="313" t="n"/>
      <c r="M42" s="313" t="n"/>
      <c r="N42" s="313" t="n"/>
      <c r="O42" s="313" t="n"/>
      <c r="P42" s="313" t="n"/>
      <c r="Q42" s="313" t="n"/>
      <c r="R42" s="313" t="n"/>
      <c r="S42" s="313" t="n"/>
      <c r="T42" s="313" t="n"/>
      <c r="U42" s="313" t="n"/>
      <c r="V42" s="313" t="n"/>
      <c r="W42" s="313" t="n"/>
      <c r="X42" s="313" t="n"/>
      <c r="Y42" s="330" t="n"/>
      <c r="Z42" s="330" t="n"/>
    </row>
    <row r="43" ht="27" customHeight="1">
      <c r="A43" s="64" t="inlineStr">
        <is>
          <t>SU002049</t>
        </is>
      </c>
      <c r="B43" s="64" t="inlineStr">
        <is>
          <t>P002191</t>
        </is>
      </c>
      <c r="C43" s="37" t="n">
        <v>4301170002</v>
      </c>
      <c r="D43" s="325" t="n">
        <v>4607091389111</v>
      </c>
      <c r="E43" s="637" t="n"/>
      <c r="F43" s="669" t="n">
        <v>0.025</v>
      </c>
      <c r="G43" s="38" t="n">
        <v>10</v>
      </c>
      <c r="H43" s="669" t="n">
        <v>0.25</v>
      </c>
      <c r="I43" s="669" t="n">
        <v>0.492</v>
      </c>
      <c r="J43" s="38" t="n">
        <v>156</v>
      </c>
      <c r="K43" s="38" t="inlineStr">
        <is>
          <t>12</t>
        </is>
      </c>
      <c r="L43" s="39" t="inlineStr">
        <is>
          <t>АК</t>
        </is>
      </c>
      <c r="M43" s="38" t="n">
        <v>120</v>
      </c>
      <c r="N43" s="686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O43" s="671" t="n"/>
      <c r="P43" s="671" t="n"/>
      <c r="Q43" s="671" t="n"/>
      <c r="R43" s="637" t="n"/>
      <c r="S43" s="40" t="inlineStr"/>
      <c r="T43" s="40" t="inlineStr"/>
      <c r="U43" s="41" t="inlineStr">
        <is>
          <t>кг</t>
        </is>
      </c>
      <c r="V43" s="672" t="n">
        <v>0</v>
      </c>
      <c r="W43" s="673">
        <f>IFERROR(IF(V43="",0,CEILING((V43/$H43),1)*$H43),"")</f>
        <v/>
      </c>
      <c r="X43" s="42">
        <f>IFERROR(IF(W43=0,"",ROUNDUP(W43/H43,0)*0.00753),"")</f>
        <v/>
      </c>
      <c r="Y43" s="69" t="inlineStr"/>
      <c r="Z43" s="70" t="inlineStr"/>
      <c r="AD43" s="71" t="n"/>
      <c r="BA43" s="82" t="inlineStr">
        <is>
          <t>СНК</t>
        </is>
      </c>
    </row>
    <row r="44">
      <c r="A44" s="320" t="n"/>
      <c r="B44" s="313" t="n"/>
      <c r="C44" s="313" t="n"/>
      <c r="D44" s="313" t="n"/>
      <c r="E44" s="313" t="n"/>
      <c r="F44" s="313" t="n"/>
      <c r="G44" s="313" t="n"/>
      <c r="H44" s="313" t="n"/>
      <c r="I44" s="313" t="n"/>
      <c r="J44" s="313" t="n"/>
      <c r="K44" s="313" t="n"/>
      <c r="L44" s="313" t="n"/>
      <c r="M44" s="674" t="n"/>
      <c r="N44" s="675" t="inlineStr">
        <is>
          <t>Итого</t>
        </is>
      </c>
      <c r="O44" s="645" t="n"/>
      <c r="P44" s="645" t="n"/>
      <c r="Q44" s="645" t="n"/>
      <c r="R44" s="645" t="n"/>
      <c r="S44" s="645" t="n"/>
      <c r="T44" s="646" t="n"/>
      <c r="U44" s="43" t="inlineStr">
        <is>
          <t>кор</t>
        </is>
      </c>
      <c r="V44" s="676">
        <f>IFERROR(V43/H43,"0")</f>
        <v/>
      </c>
      <c r="W44" s="676">
        <f>IFERROR(W43/H43,"0")</f>
        <v/>
      </c>
      <c r="X44" s="676">
        <f>IFERROR(IF(X43="",0,X43),"0")</f>
        <v/>
      </c>
      <c r="Y44" s="677" t="n"/>
      <c r="Z44" s="677" t="n"/>
    </row>
    <row r="45">
      <c r="A45" s="313" t="n"/>
      <c r="B45" s="313" t="n"/>
      <c r="C45" s="313" t="n"/>
      <c r="D45" s="313" t="n"/>
      <c r="E45" s="313" t="n"/>
      <c r="F45" s="313" t="n"/>
      <c r="G45" s="313" t="n"/>
      <c r="H45" s="313" t="n"/>
      <c r="I45" s="313" t="n"/>
      <c r="J45" s="313" t="n"/>
      <c r="K45" s="313" t="n"/>
      <c r="L45" s="313" t="n"/>
      <c r="M45" s="674" t="n"/>
      <c r="N45" s="675" t="inlineStr">
        <is>
          <t>Итого</t>
        </is>
      </c>
      <c r="O45" s="645" t="n"/>
      <c r="P45" s="645" t="n"/>
      <c r="Q45" s="645" t="n"/>
      <c r="R45" s="645" t="n"/>
      <c r="S45" s="645" t="n"/>
      <c r="T45" s="646" t="n"/>
      <c r="U45" s="43" t="inlineStr">
        <is>
          <t>кг</t>
        </is>
      </c>
      <c r="V45" s="676">
        <f>IFERROR(SUM(V43:V43),"0")</f>
        <v/>
      </c>
      <c r="W45" s="676">
        <f>IFERROR(SUM(W43:W43),"0")</f>
        <v/>
      </c>
      <c r="X45" s="43" t="n"/>
      <c r="Y45" s="677" t="n"/>
      <c r="Z45" s="677" t="n"/>
    </row>
    <row r="46" ht="27.75" customHeight="1">
      <c r="A46" s="341" t="inlineStr">
        <is>
          <t>Вязанка</t>
        </is>
      </c>
      <c r="B46" s="668" t="n"/>
      <c r="C46" s="668" t="n"/>
      <c r="D46" s="668" t="n"/>
      <c r="E46" s="668" t="n"/>
      <c r="F46" s="668" t="n"/>
      <c r="G46" s="668" t="n"/>
      <c r="H46" s="668" t="n"/>
      <c r="I46" s="668" t="n"/>
      <c r="J46" s="668" t="n"/>
      <c r="K46" s="668" t="n"/>
      <c r="L46" s="668" t="n"/>
      <c r="M46" s="668" t="n"/>
      <c r="N46" s="668" t="n"/>
      <c r="O46" s="668" t="n"/>
      <c r="P46" s="668" t="n"/>
      <c r="Q46" s="668" t="n"/>
      <c r="R46" s="668" t="n"/>
      <c r="S46" s="668" t="n"/>
      <c r="T46" s="668" t="n"/>
      <c r="U46" s="668" t="n"/>
      <c r="V46" s="668" t="n"/>
      <c r="W46" s="668" t="n"/>
      <c r="X46" s="668" t="n"/>
      <c r="Y46" s="55" t="n"/>
      <c r="Z46" s="55" t="n"/>
    </row>
    <row r="47" ht="16.5" customHeight="1">
      <c r="A47" s="329" t="inlineStr">
        <is>
          <t>Столичная</t>
        </is>
      </c>
      <c r="B47" s="313" t="n"/>
      <c r="C47" s="313" t="n"/>
      <c r="D47" s="313" t="n"/>
      <c r="E47" s="313" t="n"/>
      <c r="F47" s="313" t="n"/>
      <c r="G47" s="313" t="n"/>
      <c r="H47" s="313" t="n"/>
      <c r="I47" s="313" t="n"/>
      <c r="J47" s="313" t="n"/>
      <c r="K47" s="313" t="n"/>
      <c r="L47" s="313" t="n"/>
      <c r="M47" s="313" t="n"/>
      <c r="N47" s="313" t="n"/>
      <c r="O47" s="313" t="n"/>
      <c r="P47" s="313" t="n"/>
      <c r="Q47" s="313" t="n"/>
      <c r="R47" s="313" t="n"/>
      <c r="S47" s="313" t="n"/>
      <c r="T47" s="313" t="n"/>
      <c r="U47" s="313" t="n"/>
      <c r="V47" s="313" t="n"/>
      <c r="W47" s="313" t="n"/>
      <c r="X47" s="313" t="n"/>
      <c r="Y47" s="329" t="n"/>
      <c r="Z47" s="329" t="n"/>
    </row>
    <row r="48" ht="14.25" customHeight="1">
      <c r="A48" s="330" t="inlineStr">
        <is>
          <t>Ветчины</t>
        </is>
      </c>
      <c r="B48" s="313" t="n"/>
      <c r="C48" s="313" t="n"/>
      <c r="D48" s="313" t="n"/>
      <c r="E48" s="313" t="n"/>
      <c r="F48" s="313" t="n"/>
      <c r="G48" s="313" t="n"/>
      <c r="H48" s="313" t="n"/>
      <c r="I48" s="313" t="n"/>
      <c r="J48" s="313" t="n"/>
      <c r="K48" s="313" t="n"/>
      <c r="L48" s="313" t="n"/>
      <c r="M48" s="313" t="n"/>
      <c r="N48" s="313" t="n"/>
      <c r="O48" s="313" t="n"/>
      <c r="P48" s="313" t="n"/>
      <c r="Q48" s="313" t="n"/>
      <c r="R48" s="313" t="n"/>
      <c r="S48" s="313" t="n"/>
      <c r="T48" s="313" t="n"/>
      <c r="U48" s="313" t="n"/>
      <c r="V48" s="313" t="n"/>
      <c r="W48" s="313" t="n"/>
      <c r="X48" s="313" t="n"/>
      <c r="Y48" s="330" t="n"/>
      <c r="Z48" s="330" t="n"/>
    </row>
    <row r="49" ht="27" customHeight="1">
      <c r="A49" s="64" t="inlineStr">
        <is>
          <t>SU002828</t>
        </is>
      </c>
      <c r="B49" s="64" t="inlineStr">
        <is>
          <t>P003234</t>
        </is>
      </c>
      <c r="C49" s="37" t="n">
        <v>4301020234</v>
      </c>
      <c r="D49" s="325" t="n">
        <v>4680115881440</v>
      </c>
      <c r="E49" s="637" t="n"/>
      <c r="F49" s="669" t="n">
        <v>1.35</v>
      </c>
      <c r="G49" s="38" t="n">
        <v>8</v>
      </c>
      <c r="H49" s="669" t="n">
        <v>10.8</v>
      </c>
      <c r="I49" s="669" t="n">
        <v>11.28</v>
      </c>
      <c r="J49" s="38" t="n">
        <v>56</v>
      </c>
      <c r="K49" s="38" t="inlineStr">
        <is>
          <t>8</t>
        </is>
      </c>
      <c r="L49" s="39" t="inlineStr">
        <is>
          <t>СК1</t>
        </is>
      </c>
      <c r="M49" s="38" t="n">
        <v>50</v>
      </c>
      <c r="N49" s="687">
        <f>HYPERLINK("https://abi.ru/products/Охлажденные/Вязанка/Столичная/Ветчины/P003234/","Ветчины «Филейская» Весовые Вектор ТМ «Вязанка»")</f>
        <v/>
      </c>
      <c r="O49" s="671" t="n"/>
      <c r="P49" s="671" t="n"/>
      <c r="Q49" s="671" t="n"/>
      <c r="R49" s="637" t="n"/>
      <c r="S49" s="40" t="inlineStr"/>
      <c r="T49" s="40" t="inlineStr"/>
      <c r="U49" s="41" t="inlineStr">
        <is>
          <t>кг</t>
        </is>
      </c>
      <c r="V49" s="672" t="n">
        <v>0</v>
      </c>
      <c r="W49" s="673">
        <f>IFERROR(IF(V49="",0,CEILING((V49/$H49),1)*$H49),"")</f>
        <v/>
      </c>
      <c r="X49" s="42">
        <f>IFERROR(IF(W49=0,"",ROUNDUP(W49/H49,0)*0.02175),"")</f>
        <v/>
      </c>
      <c r="Y49" s="69" t="inlineStr"/>
      <c r="Z49" s="70" t="inlineStr"/>
      <c r="AD49" s="71" t="n"/>
      <c r="BA49" s="83" t="inlineStr">
        <is>
          <t>КИ</t>
        </is>
      </c>
    </row>
    <row r="50">
      <c r="A50" s="320" t="n"/>
      <c r="B50" s="313" t="n"/>
      <c r="C50" s="313" t="n"/>
      <c r="D50" s="313" t="n"/>
      <c r="E50" s="313" t="n"/>
      <c r="F50" s="313" t="n"/>
      <c r="G50" s="313" t="n"/>
      <c r="H50" s="313" t="n"/>
      <c r="I50" s="313" t="n"/>
      <c r="J50" s="313" t="n"/>
      <c r="K50" s="313" t="n"/>
      <c r="L50" s="313" t="n"/>
      <c r="M50" s="674" t="n"/>
      <c r="N50" s="675" t="inlineStr">
        <is>
          <t>Итого</t>
        </is>
      </c>
      <c r="O50" s="645" t="n"/>
      <c r="P50" s="645" t="n"/>
      <c r="Q50" s="645" t="n"/>
      <c r="R50" s="645" t="n"/>
      <c r="S50" s="645" t="n"/>
      <c r="T50" s="646" t="n"/>
      <c r="U50" s="43" t="inlineStr">
        <is>
          <t>кор</t>
        </is>
      </c>
      <c r="V50" s="676">
        <f>IFERROR(V49/H49,"0")</f>
        <v/>
      </c>
      <c r="W50" s="676">
        <f>IFERROR(W49/H49,"0")</f>
        <v/>
      </c>
      <c r="X50" s="676">
        <f>IFERROR(IF(X49="",0,X49),"0")</f>
        <v/>
      </c>
      <c r="Y50" s="677" t="n"/>
      <c r="Z50" s="677" t="n"/>
    </row>
    <row r="51">
      <c r="A51" s="313" t="n"/>
      <c r="B51" s="313" t="n"/>
      <c r="C51" s="313" t="n"/>
      <c r="D51" s="313" t="n"/>
      <c r="E51" s="313" t="n"/>
      <c r="F51" s="313" t="n"/>
      <c r="G51" s="313" t="n"/>
      <c r="H51" s="313" t="n"/>
      <c r="I51" s="313" t="n"/>
      <c r="J51" s="313" t="n"/>
      <c r="K51" s="313" t="n"/>
      <c r="L51" s="313" t="n"/>
      <c r="M51" s="674" t="n"/>
      <c r="N51" s="675" t="inlineStr">
        <is>
          <t>Итого</t>
        </is>
      </c>
      <c r="O51" s="645" t="n"/>
      <c r="P51" s="645" t="n"/>
      <c r="Q51" s="645" t="n"/>
      <c r="R51" s="645" t="n"/>
      <c r="S51" s="645" t="n"/>
      <c r="T51" s="646" t="n"/>
      <c r="U51" s="43" t="inlineStr">
        <is>
          <t>кг</t>
        </is>
      </c>
      <c r="V51" s="676">
        <f>IFERROR(SUM(V49:V49),"0")</f>
        <v/>
      </c>
      <c r="W51" s="676">
        <f>IFERROR(SUM(W49:W49),"0")</f>
        <v/>
      </c>
      <c r="X51" s="43" t="n"/>
      <c r="Y51" s="677" t="n"/>
      <c r="Z51" s="677" t="n"/>
    </row>
    <row r="52" ht="16.5" customHeight="1">
      <c r="A52" s="329" t="inlineStr">
        <is>
          <t>Классическая</t>
        </is>
      </c>
      <c r="B52" s="313" t="n"/>
      <c r="C52" s="313" t="n"/>
      <c r="D52" s="313" t="n"/>
      <c r="E52" s="313" t="n"/>
      <c r="F52" s="313" t="n"/>
      <c r="G52" s="313" t="n"/>
      <c r="H52" s="313" t="n"/>
      <c r="I52" s="313" t="n"/>
      <c r="J52" s="313" t="n"/>
      <c r="K52" s="313" t="n"/>
      <c r="L52" s="313" t="n"/>
      <c r="M52" s="313" t="n"/>
      <c r="N52" s="313" t="n"/>
      <c r="O52" s="313" t="n"/>
      <c r="P52" s="313" t="n"/>
      <c r="Q52" s="313" t="n"/>
      <c r="R52" s="313" t="n"/>
      <c r="S52" s="313" t="n"/>
      <c r="T52" s="313" t="n"/>
      <c r="U52" s="313" t="n"/>
      <c r="V52" s="313" t="n"/>
      <c r="W52" s="313" t="n"/>
      <c r="X52" s="313" t="n"/>
      <c r="Y52" s="329" t="n"/>
      <c r="Z52" s="329" t="n"/>
    </row>
    <row r="53" ht="14.25" customHeight="1">
      <c r="A53" s="330" t="inlineStr">
        <is>
          <t>Вареные колбасы</t>
        </is>
      </c>
      <c r="B53" s="313" t="n"/>
      <c r="C53" s="313" t="n"/>
      <c r="D53" s="313" t="n"/>
      <c r="E53" s="313" t="n"/>
      <c r="F53" s="313" t="n"/>
      <c r="G53" s="313" t="n"/>
      <c r="H53" s="313" t="n"/>
      <c r="I53" s="313" t="n"/>
      <c r="J53" s="313" t="n"/>
      <c r="K53" s="313" t="n"/>
      <c r="L53" s="313" t="n"/>
      <c r="M53" s="313" t="n"/>
      <c r="N53" s="313" t="n"/>
      <c r="O53" s="313" t="n"/>
      <c r="P53" s="313" t="n"/>
      <c r="Q53" s="313" t="n"/>
      <c r="R53" s="313" t="n"/>
      <c r="S53" s="313" t="n"/>
      <c r="T53" s="313" t="n"/>
      <c r="U53" s="313" t="n"/>
      <c r="V53" s="313" t="n"/>
      <c r="W53" s="313" t="n"/>
      <c r="X53" s="313" t="n"/>
      <c r="Y53" s="330" t="n"/>
      <c r="Z53" s="330" t="n"/>
    </row>
    <row r="54" ht="27" customHeight="1">
      <c r="A54" s="64" t="inlineStr">
        <is>
          <t>SU002829</t>
        </is>
      </c>
      <c r="B54" s="64" t="inlineStr">
        <is>
          <t>P003235</t>
        </is>
      </c>
      <c r="C54" s="37" t="n">
        <v>4301011452</v>
      </c>
      <c r="D54" s="325" t="n">
        <v>4680115881426</v>
      </c>
      <c r="E54" s="637" t="n"/>
      <c r="F54" s="669" t="n">
        <v>1.35</v>
      </c>
      <c r="G54" s="38" t="n">
        <v>8</v>
      </c>
      <c r="H54" s="669" t="n">
        <v>10.8</v>
      </c>
      <c r="I54" s="669" t="n">
        <v>11.28</v>
      </c>
      <c r="J54" s="38" t="n">
        <v>56</v>
      </c>
      <c r="K54" s="38" t="inlineStr">
        <is>
          <t>8</t>
        </is>
      </c>
      <c r="L54" s="39" t="inlineStr">
        <is>
          <t>СК1</t>
        </is>
      </c>
      <c r="M54" s="38" t="n">
        <v>50</v>
      </c>
      <c r="N54" s="688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O54" s="671" t="n"/>
      <c r="P54" s="671" t="n"/>
      <c r="Q54" s="671" t="n"/>
      <c r="R54" s="637" t="n"/>
      <c r="S54" s="40" t="inlineStr"/>
      <c r="T54" s="40" t="inlineStr"/>
      <c r="U54" s="41" t="inlineStr">
        <is>
          <t>кг</t>
        </is>
      </c>
      <c r="V54" s="672" t="n">
        <v>122</v>
      </c>
      <c r="W54" s="673">
        <f>IFERROR(IF(V54="",0,CEILING((V54/$H54),1)*$H54),"")</f>
        <v/>
      </c>
      <c r="X54" s="42">
        <f>IFERROR(IF(W54=0,"",ROUNDUP(W54/H54,0)*0.02175),"")</f>
        <v/>
      </c>
      <c r="Y54" s="69" t="inlineStr"/>
      <c r="Z54" s="70" t="inlineStr"/>
      <c r="AD54" s="71" t="n"/>
      <c r="BA54" s="84" t="inlineStr">
        <is>
          <t>КИ</t>
        </is>
      </c>
    </row>
    <row r="55" ht="27" customHeight="1">
      <c r="A55" s="64" t="inlineStr">
        <is>
          <t>SU002829</t>
        </is>
      </c>
      <c r="B55" s="64" t="inlineStr">
        <is>
          <t>P003298</t>
        </is>
      </c>
      <c r="C55" s="37" t="n">
        <v>4301011481</v>
      </c>
      <c r="D55" s="325" t="n">
        <v>4680115881426</v>
      </c>
      <c r="E55" s="637" t="n"/>
      <c r="F55" s="669" t="n">
        <v>1.35</v>
      </c>
      <c r="G55" s="38" t="n">
        <v>8</v>
      </c>
      <c r="H55" s="669" t="n">
        <v>10.8</v>
      </c>
      <c r="I55" s="669" t="n">
        <v>11.28</v>
      </c>
      <c r="J55" s="38" t="n">
        <v>48</v>
      </c>
      <c r="K55" s="38" t="inlineStr">
        <is>
          <t>8</t>
        </is>
      </c>
      <c r="L55" s="39" t="inlineStr">
        <is>
          <t>ВЗ</t>
        </is>
      </c>
      <c r="M55" s="38" t="n">
        <v>55</v>
      </c>
      <c r="N55" s="689" t="inlineStr">
        <is>
          <t>Вареные колбасы «Филейская» Весовые Вектор ТМ «Вязанка»</t>
        </is>
      </c>
      <c r="O55" s="671" t="n"/>
      <c r="P55" s="671" t="n"/>
      <c r="Q55" s="671" t="n"/>
      <c r="R55" s="637" t="n"/>
      <c r="S55" s="40" t="inlineStr"/>
      <c r="T55" s="40" t="inlineStr"/>
      <c r="U55" s="41" t="inlineStr">
        <is>
          <t>кг</t>
        </is>
      </c>
      <c r="V55" s="672" t="n">
        <v>0</v>
      </c>
      <c r="W55" s="673">
        <f>IFERROR(IF(V55="",0,CEILING((V55/$H55),1)*$H55),"")</f>
        <v/>
      </c>
      <c r="X55" s="42">
        <f>IFERROR(IF(W55=0,"",ROUNDUP(W55/H55,0)*0.02039),"")</f>
        <v/>
      </c>
      <c r="Y55" s="69" t="inlineStr"/>
      <c r="Z55" s="70" t="inlineStr"/>
      <c r="AD55" s="71" t="n"/>
      <c r="BA55" s="85" t="inlineStr">
        <is>
          <t>КИ</t>
        </is>
      </c>
    </row>
    <row r="56" ht="27" customHeight="1">
      <c r="A56" s="64" t="inlineStr">
        <is>
          <t>SU002815</t>
        </is>
      </c>
      <c r="B56" s="64" t="inlineStr">
        <is>
          <t>P003227</t>
        </is>
      </c>
      <c r="C56" s="37" t="n">
        <v>4301011437</v>
      </c>
      <c r="D56" s="325" t="n">
        <v>4680115881419</v>
      </c>
      <c r="E56" s="637" t="n"/>
      <c r="F56" s="669" t="n">
        <v>0.45</v>
      </c>
      <c r="G56" s="38" t="n">
        <v>10</v>
      </c>
      <c r="H56" s="669" t="n">
        <v>4.5</v>
      </c>
      <c r="I56" s="669" t="n">
        <v>4.74</v>
      </c>
      <c r="J56" s="38" t="n">
        <v>120</v>
      </c>
      <c r="K56" s="38" t="inlineStr">
        <is>
          <t>12</t>
        </is>
      </c>
      <c r="L56" s="39" t="inlineStr">
        <is>
          <t>СК1</t>
        </is>
      </c>
      <c r="M56" s="38" t="n">
        <v>50</v>
      </c>
      <c r="N56" s="690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O56" s="671" t="n"/>
      <c r="P56" s="671" t="n"/>
      <c r="Q56" s="671" t="n"/>
      <c r="R56" s="637" t="n"/>
      <c r="S56" s="40" t="inlineStr"/>
      <c r="T56" s="40" t="inlineStr"/>
      <c r="U56" s="41" t="inlineStr">
        <is>
          <t>кг</t>
        </is>
      </c>
      <c r="V56" s="672" t="n">
        <v>0</v>
      </c>
      <c r="W56" s="673">
        <f>IFERROR(IF(V56="",0,CEILING((V56/$H56),1)*$H56),"")</f>
        <v/>
      </c>
      <c r="X56" s="42">
        <f>IFERROR(IF(W56=0,"",ROUNDUP(W56/H56,0)*0.00937),"")</f>
        <v/>
      </c>
      <c r="Y56" s="69" t="inlineStr"/>
      <c r="Z56" s="70" t="inlineStr"/>
      <c r="AD56" s="71" t="n"/>
      <c r="BA56" s="86" t="inlineStr">
        <is>
          <t>КИ</t>
        </is>
      </c>
    </row>
    <row r="57" ht="27" customHeight="1">
      <c r="A57" s="64" t="inlineStr">
        <is>
          <t>SU002831</t>
        </is>
      </c>
      <c r="B57" s="64" t="inlineStr">
        <is>
          <t>P003243</t>
        </is>
      </c>
      <c r="C57" s="37" t="n">
        <v>4301011458</v>
      </c>
      <c r="D57" s="325" t="n">
        <v>4680115881525</v>
      </c>
      <c r="E57" s="637" t="n"/>
      <c r="F57" s="669" t="n">
        <v>0.4</v>
      </c>
      <c r="G57" s="38" t="n">
        <v>10</v>
      </c>
      <c r="H57" s="669" t="n">
        <v>4</v>
      </c>
      <c r="I57" s="669" t="n">
        <v>4.24</v>
      </c>
      <c r="J57" s="38" t="n">
        <v>120</v>
      </c>
      <c r="K57" s="38" t="inlineStr">
        <is>
          <t>12</t>
        </is>
      </c>
      <c r="L57" s="39" t="inlineStr">
        <is>
          <t>СК1</t>
        </is>
      </c>
      <c r="M57" s="38" t="n">
        <v>50</v>
      </c>
      <c r="N57" s="691" t="inlineStr">
        <is>
          <t>Колбаса вареная Филейская ТМ Вязанка ТС Классическая полиамид ф/в 0,4 кг</t>
        </is>
      </c>
      <c r="O57" s="671" t="n"/>
      <c r="P57" s="671" t="n"/>
      <c r="Q57" s="671" t="n"/>
      <c r="R57" s="637" t="n"/>
      <c r="S57" s="40" t="inlineStr"/>
      <c r="T57" s="40" t="inlineStr"/>
      <c r="U57" s="41" t="inlineStr">
        <is>
          <t>кг</t>
        </is>
      </c>
      <c r="V57" s="672" t="n">
        <v>0</v>
      </c>
      <c r="W57" s="673">
        <f>IFERROR(IF(V57="",0,CEILING((V57/$H57),1)*$H57),"")</f>
        <v/>
      </c>
      <c r="X57" s="42">
        <f>IFERROR(IF(W57=0,"",ROUNDUP(W57/H57,0)*0.00937),"")</f>
        <v/>
      </c>
      <c r="Y57" s="69" t="inlineStr"/>
      <c r="Z57" s="70" t="inlineStr"/>
      <c r="AD57" s="71" t="n"/>
      <c r="BA57" s="87" t="inlineStr">
        <is>
          <t>КИ</t>
        </is>
      </c>
    </row>
    <row r="58">
      <c r="A58" s="320" t="n"/>
      <c r="B58" s="313" t="n"/>
      <c r="C58" s="313" t="n"/>
      <c r="D58" s="313" t="n"/>
      <c r="E58" s="313" t="n"/>
      <c r="F58" s="313" t="n"/>
      <c r="G58" s="313" t="n"/>
      <c r="H58" s="313" t="n"/>
      <c r="I58" s="313" t="n"/>
      <c r="J58" s="313" t="n"/>
      <c r="K58" s="313" t="n"/>
      <c r="L58" s="313" t="n"/>
      <c r="M58" s="674" t="n"/>
      <c r="N58" s="675" t="inlineStr">
        <is>
          <t>Итого</t>
        </is>
      </c>
      <c r="O58" s="645" t="n"/>
      <c r="P58" s="645" t="n"/>
      <c r="Q58" s="645" t="n"/>
      <c r="R58" s="645" t="n"/>
      <c r="S58" s="645" t="n"/>
      <c r="T58" s="646" t="n"/>
      <c r="U58" s="43" t="inlineStr">
        <is>
          <t>кор</t>
        </is>
      </c>
      <c r="V58" s="676">
        <f>IFERROR(V54/H54,"0")+IFERROR(V55/H55,"0")+IFERROR(V56/H56,"0")+IFERROR(V57/H57,"0")</f>
        <v/>
      </c>
      <c r="W58" s="676">
        <f>IFERROR(W54/H54,"0")+IFERROR(W55/H55,"0")+IFERROR(W56/H56,"0")+IFERROR(W57/H57,"0")</f>
        <v/>
      </c>
      <c r="X58" s="676">
        <f>IFERROR(IF(X54="",0,X54),"0")+IFERROR(IF(X55="",0,X55),"0")+IFERROR(IF(X56="",0,X56),"0")+IFERROR(IF(X57="",0,X57),"0")</f>
        <v/>
      </c>
      <c r="Y58" s="677" t="n"/>
      <c r="Z58" s="677" t="n"/>
    </row>
    <row r="59">
      <c r="A59" s="313" t="n"/>
      <c r="B59" s="313" t="n"/>
      <c r="C59" s="313" t="n"/>
      <c r="D59" s="313" t="n"/>
      <c r="E59" s="313" t="n"/>
      <c r="F59" s="313" t="n"/>
      <c r="G59" s="313" t="n"/>
      <c r="H59" s="313" t="n"/>
      <c r="I59" s="313" t="n"/>
      <c r="J59" s="313" t="n"/>
      <c r="K59" s="313" t="n"/>
      <c r="L59" s="313" t="n"/>
      <c r="M59" s="674" t="n"/>
      <c r="N59" s="675" t="inlineStr">
        <is>
          <t>Итого</t>
        </is>
      </c>
      <c r="O59" s="645" t="n"/>
      <c r="P59" s="645" t="n"/>
      <c r="Q59" s="645" t="n"/>
      <c r="R59" s="645" t="n"/>
      <c r="S59" s="645" t="n"/>
      <c r="T59" s="646" t="n"/>
      <c r="U59" s="43" t="inlineStr">
        <is>
          <t>кг</t>
        </is>
      </c>
      <c r="V59" s="676">
        <f>IFERROR(SUM(V54:V57),"0")</f>
        <v/>
      </c>
      <c r="W59" s="676">
        <f>IFERROR(SUM(W54:W57),"0")</f>
        <v/>
      </c>
      <c r="X59" s="43" t="n"/>
      <c r="Y59" s="677" t="n"/>
      <c r="Z59" s="677" t="n"/>
    </row>
    <row r="60" ht="16.5" customHeight="1">
      <c r="A60" s="329" t="inlineStr">
        <is>
          <t>Вязанка</t>
        </is>
      </c>
      <c r="B60" s="313" t="n"/>
      <c r="C60" s="313" t="n"/>
      <c r="D60" s="313" t="n"/>
      <c r="E60" s="313" t="n"/>
      <c r="F60" s="313" t="n"/>
      <c r="G60" s="313" t="n"/>
      <c r="H60" s="313" t="n"/>
      <c r="I60" s="313" t="n"/>
      <c r="J60" s="313" t="n"/>
      <c r="K60" s="313" t="n"/>
      <c r="L60" s="313" t="n"/>
      <c r="M60" s="313" t="n"/>
      <c r="N60" s="313" t="n"/>
      <c r="O60" s="313" t="n"/>
      <c r="P60" s="313" t="n"/>
      <c r="Q60" s="313" t="n"/>
      <c r="R60" s="313" t="n"/>
      <c r="S60" s="313" t="n"/>
      <c r="T60" s="313" t="n"/>
      <c r="U60" s="313" t="n"/>
      <c r="V60" s="313" t="n"/>
      <c r="W60" s="313" t="n"/>
      <c r="X60" s="313" t="n"/>
      <c r="Y60" s="329" t="n"/>
      <c r="Z60" s="329" t="n"/>
    </row>
    <row r="61" ht="14.25" customHeight="1">
      <c r="A61" s="330" t="inlineStr">
        <is>
          <t>Вареные колбасы</t>
        </is>
      </c>
      <c r="B61" s="313" t="n"/>
      <c r="C61" s="313" t="n"/>
      <c r="D61" s="313" t="n"/>
      <c r="E61" s="313" t="n"/>
      <c r="F61" s="313" t="n"/>
      <c r="G61" s="313" t="n"/>
      <c r="H61" s="313" t="n"/>
      <c r="I61" s="313" t="n"/>
      <c r="J61" s="313" t="n"/>
      <c r="K61" s="313" t="n"/>
      <c r="L61" s="313" t="n"/>
      <c r="M61" s="313" t="n"/>
      <c r="N61" s="313" t="n"/>
      <c r="O61" s="313" t="n"/>
      <c r="P61" s="313" t="n"/>
      <c r="Q61" s="313" t="n"/>
      <c r="R61" s="313" t="n"/>
      <c r="S61" s="313" t="n"/>
      <c r="T61" s="313" t="n"/>
      <c r="U61" s="313" t="n"/>
      <c r="V61" s="313" t="n"/>
      <c r="W61" s="313" t="n"/>
      <c r="X61" s="313" t="n"/>
      <c r="Y61" s="330" t="n"/>
      <c r="Z61" s="330" t="n"/>
    </row>
    <row r="62" ht="27" customHeight="1">
      <c r="A62" s="64" t="inlineStr">
        <is>
          <t>SU000124</t>
        </is>
      </c>
      <c r="B62" s="64" t="inlineStr">
        <is>
          <t>P003690</t>
        </is>
      </c>
      <c r="C62" s="37" t="n">
        <v>4301011623</v>
      </c>
      <c r="D62" s="325" t="n">
        <v>4607091382945</v>
      </c>
      <c r="E62" s="637" t="n"/>
      <c r="F62" s="669" t="n">
        <v>1.4</v>
      </c>
      <c r="G62" s="38" t="n">
        <v>8</v>
      </c>
      <c r="H62" s="669" t="n">
        <v>11.2</v>
      </c>
      <c r="I62" s="669" t="n">
        <v>11.68</v>
      </c>
      <c r="J62" s="38" t="n">
        <v>56</v>
      </c>
      <c r="K62" s="38" t="inlineStr">
        <is>
          <t>8</t>
        </is>
      </c>
      <c r="L62" s="39" t="inlineStr">
        <is>
          <t>СК1</t>
        </is>
      </c>
      <c r="M62" s="38" t="n">
        <v>50</v>
      </c>
      <c r="N62" s="692" t="inlineStr">
        <is>
          <t>Вареные колбасы «Вязанка со шпиком» Весовые Вектор УВВ ТМ «Вязанка»</t>
        </is>
      </c>
      <c r="O62" s="671" t="n"/>
      <c r="P62" s="671" t="n"/>
      <c r="Q62" s="671" t="n"/>
      <c r="R62" s="637" t="n"/>
      <c r="S62" s="40" t="inlineStr"/>
      <c r="T62" s="40" t="inlineStr"/>
      <c r="U62" s="41" t="inlineStr">
        <is>
          <t>кг</t>
        </is>
      </c>
      <c r="V62" s="672" t="n">
        <v>0</v>
      </c>
      <c r="W62" s="673">
        <f>IFERROR(IF(V62="",0,CEILING((V62/$H62),1)*$H62),"")</f>
        <v/>
      </c>
      <c r="X62" s="42">
        <f>IFERROR(IF(W62=0,"",ROUNDUP(W62/H62,0)*0.02175),"")</f>
        <v/>
      </c>
      <c r="Y62" s="69" t="inlineStr"/>
      <c r="Z62" s="70" t="inlineStr"/>
      <c r="AD62" s="71" t="n"/>
      <c r="BA62" s="88" t="inlineStr">
        <is>
          <t>КИ</t>
        </is>
      </c>
    </row>
    <row r="63" ht="27" customHeight="1">
      <c r="A63" s="64" t="inlineStr">
        <is>
          <t>SU000722</t>
        </is>
      </c>
      <c r="B63" s="64" t="inlineStr">
        <is>
          <t>P003369</t>
        </is>
      </c>
      <c r="C63" s="37" t="n">
        <v>4301011540</v>
      </c>
      <c r="D63" s="325" t="n">
        <v>4607091385670</v>
      </c>
      <c r="E63" s="637" t="n"/>
      <c r="F63" s="669" t="n">
        <v>1.4</v>
      </c>
      <c r="G63" s="38" t="n">
        <v>8</v>
      </c>
      <c r="H63" s="669" t="n">
        <v>11.2</v>
      </c>
      <c r="I63" s="669" t="n">
        <v>11.68</v>
      </c>
      <c r="J63" s="38" t="n">
        <v>56</v>
      </c>
      <c r="K63" s="38" t="inlineStr">
        <is>
          <t>8</t>
        </is>
      </c>
      <c r="L63" s="39" t="inlineStr">
        <is>
          <t>СК3</t>
        </is>
      </c>
      <c r="M63" s="38" t="n">
        <v>50</v>
      </c>
      <c r="N63" s="693" t="inlineStr">
        <is>
          <t>Вареные колбасы «Докторская ГОСТ» Весовые Вектор УВВ ТМ «Вязанка»</t>
        </is>
      </c>
      <c r="O63" s="671" t="n"/>
      <c r="P63" s="671" t="n"/>
      <c r="Q63" s="671" t="n"/>
      <c r="R63" s="637" t="n"/>
      <c r="S63" s="40" t="inlineStr"/>
      <c r="T63" s="40" t="inlineStr"/>
      <c r="U63" s="41" t="inlineStr">
        <is>
          <t>кг</t>
        </is>
      </c>
      <c r="V63" s="672" t="n">
        <v>60</v>
      </c>
      <c r="W63" s="673">
        <f>IFERROR(IF(V63="",0,CEILING((V63/$H63),1)*$H63),"")</f>
        <v/>
      </c>
      <c r="X63" s="42">
        <f>IFERROR(IF(W63=0,"",ROUNDUP(W63/H63,0)*0.02175),"")</f>
        <v/>
      </c>
      <c r="Y63" s="69" t="inlineStr"/>
      <c r="Z63" s="70" t="inlineStr"/>
      <c r="AD63" s="71" t="n"/>
      <c r="BA63" s="89" t="inlineStr">
        <is>
          <t>КИ</t>
        </is>
      </c>
    </row>
    <row r="64" ht="27" customHeight="1">
      <c r="A64" s="64" t="inlineStr">
        <is>
          <t>SU002830</t>
        </is>
      </c>
      <c r="B64" s="64" t="inlineStr">
        <is>
          <t>P003239</t>
        </is>
      </c>
      <c r="C64" s="37" t="n">
        <v>4301011468</v>
      </c>
      <c r="D64" s="325" t="n">
        <v>4680115881327</v>
      </c>
      <c r="E64" s="637" t="n"/>
      <c r="F64" s="669" t="n">
        <v>1.35</v>
      </c>
      <c r="G64" s="38" t="n">
        <v>8</v>
      </c>
      <c r="H64" s="669" t="n">
        <v>10.8</v>
      </c>
      <c r="I64" s="669" t="n">
        <v>11.28</v>
      </c>
      <c r="J64" s="38" t="n">
        <v>56</v>
      </c>
      <c r="K64" s="38" t="inlineStr">
        <is>
          <t>8</t>
        </is>
      </c>
      <c r="L64" s="39" t="inlineStr">
        <is>
          <t>СК4</t>
        </is>
      </c>
      <c r="M64" s="38" t="n">
        <v>50</v>
      </c>
      <c r="N64" s="694">
        <f>HYPERLINK("https://abi.ru/products/Охлажденные/Вязанка/Вязанка/Вареные колбасы/P003239/","Вареные колбасы Молокуша Вязанка Вес п/а Вязанка")</f>
        <v/>
      </c>
      <c r="O64" s="671" t="n"/>
      <c r="P64" s="671" t="n"/>
      <c r="Q64" s="671" t="n"/>
      <c r="R64" s="637" t="n"/>
      <c r="S64" s="40" t="inlineStr"/>
      <c r="T64" s="40" t="inlineStr"/>
      <c r="U64" s="41" t="inlineStr">
        <is>
          <t>кг</t>
        </is>
      </c>
      <c r="V64" s="672" t="n">
        <v>76</v>
      </c>
      <c r="W64" s="673">
        <f>IFERROR(IF(V64="",0,CEILING((V64/$H64),1)*$H64),"")</f>
        <v/>
      </c>
      <c r="X64" s="42">
        <f>IFERROR(IF(W64=0,"",ROUNDUP(W64/H64,0)*0.02175),"")</f>
        <v/>
      </c>
      <c r="Y64" s="69" t="inlineStr"/>
      <c r="Z64" s="70" t="inlineStr"/>
      <c r="AD64" s="71" t="n"/>
      <c r="BA64" s="90" t="inlineStr">
        <is>
          <t>КИ</t>
        </is>
      </c>
    </row>
    <row r="65" ht="16.5" customHeight="1">
      <c r="A65" s="64" t="inlineStr">
        <is>
          <t>SU002928</t>
        </is>
      </c>
      <c r="B65" s="64" t="inlineStr">
        <is>
          <t>P003902</t>
        </is>
      </c>
      <c r="C65" s="37" t="n">
        <v>4301011703</v>
      </c>
      <c r="D65" s="325" t="n">
        <v>4680115882133</v>
      </c>
      <c r="E65" s="637" t="n"/>
      <c r="F65" s="669" t="n">
        <v>1.4</v>
      </c>
      <c r="G65" s="38" t="n">
        <v>8</v>
      </c>
      <c r="H65" s="669" t="n">
        <v>11.2</v>
      </c>
      <c r="I65" s="669" t="n">
        <v>11.68</v>
      </c>
      <c r="J65" s="38" t="n">
        <v>56</v>
      </c>
      <c r="K65" s="38" t="inlineStr">
        <is>
          <t>8</t>
        </is>
      </c>
      <c r="L65" s="39" t="inlineStr">
        <is>
          <t>СК1</t>
        </is>
      </c>
      <c r="M65" s="38" t="n">
        <v>50</v>
      </c>
      <c r="N65" s="695" t="inlineStr">
        <is>
          <t>Вареные колбасы «Сливушка» Вес П/а ТМ «Вязанка»</t>
        </is>
      </c>
      <c r="O65" s="671" t="n"/>
      <c r="P65" s="671" t="n"/>
      <c r="Q65" s="671" t="n"/>
      <c r="R65" s="637" t="n"/>
      <c r="S65" s="40" t="inlineStr"/>
      <c r="T65" s="40" t="inlineStr"/>
      <c r="U65" s="41" t="inlineStr">
        <is>
          <t>кг</t>
        </is>
      </c>
      <c r="V65" s="672" t="n">
        <v>0</v>
      </c>
      <c r="W65" s="673">
        <f>IFERROR(IF(V65="",0,CEILING((V65/$H65),1)*$H65),"")</f>
        <v/>
      </c>
      <c r="X65" s="42">
        <f>IFERROR(IF(W65=0,"",ROUNDUP(W65/H65,0)*0.02175),"")</f>
        <v/>
      </c>
      <c r="Y65" s="69" t="inlineStr"/>
      <c r="Z65" s="70" t="inlineStr"/>
      <c r="AD65" s="71" t="n"/>
      <c r="BA65" s="91" t="inlineStr">
        <is>
          <t>КИ</t>
        </is>
      </c>
    </row>
    <row r="66" ht="27" customHeight="1">
      <c r="A66" s="64" t="inlineStr">
        <is>
          <t>SU000125</t>
        </is>
      </c>
      <c r="B66" s="64" t="inlineStr">
        <is>
          <t>P002479</t>
        </is>
      </c>
      <c r="C66" s="37" t="n">
        <v>4301011192</v>
      </c>
      <c r="D66" s="325" t="n">
        <v>4607091382952</v>
      </c>
      <c r="E66" s="637" t="n"/>
      <c r="F66" s="669" t="n">
        <v>0.5</v>
      </c>
      <c r="G66" s="38" t="n">
        <v>6</v>
      </c>
      <c r="H66" s="669" t="n">
        <v>3</v>
      </c>
      <c r="I66" s="669" t="n">
        <v>3.2</v>
      </c>
      <c r="J66" s="38" t="n">
        <v>156</v>
      </c>
      <c r="K66" s="38" t="inlineStr">
        <is>
          <t>12</t>
        </is>
      </c>
      <c r="L66" s="39" t="inlineStr">
        <is>
          <t>СК1</t>
        </is>
      </c>
      <c r="M66" s="38" t="n">
        <v>50</v>
      </c>
      <c r="N66" s="696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O66" s="671" t="n"/>
      <c r="P66" s="671" t="n"/>
      <c r="Q66" s="671" t="n"/>
      <c r="R66" s="637" t="n"/>
      <c r="S66" s="40" t="inlineStr"/>
      <c r="T66" s="40" t="inlineStr"/>
      <c r="U66" s="41" t="inlineStr">
        <is>
          <t>кг</t>
        </is>
      </c>
      <c r="V66" s="672" t="n">
        <v>0</v>
      </c>
      <c r="W66" s="673">
        <f>IFERROR(IF(V66="",0,CEILING((V66/$H66),1)*$H66),"")</f>
        <v/>
      </c>
      <c r="X66" s="42">
        <f>IFERROR(IF(W66=0,"",ROUNDUP(W66/H66,0)*0.00753),"")</f>
        <v/>
      </c>
      <c r="Y66" s="69" t="inlineStr"/>
      <c r="Z66" s="70" t="inlineStr"/>
      <c r="AD66" s="71" t="n"/>
      <c r="BA66" s="92" t="inlineStr">
        <is>
          <t>КИ</t>
        </is>
      </c>
    </row>
    <row r="67" ht="27" customHeight="1">
      <c r="A67" s="64" t="inlineStr">
        <is>
          <t>SU002986</t>
        </is>
      </c>
      <c r="B67" s="64" t="inlineStr">
        <is>
          <t>P003429</t>
        </is>
      </c>
      <c r="C67" s="37" t="n">
        <v>4301011565</v>
      </c>
      <c r="D67" s="325" t="n">
        <v>4680115882539</v>
      </c>
      <c r="E67" s="637" t="n"/>
      <c r="F67" s="669" t="n">
        <v>0.37</v>
      </c>
      <c r="G67" s="38" t="n">
        <v>10</v>
      </c>
      <c r="H67" s="669" t="n">
        <v>3.7</v>
      </c>
      <c r="I67" s="669" t="n">
        <v>3.94</v>
      </c>
      <c r="J67" s="38" t="n">
        <v>120</v>
      </c>
      <c r="K67" s="38" t="inlineStr">
        <is>
          <t>12</t>
        </is>
      </c>
      <c r="L67" s="39" t="inlineStr">
        <is>
          <t>СК3</t>
        </is>
      </c>
      <c r="M67" s="38" t="n">
        <v>50</v>
      </c>
      <c r="N67" s="697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O67" s="671" t="n"/>
      <c r="P67" s="671" t="n"/>
      <c r="Q67" s="671" t="n"/>
      <c r="R67" s="637" t="n"/>
      <c r="S67" s="40" t="inlineStr"/>
      <c r="T67" s="40" t="inlineStr"/>
      <c r="U67" s="41" t="inlineStr">
        <is>
          <t>кг</t>
        </is>
      </c>
      <c r="V67" s="672" t="n">
        <v>0</v>
      </c>
      <c r="W67" s="673">
        <f>IFERROR(IF(V67="",0,CEILING((V67/$H67),1)*$H67),"")</f>
        <v/>
      </c>
      <c r="X67" s="42">
        <f>IFERROR(IF(W67=0,"",ROUNDUP(W67/H67,0)*0.00937),"")</f>
        <v/>
      </c>
      <c r="Y67" s="69" t="inlineStr"/>
      <c r="Z67" s="70" t="inlineStr"/>
      <c r="AD67" s="71" t="n"/>
      <c r="BA67" s="93" t="inlineStr">
        <is>
          <t>КИ</t>
        </is>
      </c>
    </row>
    <row r="68" ht="27" customHeight="1">
      <c r="A68" s="64" t="inlineStr">
        <is>
          <t>SU001485</t>
        </is>
      </c>
      <c r="B68" s="64" t="inlineStr">
        <is>
          <t>P003008</t>
        </is>
      </c>
      <c r="C68" s="37" t="n">
        <v>4301011382</v>
      </c>
      <c r="D68" s="325" t="n">
        <v>4607091385687</v>
      </c>
      <c r="E68" s="637" t="n"/>
      <c r="F68" s="669" t="n">
        <v>0.4</v>
      </c>
      <c r="G68" s="38" t="n">
        <v>10</v>
      </c>
      <c r="H68" s="669" t="n">
        <v>4</v>
      </c>
      <c r="I68" s="669" t="n">
        <v>4.24</v>
      </c>
      <c r="J68" s="38" t="n">
        <v>120</v>
      </c>
      <c r="K68" s="38" t="inlineStr">
        <is>
          <t>12</t>
        </is>
      </c>
      <c r="L68" s="39" t="inlineStr">
        <is>
          <t>СК3</t>
        </is>
      </c>
      <c r="M68" s="38" t="n">
        <v>50</v>
      </c>
      <c r="N68" s="698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O68" s="671" t="n"/>
      <c r="P68" s="671" t="n"/>
      <c r="Q68" s="671" t="n"/>
      <c r="R68" s="637" t="n"/>
      <c r="S68" s="40" t="inlineStr"/>
      <c r="T68" s="40" t="inlineStr"/>
      <c r="U68" s="41" t="inlineStr">
        <is>
          <t>кг</t>
        </is>
      </c>
      <c r="V68" s="672" t="n">
        <v>3</v>
      </c>
      <c r="W68" s="673">
        <f>IFERROR(IF(V68="",0,CEILING((V68/$H68),1)*$H68),"")</f>
        <v/>
      </c>
      <c r="X68" s="42">
        <f>IFERROR(IF(W68=0,"",ROUNDUP(W68/H68,0)*0.00937),"")</f>
        <v/>
      </c>
      <c r="Y68" s="69" t="inlineStr"/>
      <c r="Z68" s="70" t="inlineStr"/>
      <c r="AD68" s="71" t="n"/>
      <c r="BA68" s="94" t="inlineStr">
        <is>
          <t>КИ</t>
        </is>
      </c>
    </row>
    <row r="69" ht="27" customHeight="1">
      <c r="A69" s="64" t="inlineStr">
        <is>
          <t>SU002312</t>
        </is>
      </c>
      <c r="B69" s="64" t="inlineStr">
        <is>
          <t>P002577</t>
        </is>
      </c>
      <c r="C69" s="37" t="n">
        <v>4301011344</v>
      </c>
      <c r="D69" s="325" t="n">
        <v>4607091384604</v>
      </c>
      <c r="E69" s="637" t="n"/>
      <c r="F69" s="669" t="n">
        <v>0.4</v>
      </c>
      <c r="G69" s="38" t="n">
        <v>10</v>
      </c>
      <c r="H69" s="669" t="n">
        <v>4</v>
      </c>
      <c r="I69" s="669" t="n">
        <v>4.24</v>
      </c>
      <c r="J69" s="38" t="n">
        <v>120</v>
      </c>
      <c r="K69" s="38" t="inlineStr">
        <is>
          <t>12</t>
        </is>
      </c>
      <c r="L69" s="39" t="inlineStr">
        <is>
          <t>СК1</t>
        </is>
      </c>
      <c r="M69" s="38" t="n">
        <v>50</v>
      </c>
      <c r="N69" s="699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O69" s="671" t="n"/>
      <c r="P69" s="671" t="n"/>
      <c r="Q69" s="671" t="n"/>
      <c r="R69" s="637" t="n"/>
      <c r="S69" s="40" t="inlineStr"/>
      <c r="T69" s="40" t="inlineStr"/>
      <c r="U69" s="41" t="inlineStr">
        <is>
          <t>кг</t>
        </is>
      </c>
      <c r="V69" s="672" t="n">
        <v>0</v>
      </c>
      <c r="W69" s="673">
        <f>IFERROR(IF(V69="",0,CEILING((V69/$H69),1)*$H69),"")</f>
        <v/>
      </c>
      <c r="X69" s="42">
        <f>IFERROR(IF(W69=0,"",ROUNDUP(W69/H69,0)*0.00937),"")</f>
        <v/>
      </c>
      <c r="Y69" s="69" t="inlineStr"/>
      <c r="Z69" s="70" t="inlineStr"/>
      <c r="AD69" s="71" t="n"/>
      <c r="BA69" s="95" t="inlineStr">
        <is>
          <t>КИ</t>
        </is>
      </c>
    </row>
    <row r="70" ht="27" customHeight="1">
      <c r="A70" s="64" t="inlineStr">
        <is>
          <t>SU002674</t>
        </is>
      </c>
      <c r="B70" s="64" t="inlineStr">
        <is>
          <t>P003045</t>
        </is>
      </c>
      <c r="C70" s="37" t="n">
        <v>4301011386</v>
      </c>
      <c r="D70" s="325" t="n">
        <v>4680115880283</v>
      </c>
      <c r="E70" s="637" t="n"/>
      <c r="F70" s="669" t="n">
        <v>0.6</v>
      </c>
      <c r="G70" s="38" t="n">
        <v>8</v>
      </c>
      <c r="H70" s="669" t="n">
        <v>4.8</v>
      </c>
      <c r="I70" s="669" t="n">
        <v>5.04</v>
      </c>
      <c r="J70" s="38" t="n">
        <v>120</v>
      </c>
      <c r="K70" s="38" t="inlineStr">
        <is>
          <t>12</t>
        </is>
      </c>
      <c r="L70" s="39" t="inlineStr">
        <is>
          <t>СК1</t>
        </is>
      </c>
      <c r="M70" s="38" t="n">
        <v>45</v>
      </c>
      <c r="N70" s="700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O70" s="671" t="n"/>
      <c r="P70" s="671" t="n"/>
      <c r="Q70" s="671" t="n"/>
      <c r="R70" s="637" t="n"/>
      <c r="S70" s="40" t="inlineStr"/>
      <c r="T70" s="40" t="inlineStr"/>
      <c r="U70" s="41" t="inlineStr">
        <is>
          <t>кг</t>
        </is>
      </c>
      <c r="V70" s="672" t="n">
        <v>0</v>
      </c>
      <c r="W70" s="673">
        <f>IFERROR(IF(V70="",0,CEILING((V70/$H70),1)*$H70),"")</f>
        <v/>
      </c>
      <c r="X70" s="42">
        <f>IFERROR(IF(W70=0,"",ROUNDUP(W70/H70,0)*0.00937),"")</f>
        <v/>
      </c>
      <c r="Y70" s="69" t="inlineStr"/>
      <c r="Z70" s="70" t="inlineStr"/>
      <c r="AD70" s="71" t="n"/>
      <c r="BA70" s="96" t="inlineStr">
        <is>
          <t>КИ</t>
        </is>
      </c>
    </row>
    <row r="71" ht="27" customHeight="1">
      <c r="A71" s="64" t="inlineStr">
        <is>
          <t>SU002816</t>
        </is>
      </c>
      <c r="B71" s="64" t="inlineStr">
        <is>
          <t>P003228</t>
        </is>
      </c>
      <c r="C71" s="37" t="n">
        <v>4301011443</v>
      </c>
      <c r="D71" s="325" t="n">
        <v>4680115881303</v>
      </c>
      <c r="E71" s="637" t="n"/>
      <c r="F71" s="669" t="n">
        <v>0.45</v>
      </c>
      <c r="G71" s="38" t="n">
        <v>10</v>
      </c>
      <c r="H71" s="669" t="n">
        <v>4.5</v>
      </c>
      <c r="I71" s="669" t="n">
        <v>4.71</v>
      </c>
      <c r="J71" s="38" t="n">
        <v>120</v>
      </c>
      <c r="K71" s="38" t="inlineStr">
        <is>
          <t>12</t>
        </is>
      </c>
      <c r="L71" s="39" t="inlineStr">
        <is>
          <t>СК4</t>
        </is>
      </c>
      <c r="M71" s="38" t="n">
        <v>50</v>
      </c>
      <c r="N71" s="701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O71" s="671" t="n"/>
      <c r="P71" s="671" t="n"/>
      <c r="Q71" s="671" t="n"/>
      <c r="R71" s="637" t="n"/>
      <c r="S71" s="40" t="inlineStr"/>
      <c r="T71" s="40" t="inlineStr"/>
      <c r="U71" s="41" t="inlineStr">
        <is>
          <t>кг</t>
        </is>
      </c>
      <c r="V71" s="672" t="n">
        <v>0</v>
      </c>
      <c r="W71" s="673">
        <f>IFERROR(IF(V71="",0,CEILING((V71/$H71),1)*$H71),"")</f>
        <v/>
      </c>
      <c r="X71" s="42">
        <f>IFERROR(IF(W71=0,"",ROUNDUP(W71/H71,0)*0.00937),"")</f>
        <v/>
      </c>
      <c r="Y71" s="69" t="inlineStr"/>
      <c r="Z71" s="70" t="inlineStr"/>
      <c r="AD71" s="71" t="n"/>
      <c r="BA71" s="97" t="inlineStr">
        <is>
          <t>КИ</t>
        </is>
      </c>
    </row>
    <row r="72" ht="27" customHeight="1">
      <c r="A72" s="64" t="inlineStr">
        <is>
          <t>SU002785</t>
        </is>
      </c>
      <c r="B72" s="64" t="inlineStr">
        <is>
          <t>P003187</t>
        </is>
      </c>
      <c r="C72" s="37" t="n">
        <v>4301011432</v>
      </c>
      <c r="D72" s="325" t="n">
        <v>4680115882720</v>
      </c>
      <c r="E72" s="637" t="n"/>
      <c r="F72" s="669" t="n">
        <v>0.45</v>
      </c>
      <c r="G72" s="38" t="n">
        <v>10</v>
      </c>
      <c r="H72" s="669" t="n">
        <v>4.5</v>
      </c>
      <c r="I72" s="669" t="n">
        <v>4.74</v>
      </c>
      <c r="J72" s="38" t="n">
        <v>120</v>
      </c>
      <c r="K72" s="38" t="inlineStr">
        <is>
          <t>12</t>
        </is>
      </c>
      <c r="L72" s="39" t="inlineStr">
        <is>
          <t>СК1</t>
        </is>
      </c>
      <c r="M72" s="38" t="n">
        <v>90</v>
      </c>
      <c r="N72" s="702" t="inlineStr">
        <is>
          <t>Вареные колбасы «Филейская #Живой_пар» ф/в 0,45 п/а ТМ «Вязанка»</t>
        </is>
      </c>
      <c r="O72" s="671" t="n"/>
      <c r="P72" s="671" t="n"/>
      <c r="Q72" s="671" t="n"/>
      <c r="R72" s="637" t="n"/>
      <c r="S72" s="40" t="inlineStr"/>
      <c r="T72" s="40" t="inlineStr"/>
      <c r="U72" s="41" t="inlineStr">
        <is>
          <t>кг</t>
        </is>
      </c>
      <c r="V72" s="672" t="n">
        <v>0</v>
      </c>
      <c r="W72" s="673">
        <f>IFERROR(IF(V72="",0,CEILING((V72/$H72),1)*$H72),"")</f>
        <v/>
      </c>
      <c r="X72" s="42">
        <f>IFERROR(IF(W72=0,"",ROUNDUP(W72/H72,0)*0.00937),"")</f>
        <v/>
      </c>
      <c r="Y72" s="69" t="inlineStr"/>
      <c r="Z72" s="70" t="inlineStr"/>
      <c r="AD72" s="71" t="n"/>
      <c r="BA72" s="98" t="inlineStr">
        <is>
          <t>КИ</t>
        </is>
      </c>
    </row>
    <row r="73" ht="27" customHeight="1">
      <c r="A73" s="64" t="inlineStr">
        <is>
          <t>SU001905</t>
        </is>
      </c>
      <c r="B73" s="64" t="inlineStr">
        <is>
          <t>P001685</t>
        </is>
      </c>
      <c r="C73" s="37" t="n">
        <v>4301011352</v>
      </c>
      <c r="D73" s="325" t="n">
        <v>4607091388466</v>
      </c>
      <c r="E73" s="637" t="n"/>
      <c r="F73" s="669" t="n">
        <v>0.45</v>
      </c>
      <c r="G73" s="38" t="n">
        <v>6</v>
      </c>
      <c r="H73" s="669" t="n">
        <v>2.7</v>
      </c>
      <c r="I73" s="669" t="n">
        <v>2.9</v>
      </c>
      <c r="J73" s="38" t="n">
        <v>156</v>
      </c>
      <c r="K73" s="38" t="inlineStr">
        <is>
          <t>12</t>
        </is>
      </c>
      <c r="L73" s="39" t="inlineStr">
        <is>
          <t>СК3</t>
        </is>
      </c>
      <c r="M73" s="38" t="n">
        <v>45</v>
      </c>
      <c r="N73" s="703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O73" s="671" t="n"/>
      <c r="P73" s="671" t="n"/>
      <c r="Q73" s="671" t="n"/>
      <c r="R73" s="637" t="n"/>
      <c r="S73" s="40" t="inlineStr"/>
      <c r="T73" s="40" t="inlineStr"/>
      <c r="U73" s="41" t="inlineStr">
        <is>
          <t>кг</t>
        </is>
      </c>
      <c r="V73" s="672" t="n">
        <v>0</v>
      </c>
      <c r="W73" s="673">
        <f>IFERROR(IF(V73="",0,CEILING((V73/$H73),1)*$H73),"")</f>
        <v/>
      </c>
      <c r="X73" s="42">
        <f>IFERROR(IF(W73=0,"",ROUNDUP(W73/H73,0)*0.00753),"")</f>
        <v/>
      </c>
      <c r="Y73" s="69" t="inlineStr"/>
      <c r="Z73" s="70" t="inlineStr"/>
      <c r="AD73" s="71" t="n"/>
      <c r="BA73" s="99" t="inlineStr">
        <is>
          <t>КИ</t>
        </is>
      </c>
    </row>
    <row r="74" ht="27" customHeight="1">
      <c r="A74" s="64" t="inlineStr">
        <is>
          <t>SU002733</t>
        </is>
      </c>
      <c r="B74" s="64" t="inlineStr">
        <is>
          <t>P003102</t>
        </is>
      </c>
      <c r="C74" s="37" t="n">
        <v>4301011417</v>
      </c>
      <c r="D74" s="325" t="n">
        <v>4680115880269</v>
      </c>
      <c r="E74" s="637" t="n"/>
      <c r="F74" s="669" t="n">
        <v>0.375</v>
      </c>
      <c r="G74" s="38" t="n">
        <v>10</v>
      </c>
      <c r="H74" s="669" t="n">
        <v>3.75</v>
      </c>
      <c r="I74" s="669" t="n">
        <v>3.99</v>
      </c>
      <c r="J74" s="38" t="n">
        <v>120</v>
      </c>
      <c r="K74" s="38" t="inlineStr">
        <is>
          <t>12</t>
        </is>
      </c>
      <c r="L74" s="39" t="inlineStr">
        <is>
          <t>СК3</t>
        </is>
      </c>
      <c r="M74" s="38" t="n">
        <v>50</v>
      </c>
      <c r="N74" s="704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O74" s="671" t="n"/>
      <c r="P74" s="671" t="n"/>
      <c r="Q74" s="671" t="n"/>
      <c r="R74" s="637" t="n"/>
      <c r="S74" s="40" t="inlineStr"/>
      <c r="T74" s="40" t="inlineStr"/>
      <c r="U74" s="41" t="inlineStr">
        <is>
          <t>кг</t>
        </is>
      </c>
      <c r="V74" s="672" t="n">
        <v>3</v>
      </c>
      <c r="W74" s="673">
        <f>IFERROR(IF(V74="",0,CEILING((V74/$H74),1)*$H74),"")</f>
        <v/>
      </c>
      <c r="X74" s="42">
        <f>IFERROR(IF(W74=0,"",ROUNDUP(W74/H74,0)*0.00937),"")</f>
        <v/>
      </c>
      <c r="Y74" s="69" t="inlineStr"/>
      <c r="Z74" s="70" t="inlineStr"/>
      <c r="AD74" s="71" t="n"/>
      <c r="BA74" s="100" t="inlineStr">
        <is>
          <t>КИ</t>
        </is>
      </c>
    </row>
    <row r="75" ht="16.5" customHeight="1">
      <c r="A75" s="64" t="inlineStr">
        <is>
          <t>SU002734</t>
        </is>
      </c>
      <c r="B75" s="64" t="inlineStr">
        <is>
          <t>P003103</t>
        </is>
      </c>
      <c r="C75" s="37" t="n">
        <v>4301011415</v>
      </c>
      <c r="D75" s="325" t="n">
        <v>4680115880429</v>
      </c>
      <c r="E75" s="637" t="n"/>
      <c r="F75" s="669" t="n">
        <v>0.45</v>
      </c>
      <c r="G75" s="38" t="n">
        <v>10</v>
      </c>
      <c r="H75" s="669" t="n">
        <v>4.5</v>
      </c>
      <c r="I75" s="669" t="n">
        <v>4.74</v>
      </c>
      <c r="J75" s="38" t="n">
        <v>120</v>
      </c>
      <c r="K75" s="38" t="inlineStr">
        <is>
          <t>12</t>
        </is>
      </c>
      <c r="L75" s="39" t="inlineStr">
        <is>
          <t>СК3</t>
        </is>
      </c>
      <c r="M75" s="38" t="n">
        <v>50</v>
      </c>
      <c r="N75" s="705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O75" s="671" t="n"/>
      <c r="P75" s="671" t="n"/>
      <c r="Q75" s="671" t="n"/>
      <c r="R75" s="637" t="n"/>
      <c r="S75" s="40" t="inlineStr"/>
      <c r="T75" s="40" t="inlineStr"/>
      <c r="U75" s="41" t="inlineStr">
        <is>
          <t>кг</t>
        </is>
      </c>
      <c r="V75" s="672" t="n">
        <v>4</v>
      </c>
      <c r="W75" s="673">
        <f>IFERROR(IF(V75="",0,CEILING((V75/$H75),1)*$H75),"")</f>
        <v/>
      </c>
      <c r="X75" s="42">
        <f>IFERROR(IF(W75=0,"",ROUNDUP(W75/H75,0)*0.00937),"")</f>
        <v/>
      </c>
      <c r="Y75" s="69" t="inlineStr"/>
      <c r="Z75" s="70" t="inlineStr"/>
      <c r="AD75" s="71" t="n"/>
      <c r="BA75" s="101" t="inlineStr">
        <is>
          <t>КИ</t>
        </is>
      </c>
    </row>
    <row r="76" ht="16.5" customHeight="1">
      <c r="A76" s="64" t="inlineStr">
        <is>
          <t>SU002827</t>
        </is>
      </c>
      <c r="B76" s="64" t="inlineStr">
        <is>
          <t>P003233</t>
        </is>
      </c>
      <c r="C76" s="37" t="n">
        <v>4301011462</v>
      </c>
      <c r="D76" s="325" t="n">
        <v>4680115881457</v>
      </c>
      <c r="E76" s="637" t="n"/>
      <c r="F76" s="669" t="n">
        <v>0.75</v>
      </c>
      <c r="G76" s="38" t="n">
        <v>6</v>
      </c>
      <c r="H76" s="669" t="n">
        <v>4.5</v>
      </c>
      <c r="I76" s="669" t="n">
        <v>4.74</v>
      </c>
      <c r="J76" s="38" t="n">
        <v>120</v>
      </c>
      <c r="K76" s="38" t="inlineStr">
        <is>
          <t>12</t>
        </is>
      </c>
      <c r="L76" s="39" t="inlineStr">
        <is>
          <t>СК3</t>
        </is>
      </c>
      <c r="M76" s="38" t="n">
        <v>50</v>
      </c>
      <c r="N76" s="706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O76" s="671" t="n"/>
      <c r="P76" s="671" t="n"/>
      <c r="Q76" s="671" t="n"/>
      <c r="R76" s="637" t="n"/>
      <c r="S76" s="40" t="inlineStr"/>
      <c r="T76" s="40" t="inlineStr"/>
      <c r="U76" s="41" t="inlineStr">
        <is>
          <t>кг</t>
        </is>
      </c>
      <c r="V76" s="672" t="n">
        <v>0</v>
      </c>
      <c r="W76" s="673">
        <f>IFERROR(IF(V76="",0,CEILING((V76/$H76),1)*$H76),"")</f>
        <v/>
      </c>
      <c r="X76" s="42">
        <f>IFERROR(IF(W76=0,"",ROUNDUP(W76/H76,0)*0.00937),"")</f>
        <v/>
      </c>
      <c r="Y76" s="69" t="inlineStr"/>
      <c r="Z76" s="70" t="inlineStr"/>
      <c r="AD76" s="71" t="n"/>
      <c r="BA76" s="102" t="inlineStr">
        <is>
          <t>КИ</t>
        </is>
      </c>
    </row>
    <row r="77">
      <c r="A77" s="320" t="n"/>
      <c r="B77" s="313" t="n"/>
      <c r="C77" s="313" t="n"/>
      <c r="D77" s="313" t="n"/>
      <c r="E77" s="313" t="n"/>
      <c r="F77" s="313" t="n"/>
      <c r="G77" s="313" t="n"/>
      <c r="H77" s="313" t="n"/>
      <c r="I77" s="313" t="n"/>
      <c r="J77" s="313" t="n"/>
      <c r="K77" s="313" t="n"/>
      <c r="L77" s="313" t="n"/>
      <c r="M77" s="674" t="n"/>
      <c r="N77" s="675" t="inlineStr">
        <is>
          <t>Итого</t>
        </is>
      </c>
      <c r="O77" s="645" t="n"/>
      <c r="P77" s="645" t="n"/>
      <c r="Q77" s="645" t="n"/>
      <c r="R77" s="645" t="n"/>
      <c r="S77" s="645" t="n"/>
      <c r="T77" s="646" t="n"/>
      <c r="U77" s="43" t="inlineStr">
        <is>
          <t>кор</t>
        </is>
      </c>
      <c r="V77" s="676">
        <f>IFERROR(V62/H62,"0")+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</f>
        <v/>
      </c>
      <c r="W77" s="676">
        <f>IFERROR(W62/H62,"0")+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</f>
        <v/>
      </c>
      <c r="X77" s="676">
        <f>IFERROR(IF(X62="",0,X62),"0")+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</f>
        <v/>
      </c>
      <c r="Y77" s="677" t="n"/>
      <c r="Z77" s="677" t="n"/>
    </row>
    <row r="78">
      <c r="A78" s="313" t="n"/>
      <c r="B78" s="313" t="n"/>
      <c r="C78" s="313" t="n"/>
      <c r="D78" s="313" t="n"/>
      <c r="E78" s="313" t="n"/>
      <c r="F78" s="313" t="n"/>
      <c r="G78" s="313" t="n"/>
      <c r="H78" s="313" t="n"/>
      <c r="I78" s="313" t="n"/>
      <c r="J78" s="313" t="n"/>
      <c r="K78" s="313" t="n"/>
      <c r="L78" s="313" t="n"/>
      <c r="M78" s="674" t="n"/>
      <c r="N78" s="675" t="inlineStr">
        <is>
          <t>Итого</t>
        </is>
      </c>
      <c r="O78" s="645" t="n"/>
      <c r="P78" s="645" t="n"/>
      <c r="Q78" s="645" t="n"/>
      <c r="R78" s="645" t="n"/>
      <c r="S78" s="645" t="n"/>
      <c r="T78" s="646" t="n"/>
      <c r="U78" s="43" t="inlineStr">
        <is>
          <t>кг</t>
        </is>
      </c>
      <c r="V78" s="676">
        <f>IFERROR(SUM(V62:V76),"0")</f>
        <v/>
      </c>
      <c r="W78" s="676">
        <f>IFERROR(SUM(W62:W76),"0")</f>
        <v/>
      </c>
      <c r="X78" s="43" t="n"/>
      <c r="Y78" s="677" t="n"/>
      <c r="Z78" s="677" t="n"/>
    </row>
    <row r="79" ht="14.25" customHeight="1">
      <c r="A79" s="330" t="inlineStr">
        <is>
          <t>Ветчины</t>
        </is>
      </c>
      <c r="B79" s="313" t="n"/>
      <c r="C79" s="313" t="n"/>
      <c r="D79" s="313" t="n"/>
      <c r="E79" s="313" t="n"/>
      <c r="F79" s="313" t="n"/>
      <c r="G79" s="313" t="n"/>
      <c r="H79" s="313" t="n"/>
      <c r="I79" s="313" t="n"/>
      <c r="J79" s="313" t="n"/>
      <c r="K79" s="313" t="n"/>
      <c r="L79" s="313" t="n"/>
      <c r="M79" s="313" t="n"/>
      <c r="N79" s="313" t="n"/>
      <c r="O79" s="313" t="n"/>
      <c r="P79" s="313" t="n"/>
      <c r="Q79" s="313" t="n"/>
      <c r="R79" s="313" t="n"/>
      <c r="S79" s="313" t="n"/>
      <c r="T79" s="313" t="n"/>
      <c r="U79" s="313" t="n"/>
      <c r="V79" s="313" t="n"/>
      <c r="W79" s="313" t="n"/>
      <c r="X79" s="313" t="n"/>
      <c r="Y79" s="330" t="n"/>
      <c r="Z79" s="330" t="n"/>
    </row>
    <row r="80" ht="27" customHeight="1">
      <c r="A80" s="64" t="inlineStr">
        <is>
          <t>SU002488</t>
        </is>
      </c>
      <c r="B80" s="64" t="inlineStr">
        <is>
          <t>P002800</t>
        </is>
      </c>
      <c r="C80" s="37" t="n">
        <v>4301020189</v>
      </c>
      <c r="D80" s="325" t="n">
        <v>4607091384789</v>
      </c>
      <c r="E80" s="637" t="n"/>
      <c r="F80" s="669" t="n">
        <v>1</v>
      </c>
      <c r="G80" s="38" t="n">
        <v>6</v>
      </c>
      <c r="H80" s="669" t="n">
        <v>6</v>
      </c>
      <c r="I80" s="669" t="n">
        <v>6.36</v>
      </c>
      <c r="J80" s="38" t="n">
        <v>104</v>
      </c>
      <c r="K80" s="38" t="inlineStr">
        <is>
          <t>8</t>
        </is>
      </c>
      <c r="L80" s="39" t="inlineStr">
        <is>
          <t>СК1</t>
        </is>
      </c>
      <c r="M80" s="38" t="n">
        <v>45</v>
      </c>
      <c r="N80" s="707" t="inlineStr">
        <is>
          <t>Ветчины Запекуша с сочным окороком Вязанка Весовые П/а Вязанка</t>
        </is>
      </c>
      <c r="O80" s="671" t="n"/>
      <c r="P80" s="671" t="n"/>
      <c r="Q80" s="671" t="n"/>
      <c r="R80" s="637" t="n"/>
      <c r="S80" s="40" t="inlineStr"/>
      <c r="T80" s="40" t="inlineStr"/>
      <c r="U80" s="41" t="inlineStr">
        <is>
          <t>кг</t>
        </is>
      </c>
      <c r="V80" s="672" t="n">
        <v>0</v>
      </c>
      <c r="W80" s="673">
        <f>IFERROR(IF(V80="",0,CEILING((V80/$H80),1)*$H80),"")</f>
        <v/>
      </c>
      <c r="X80" s="42">
        <f>IFERROR(IF(W80=0,"",ROUNDUP(W80/H80,0)*0.01196),"")</f>
        <v/>
      </c>
      <c r="Y80" s="69" t="inlineStr"/>
      <c r="Z80" s="70" t="inlineStr"/>
      <c r="AD80" s="71" t="n"/>
      <c r="BA80" s="103" t="inlineStr">
        <is>
          <t>КИ</t>
        </is>
      </c>
    </row>
    <row r="81" ht="16.5" customHeight="1">
      <c r="A81" s="64" t="inlineStr">
        <is>
          <t>SU002833</t>
        </is>
      </c>
      <c r="B81" s="64" t="inlineStr">
        <is>
          <t>P003236</t>
        </is>
      </c>
      <c r="C81" s="37" t="n">
        <v>4301020235</v>
      </c>
      <c r="D81" s="325" t="n">
        <v>4680115881488</v>
      </c>
      <c r="E81" s="637" t="n"/>
      <c r="F81" s="669" t="n">
        <v>1.35</v>
      </c>
      <c r="G81" s="38" t="n">
        <v>8</v>
      </c>
      <c r="H81" s="669" t="n">
        <v>10.8</v>
      </c>
      <c r="I81" s="669" t="n">
        <v>11.28</v>
      </c>
      <c r="J81" s="38" t="n">
        <v>48</v>
      </c>
      <c r="K81" s="38" t="inlineStr">
        <is>
          <t>8</t>
        </is>
      </c>
      <c r="L81" s="39" t="inlineStr">
        <is>
          <t>СК1</t>
        </is>
      </c>
      <c r="M81" s="38" t="n">
        <v>50</v>
      </c>
      <c r="N81" s="708">
        <f>HYPERLINK("https://abi.ru/products/Охлажденные/Вязанка/Вязанка/Ветчины/P003236/","Ветчины Сливушка с индейкой Вязанка вес П/а Вязанка")</f>
        <v/>
      </c>
      <c r="O81" s="671" t="n"/>
      <c r="P81" s="671" t="n"/>
      <c r="Q81" s="671" t="n"/>
      <c r="R81" s="637" t="n"/>
      <c r="S81" s="40" t="inlineStr"/>
      <c r="T81" s="40" t="inlineStr"/>
      <c r="U81" s="41" t="inlineStr">
        <is>
          <t>кг</t>
        </is>
      </c>
      <c r="V81" s="672" t="n">
        <v>43</v>
      </c>
      <c r="W81" s="673">
        <f>IFERROR(IF(V81="",0,CEILING((V81/$H81),1)*$H81),"")</f>
        <v/>
      </c>
      <c r="X81" s="42">
        <f>IFERROR(IF(W81=0,"",ROUNDUP(W81/H81,0)*0.02175),"")</f>
        <v/>
      </c>
      <c r="Y81" s="69" t="inlineStr"/>
      <c r="Z81" s="70" t="inlineStr"/>
      <c r="AD81" s="71" t="n"/>
      <c r="BA81" s="104" t="inlineStr">
        <is>
          <t>КИ</t>
        </is>
      </c>
    </row>
    <row r="82" ht="27" customHeight="1">
      <c r="A82" s="64" t="inlineStr">
        <is>
          <t>SU002313</t>
        </is>
      </c>
      <c r="B82" s="64" t="inlineStr">
        <is>
          <t>P002583</t>
        </is>
      </c>
      <c r="C82" s="37" t="n">
        <v>4301020183</v>
      </c>
      <c r="D82" s="325" t="n">
        <v>4607091384765</v>
      </c>
      <c r="E82" s="637" t="n"/>
      <c r="F82" s="669" t="n">
        <v>0.42</v>
      </c>
      <c r="G82" s="38" t="n">
        <v>6</v>
      </c>
      <c r="H82" s="669" t="n">
        <v>2.52</v>
      </c>
      <c r="I82" s="669" t="n">
        <v>2.72</v>
      </c>
      <c r="J82" s="38" t="n">
        <v>156</v>
      </c>
      <c r="K82" s="38" t="inlineStr">
        <is>
          <t>12</t>
        </is>
      </c>
      <c r="L82" s="39" t="inlineStr">
        <is>
          <t>СК1</t>
        </is>
      </c>
      <c r="M82" s="38" t="n">
        <v>45</v>
      </c>
      <c r="N82" s="709" t="inlineStr">
        <is>
          <t>Ветчины Запекуша с сочным окороком Вязанка Фикс.вес 0,42 п/а Вязанка</t>
        </is>
      </c>
      <c r="O82" s="671" t="n"/>
      <c r="P82" s="671" t="n"/>
      <c r="Q82" s="671" t="n"/>
      <c r="R82" s="637" t="n"/>
      <c r="S82" s="40" t="inlineStr"/>
      <c r="T82" s="40" t="inlineStr"/>
      <c r="U82" s="41" t="inlineStr">
        <is>
          <t>кг</t>
        </is>
      </c>
      <c r="V82" s="672" t="n">
        <v>0</v>
      </c>
      <c r="W82" s="673">
        <f>IFERROR(IF(V82="",0,CEILING((V82/$H82),1)*$H82),"")</f>
        <v/>
      </c>
      <c r="X82" s="42">
        <f>IFERROR(IF(W82=0,"",ROUNDUP(W82/H82,0)*0.00753),"")</f>
        <v/>
      </c>
      <c r="Y82" s="69" t="inlineStr"/>
      <c r="Z82" s="70" t="inlineStr"/>
      <c r="AD82" s="71" t="n"/>
      <c r="BA82" s="105" t="inlineStr">
        <is>
          <t>КИ</t>
        </is>
      </c>
    </row>
    <row r="83" ht="27" customHeight="1">
      <c r="A83" s="64" t="inlineStr">
        <is>
          <t>SU002786</t>
        </is>
      </c>
      <c r="B83" s="64" t="inlineStr">
        <is>
          <t>P003188</t>
        </is>
      </c>
      <c r="C83" s="37" t="n">
        <v>4301020228</v>
      </c>
      <c r="D83" s="325" t="n">
        <v>4680115882751</v>
      </c>
      <c r="E83" s="637" t="n"/>
      <c r="F83" s="669" t="n">
        <v>0.45</v>
      </c>
      <c r="G83" s="38" t="n">
        <v>10</v>
      </c>
      <c r="H83" s="669" t="n">
        <v>4.5</v>
      </c>
      <c r="I83" s="669" t="n">
        <v>4.74</v>
      </c>
      <c r="J83" s="38" t="n">
        <v>120</v>
      </c>
      <c r="K83" s="38" t="inlineStr">
        <is>
          <t>12</t>
        </is>
      </c>
      <c r="L83" s="39" t="inlineStr">
        <is>
          <t>СК1</t>
        </is>
      </c>
      <c r="M83" s="38" t="n">
        <v>90</v>
      </c>
      <c r="N83" s="710" t="inlineStr">
        <is>
          <t>Ветчины «Филейская #Живой_пар» ф/в 0,45 п/а ТМ «Вязанка»</t>
        </is>
      </c>
      <c r="O83" s="671" t="n"/>
      <c r="P83" s="671" t="n"/>
      <c r="Q83" s="671" t="n"/>
      <c r="R83" s="637" t="n"/>
      <c r="S83" s="40" t="inlineStr"/>
      <c r="T83" s="40" t="inlineStr"/>
      <c r="U83" s="41" t="inlineStr">
        <is>
          <t>кг</t>
        </is>
      </c>
      <c r="V83" s="672" t="n">
        <v>0</v>
      </c>
      <c r="W83" s="673">
        <f>IFERROR(IF(V83="",0,CEILING((V83/$H83),1)*$H83),"")</f>
        <v/>
      </c>
      <c r="X83" s="42">
        <f>IFERROR(IF(W83=0,"",ROUNDUP(W83/H83,0)*0.00937),"")</f>
        <v/>
      </c>
      <c r="Y83" s="69" t="inlineStr"/>
      <c r="Z83" s="70" t="inlineStr"/>
      <c r="AD83" s="71" t="n"/>
      <c r="BA83" s="106" t="inlineStr">
        <is>
          <t>КИ</t>
        </is>
      </c>
    </row>
    <row r="84" ht="27" customHeight="1">
      <c r="A84" s="64" t="inlineStr">
        <is>
          <t>SU003037</t>
        </is>
      </c>
      <c r="B84" s="64" t="inlineStr">
        <is>
          <t>P003575</t>
        </is>
      </c>
      <c r="C84" s="37" t="n">
        <v>4301020258</v>
      </c>
      <c r="D84" s="325" t="n">
        <v>4680115882775</v>
      </c>
      <c r="E84" s="637" t="n"/>
      <c r="F84" s="669" t="n">
        <v>0.3</v>
      </c>
      <c r="G84" s="38" t="n">
        <v>8</v>
      </c>
      <c r="H84" s="669" t="n">
        <v>2.4</v>
      </c>
      <c r="I84" s="669" t="n">
        <v>2.5</v>
      </c>
      <c r="J84" s="38" t="n">
        <v>234</v>
      </c>
      <c r="K84" s="38" t="inlineStr">
        <is>
          <t>18</t>
        </is>
      </c>
      <c r="L84" s="39" t="inlineStr">
        <is>
          <t>СК3</t>
        </is>
      </c>
      <c r="M84" s="38" t="n">
        <v>50</v>
      </c>
      <c r="N84" s="711" t="inlineStr">
        <is>
          <t>Ветчины «Сливушка с индейкой» Фикс.вес 0,3 П/а ТМ «Вязанка»</t>
        </is>
      </c>
      <c r="O84" s="671" t="n"/>
      <c r="P84" s="671" t="n"/>
      <c r="Q84" s="671" t="n"/>
      <c r="R84" s="637" t="n"/>
      <c r="S84" s="40" t="inlineStr"/>
      <c r="T84" s="40" t="inlineStr"/>
      <c r="U84" s="41" t="inlineStr">
        <is>
          <t>кг</t>
        </is>
      </c>
      <c r="V84" s="672" t="n">
        <v>0</v>
      </c>
      <c r="W84" s="673">
        <f>IFERROR(IF(V84="",0,CEILING((V84/$H84),1)*$H84),"")</f>
        <v/>
      </c>
      <c r="X84" s="42">
        <f>IFERROR(IF(W84=0,"",ROUNDUP(W84/H84,0)*0.00502),"")</f>
        <v/>
      </c>
      <c r="Y84" s="69" t="inlineStr"/>
      <c r="Z84" s="70" t="inlineStr"/>
      <c r="AD84" s="71" t="n"/>
      <c r="BA84" s="107" t="inlineStr">
        <is>
          <t>КИ</t>
        </is>
      </c>
    </row>
    <row r="85" ht="27" customHeight="1">
      <c r="A85" s="64" t="inlineStr">
        <is>
          <t>SU002735</t>
        </is>
      </c>
      <c r="B85" s="64" t="inlineStr">
        <is>
          <t>P003107</t>
        </is>
      </c>
      <c r="C85" s="37" t="n">
        <v>4301020217</v>
      </c>
      <c r="D85" s="325" t="n">
        <v>4680115880658</v>
      </c>
      <c r="E85" s="637" t="n"/>
      <c r="F85" s="669" t="n">
        <v>0.4</v>
      </c>
      <c r="G85" s="38" t="n">
        <v>6</v>
      </c>
      <c r="H85" s="669" t="n">
        <v>2.4</v>
      </c>
      <c r="I85" s="669" t="n">
        <v>2.6</v>
      </c>
      <c r="J85" s="38" t="n">
        <v>156</v>
      </c>
      <c r="K85" s="38" t="inlineStr">
        <is>
          <t>12</t>
        </is>
      </c>
      <c r="L85" s="39" t="inlineStr">
        <is>
          <t>СК1</t>
        </is>
      </c>
      <c r="M85" s="38" t="n">
        <v>50</v>
      </c>
      <c r="N85" s="712">
        <f>HYPERLINK("https://abi.ru/products/Охлажденные/Вязанка/Вязанка/Ветчины/P003107/","Ветчины Сливушка с индейкой Вязанка Фикс.вес 0,4 П/а Вязанка")</f>
        <v/>
      </c>
      <c r="O85" s="671" t="n"/>
      <c r="P85" s="671" t="n"/>
      <c r="Q85" s="671" t="n"/>
      <c r="R85" s="637" t="n"/>
      <c r="S85" s="40" t="inlineStr"/>
      <c r="T85" s="40" t="inlineStr"/>
      <c r="U85" s="41" t="inlineStr">
        <is>
          <t>кг</t>
        </is>
      </c>
      <c r="V85" s="672" t="n">
        <v>3</v>
      </c>
      <c r="W85" s="673">
        <f>IFERROR(IF(V85="",0,CEILING((V85/$H85),1)*$H85),"")</f>
        <v/>
      </c>
      <c r="X85" s="42">
        <f>IFERROR(IF(W85=0,"",ROUNDUP(W85/H85,0)*0.00753),"")</f>
        <v/>
      </c>
      <c r="Y85" s="69" t="inlineStr"/>
      <c r="Z85" s="70" t="inlineStr"/>
      <c r="AD85" s="71" t="n"/>
      <c r="BA85" s="108" t="inlineStr">
        <is>
          <t>КИ</t>
        </is>
      </c>
    </row>
    <row r="86" ht="27" customHeight="1">
      <c r="A86" s="64" t="inlineStr">
        <is>
          <t>SU000082</t>
        </is>
      </c>
      <c r="B86" s="64" t="inlineStr">
        <is>
          <t>P003164</t>
        </is>
      </c>
      <c r="C86" s="37" t="n">
        <v>4301020223</v>
      </c>
      <c r="D86" s="325" t="n">
        <v>4607091381962</v>
      </c>
      <c r="E86" s="637" t="n"/>
      <c r="F86" s="669" t="n">
        <v>0.5</v>
      </c>
      <c r="G86" s="38" t="n">
        <v>6</v>
      </c>
      <c r="H86" s="669" t="n">
        <v>3</v>
      </c>
      <c r="I86" s="669" t="n">
        <v>3.2</v>
      </c>
      <c r="J86" s="38" t="n">
        <v>156</v>
      </c>
      <c r="K86" s="38" t="inlineStr">
        <is>
          <t>12</t>
        </is>
      </c>
      <c r="L86" s="39" t="inlineStr">
        <is>
          <t>СК1</t>
        </is>
      </c>
      <c r="M86" s="38" t="n">
        <v>50</v>
      </c>
      <c r="N86" s="713">
        <f>HYPERLINK("https://abi.ru/products/Охлажденные/Вязанка/Вязанка/Ветчины/P003164/","Ветчины Столичная Вязанка Фикс.вес 0,5 Вектор Вязанка")</f>
        <v/>
      </c>
      <c r="O86" s="671" t="n"/>
      <c r="P86" s="671" t="n"/>
      <c r="Q86" s="671" t="n"/>
      <c r="R86" s="637" t="n"/>
      <c r="S86" s="40" t="inlineStr"/>
      <c r="T86" s="40" t="inlineStr"/>
      <c r="U86" s="41" t="inlineStr">
        <is>
          <t>кг</t>
        </is>
      </c>
      <c r="V86" s="672" t="n">
        <v>0</v>
      </c>
      <c r="W86" s="673">
        <f>IFERROR(IF(V86="",0,CEILING((V86/$H86),1)*$H86),"")</f>
        <v/>
      </c>
      <c r="X86" s="42">
        <f>IFERROR(IF(W86=0,"",ROUNDUP(W86/H86,0)*0.00753),"")</f>
        <v/>
      </c>
      <c r="Y86" s="69" t="inlineStr"/>
      <c r="Z86" s="70" t="inlineStr"/>
      <c r="AD86" s="71" t="n"/>
      <c r="BA86" s="109" t="inlineStr">
        <is>
          <t>КИ</t>
        </is>
      </c>
    </row>
    <row r="87">
      <c r="A87" s="320" t="n"/>
      <c r="B87" s="313" t="n"/>
      <c r="C87" s="313" t="n"/>
      <c r="D87" s="313" t="n"/>
      <c r="E87" s="313" t="n"/>
      <c r="F87" s="313" t="n"/>
      <c r="G87" s="313" t="n"/>
      <c r="H87" s="313" t="n"/>
      <c r="I87" s="313" t="n"/>
      <c r="J87" s="313" t="n"/>
      <c r="K87" s="313" t="n"/>
      <c r="L87" s="313" t="n"/>
      <c r="M87" s="674" t="n"/>
      <c r="N87" s="675" t="inlineStr">
        <is>
          <t>Итого</t>
        </is>
      </c>
      <c r="O87" s="645" t="n"/>
      <c r="P87" s="645" t="n"/>
      <c r="Q87" s="645" t="n"/>
      <c r="R87" s="645" t="n"/>
      <c r="S87" s="645" t="n"/>
      <c r="T87" s="646" t="n"/>
      <c r="U87" s="43" t="inlineStr">
        <is>
          <t>кор</t>
        </is>
      </c>
      <c r="V87" s="676">
        <f>IFERROR(V80/H80,"0")+IFERROR(V81/H81,"0")+IFERROR(V82/H82,"0")+IFERROR(V83/H83,"0")+IFERROR(V84/H84,"0")+IFERROR(V85/H85,"0")+IFERROR(V86/H86,"0")</f>
        <v/>
      </c>
      <c r="W87" s="676">
        <f>IFERROR(W80/H80,"0")+IFERROR(W81/H81,"0")+IFERROR(W82/H82,"0")+IFERROR(W83/H83,"0")+IFERROR(W84/H84,"0")+IFERROR(W85/H85,"0")+IFERROR(W86/H86,"0")</f>
        <v/>
      </c>
      <c r="X87" s="676">
        <f>IFERROR(IF(X80="",0,X80),"0")+IFERROR(IF(X81="",0,X81),"0")+IFERROR(IF(X82="",0,X82),"0")+IFERROR(IF(X83="",0,X83),"0")+IFERROR(IF(X84="",0,X84),"0")+IFERROR(IF(X85="",0,X85),"0")+IFERROR(IF(X86="",0,X86),"0")</f>
        <v/>
      </c>
      <c r="Y87" s="677" t="n"/>
      <c r="Z87" s="677" t="n"/>
    </row>
    <row r="88">
      <c r="A88" s="313" t="n"/>
      <c r="B88" s="313" t="n"/>
      <c r="C88" s="313" t="n"/>
      <c r="D88" s="313" t="n"/>
      <c r="E88" s="313" t="n"/>
      <c r="F88" s="313" t="n"/>
      <c r="G88" s="313" t="n"/>
      <c r="H88" s="313" t="n"/>
      <c r="I88" s="313" t="n"/>
      <c r="J88" s="313" t="n"/>
      <c r="K88" s="313" t="n"/>
      <c r="L88" s="313" t="n"/>
      <c r="M88" s="674" t="n"/>
      <c r="N88" s="675" t="inlineStr">
        <is>
          <t>Итого</t>
        </is>
      </c>
      <c r="O88" s="645" t="n"/>
      <c r="P88" s="645" t="n"/>
      <c r="Q88" s="645" t="n"/>
      <c r="R88" s="645" t="n"/>
      <c r="S88" s="645" t="n"/>
      <c r="T88" s="646" t="n"/>
      <c r="U88" s="43" t="inlineStr">
        <is>
          <t>кг</t>
        </is>
      </c>
      <c r="V88" s="676">
        <f>IFERROR(SUM(V80:V86),"0")</f>
        <v/>
      </c>
      <c r="W88" s="676">
        <f>IFERROR(SUM(W80:W86),"0")</f>
        <v/>
      </c>
      <c r="X88" s="43" t="n"/>
      <c r="Y88" s="677" t="n"/>
      <c r="Z88" s="677" t="n"/>
    </row>
    <row r="89" ht="14.25" customHeight="1">
      <c r="A89" s="330" t="inlineStr">
        <is>
          <t>Копченые колбасы</t>
        </is>
      </c>
      <c r="B89" s="313" t="n"/>
      <c r="C89" s="313" t="n"/>
      <c r="D89" s="313" t="n"/>
      <c r="E89" s="313" t="n"/>
      <c r="F89" s="313" t="n"/>
      <c r="G89" s="313" t="n"/>
      <c r="H89" s="313" t="n"/>
      <c r="I89" s="313" t="n"/>
      <c r="J89" s="313" t="n"/>
      <c r="K89" s="313" t="n"/>
      <c r="L89" s="313" t="n"/>
      <c r="M89" s="313" t="n"/>
      <c r="N89" s="313" t="n"/>
      <c r="O89" s="313" t="n"/>
      <c r="P89" s="313" t="n"/>
      <c r="Q89" s="313" t="n"/>
      <c r="R89" s="313" t="n"/>
      <c r="S89" s="313" t="n"/>
      <c r="T89" s="313" t="n"/>
      <c r="U89" s="313" t="n"/>
      <c r="V89" s="313" t="n"/>
      <c r="W89" s="313" t="n"/>
      <c r="X89" s="313" t="n"/>
      <c r="Y89" s="330" t="n"/>
      <c r="Z89" s="330" t="n"/>
    </row>
    <row r="90" ht="16.5" customHeight="1">
      <c r="A90" s="64" t="inlineStr">
        <is>
          <t>SU000064</t>
        </is>
      </c>
      <c r="B90" s="64" t="inlineStr">
        <is>
          <t>P001841</t>
        </is>
      </c>
      <c r="C90" s="37" t="n">
        <v>4301030895</v>
      </c>
      <c r="D90" s="325" t="n">
        <v>4607091387667</v>
      </c>
      <c r="E90" s="637" t="n"/>
      <c r="F90" s="669" t="n">
        <v>0.9</v>
      </c>
      <c r="G90" s="38" t="n">
        <v>10</v>
      </c>
      <c r="H90" s="669" t="n">
        <v>9</v>
      </c>
      <c r="I90" s="669" t="n">
        <v>9.630000000000001</v>
      </c>
      <c r="J90" s="38" t="n">
        <v>56</v>
      </c>
      <c r="K90" s="38" t="inlineStr">
        <is>
          <t>8</t>
        </is>
      </c>
      <c r="L90" s="39" t="inlineStr">
        <is>
          <t>СК1</t>
        </is>
      </c>
      <c r="M90" s="38" t="n">
        <v>40</v>
      </c>
      <c r="N90" s="714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O90" s="671" t="n"/>
      <c r="P90" s="671" t="n"/>
      <c r="Q90" s="671" t="n"/>
      <c r="R90" s="637" t="n"/>
      <c r="S90" s="40" t="inlineStr"/>
      <c r="T90" s="40" t="inlineStr"/>
      <c r="U90" s="41" t="inlineStr">
        <is>
          <t>кг</t>
        </is>
      </c>
      <c r="V90" s="672" t="n">
        <v>15</v>
      </c>
      <c r="W90" s="673">
        <f>IFERROR(IF(V90="",0,CEILING((V90/$H90),1)*$H90),"")</f>
        <v/>
      </c>
      <c r="X90" s="42">
        <f>IFERROR(IF(W90=0,"",ROUNDUP(W90/H90,0)*0.02175),"")</f>
        <v/>
      </c>
      <c r="Y90" s="69" t="inlineStr"/>
      <c r="Z90" s="70" t="inlineStr"/>
      <c r="AD90" s="71" t="n"/>
      <c r="BA90" s="110" t="inlineStr">
        <is>
          <t>КИ</t>
        </is>
      </c>
    </row>
    <row r="91" ht="27" customHeight="1">
      <c r="A91" s="64" t="inlineStr">
        <is>
          <t>SU000664</t>
        </is>
      </c>
      <c r="B91" s="64" t="inlineStr">
        <is>
          <t>P002177</t>
        </is>
      </c>
      <c r="C91" s="37" t="n">
        <v>4301030961</v>
      </c>
      <c r="D91" s="325" t="n">
        <v>4607091387636</v>
      </c>
      <c r="E91" s="637" t="n"/>
      <c r="F91" s="669" t="n">
        <v>0.7</v>
      </c>
      <c r="G91" s="38" t="n">
        <v>6</v>
      </c>
      <c r="H91" s="669" t="n">
        <v>4.2</v>
      </c>
      <c r="I91" s="669" t="n">
        <v>4.5</v>
      </c>
      <c r="J91" s="38" t="n">
        <v>120</v>
      </c>
      <c r="K91" s="38" t="inlineStr">
        <is>
          <t>12</t>
        </is>
      </c>
      <c r="L91" s="39" t="inlineStr">
        <is>
          <t>СК2</t>
        </is>
      </c>
      <c r="M91" s="38" t="n">
        <v>40</v>
      </c>
      <c r="N91" s="715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O91" s="671" t="n"/>
      <c r="P91" s="671" t="n"/>
      <c r="Q91" s="671" t="n"/>
      <c r="R91" s="637" t="n"/>
      <c r="S91" s="40" t="inlineStr"/>
      <c r="T91" s="40" t="inlineStr"/>
      <c r="U91" s="41" t="inlineStr">
        <is>
          <t>кг</t>
        </is>
      </c>
      <c r="V91" s="672" t="n">
        <v>0</v>
      </c>
      <c r="W91" s="673">
        <f>IFERROR(IF(V91="",0,CEILING((V91/$H91),1)*$H91),"")</f>
        <v/>
      </c>
      <c r="X91" s="42">
        <f>IFERROR(IF(W91=0,"",ROUNDUP(W91/H91,0)*0.00937),"")</f>
        <v/>
      </c>
      <c r="Y91" s="69" t="inlineStr"/>
      <c r="Z91" s="70" t="inlineStr"/>
      <c r="AD91" s="71" t="n"/>
      <c r="BA91" s="111" t="inlineStr">
        <is>
          <t>КИ</t>
        </is>
      </c>
    </row>
    <row r="92" ht="27" customHeight="1">
      <c r="A92" s="64" t="inlineStr">
        <is>
          <t>SU002308</t>
        </is>
      </c>
      <c r="B92" s="64" t="inlineStr">
        <is>
          <t>P002572</t>
        </is>
      </c>
      <c r="C92" s="37" t="n">
        <v>4301031078</v>
      </c>
      <c r="D92" s="325" t="n">
        <v>4607091384727</v>
      </c>
      <c r="E92" s="637" t="n"/>
      <c r="F92" s="669" t="n">
        <v>0.8</v>
      </c>
      <c r="G92" s="38" t="n">
        <v>6</v>
      </c>
      <c r="H92" s="669" t="n">
        <v>4.8</v>
      </c>
      <c r="I92" s="669" t="n">
        <v>5.16</v>
      </c>
      <c r="J92" s="38" t="n">
        <v>104</v>
      </c>
      <c r="K92" s="38" t="inlineStr">
        <is>
          <t>8</t>
        </is>
      </c>
      <c r="L92" s="39" t="inlineStr">
        <is>
          <t>СК2</t>
        </is>
      </c>
      <c r="M92" s="38" t="n">
        <v>45</v>
      </c>
      <c r="N92" s="716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O92" s="671" t="n"/>
      <c r="P92" s="671" t="n"/>
      <c r="Q92" s="671" t="n"/>
      <c r="R92" s="637" t="n"/>
      <c r="S92" s="40" t="inlineStr"/>
      <c r="T92" s="40" t="inlineStr"/>
      <c r="U92" s="41" t="inlineStr">
        <is>
          <t>кг</t>
        </is>
      </c>
      <c r="V92" s="672" t="n">
        <v>0</v>
      </c>
      <c r="W92" s="673">
        <f>IFERROR(IF(V92="",0,CEILING((V92/$H92),1)*$H92),"")</f>
        <v/>
      </c>
      <c r="X92" s="42">
        <f>IFERROR(IF(W92=0,"",ROUNDUP(W92/H92,0)*0.01196),"")</f>
        <v/>
      </c>
      <c r="Y92" s="69" t="inlineStr"/>
      <c r="Z92" s="70" t="inlineStr"/>
      <c r="AD92" s="71" t="n"/>
      <c r="BA92" s="112" t="inlineStr">
        <is>
          <t>КИ</t>
        </is>
      </c>
    </row>
    <row r="93" ht="27" customHeight="1">
      <c r="A93" s="64" t="inlineStr">
        <is>
          <t>SU002310</t>
        </is>
      </c>
      <c r="B93" s="64" t="inlineStr">
        <is>
          <t>P002574</t>
        </is>
      </c>
      <c r="C93" s="37" t="n">
        <v>4301031080</v>
      </c>
      <c r="D93" s="325" t="n">
        <v>4607091386745</v>
      </c>
      <c r="E93" s="637" t="n"/>
      <c r="F93" s="669" t="n">
        <v>0.8</v>
      </c>
      <c r="G93" s="38" t="n">
        <v>6</v>
      </c>
      <c r="H93" s="669" t="n">
        <v>4.8</v>
      </c>
      <c r="I93" s="669" t="n">
        <v>5.16</v>
      </c>
      <c r="J93" s="38" t="n">
        <v>104</v>
      </c>
      <c r="K93" s="38" t="inlineStr">
        <is>
          <t>8</t>
        </is>
      </c>
      <c r="L93" s="39" t="inlineStr">
        <is>
          <t>СК2</t>
        </is>
      </c>
      <c r="M93" s="38" t="n">
        <v>45</v>
      </c>
      <c r="N93" s="717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O93" s="671" t="n"/>
      <c r="P93" s="671" t="n"/>
      <c r="Q93" s="671" t="n"/>
      <c r="R93" s="637" t="n"/>
      <c r="S93" s="40" t="inlineStr"/>
      <c r="T93" s="40" t="inlineStr"/>
      <c r="U93" s="41" t="inlineStr">
        <is>
          <t>кг</t>
        </is>
      </c>
      <c r="V93" s="672" t="n">
        <v>0</v>
      </c>
      <c r="W93" s="673">
        <f>IFERROR(IF(V93="",0,CEILING((V93/$H93),1)*$H93),"")</f>
        <v/>
      </c>
      <c r="X93" s="42">
        <f>IFERROR(IF(W93=0,"",ROUNDUP(W93/H93,0)*0.01196),"")</f>
        <v/>
      </c>
      <c r="Y93" s="69" t="inlineStr"/>
      <c r="Z93" s="70" t="inlineStr"/>
      <c r="AD93" s="71" t="n"/>
      <c r="BA93" s="113" t="inlineStr">
        <is>
          <t>КИ</t>
        </is>
      </c>
    </row>
    <row r="94" ht="16.5" customHeight="1">
      <c r="A94" s="64" t="inlineStr">
        <is>
          <t>SU000097</t>
        </is>
      </c>
      <c r="B94" s="64" t="inlineStr">
        <is>
          <t>P002179</t>
        </is>
      </c>
      <c r="C94" s="37" t="n">
        <v>4301030963</v>
      </c>
      <c r="D94" s="325" t="n">
        <v>4607091382426</v>
      </c>
      <c r="E94" s="637" t="n"/>
      <c r="F94" s="669" t="n">
        <v>0.9</v>
      </c>
      <c r="G94" s="38" t="n">
        <v>10</v>
      </c>
      <c r="H94" s="669" t="n">
        <v>9</v>
      </c>
      <c r="I94" s="669" t="n">
        <v>9.630000000000001</v>
      </c>
      <c r="J94" s="38" t="n">
        <v>56</v>
      </c>
      <c r="K94" s="38" t="inlineStr">
        <is>
          <t>8</t>
        </is>
      </c>
      <c r="L94" s="39" t="inlineStr">
        <is>
          <t>СК2</t>
        </is>
      </c>
      <c r="M94" s="38" t="n">
        <v>40</v>
      </c>
      <c r="N94" s="718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O94" s="671" t="n"/>
      <c r="P94" s="671" t="n"/>
      <c r="Q94" s="671" t="n"/>
      <c r="R94" s="637" t="n"/>
      <c r="S94" s="40" t="inlineStr"/>
      <c r="T94" s="40" t="inlineStr"/>
      <c r="U94" s="41" t="inlineStr">
        <is>
          <t>кг</t>
        </is>
      </c>
      <c r="V94" s="672" t="n">
        <v>0</v>
      </c>
      <c r="W94" s="673">
        <f>IFERROR(IF(V94="",0,CEILING((V94/$H94),1)*$H94),"")</f>
        <v/>
      </c>
      <c r="X94" s="42">
        <f>IFERROR(IF(W94=0,"",ROUNDUP(W94/H94,0)*0.02175),"")</f>
        <v/>
      </c>
      <c r="Y94" s="69" t="inlineStr"/>
      <c r="Z94" s="70" t="inlineStr"/>
      <c r="AD94" s="71" t="n"/>
      <c r="BA94" s="114" t="inlineStr">
        <is>
          <t>КИ</t>
        </is>
      </c>
    </row>
    <row r="95" ht="27" customHeight="1">
      <c r="A95" s="64" t="inlineStr">
        <is>
          <t>SU000665</t>
        </is>
      </c>
      <c r="B95" s="64" t="inlineStr">
        <is>
          <t>P002178</t>
        </is>
      </c>
      <c r="C95" s="37" t="n">
        <v>4301030962</v>
      </c>
      <c r="D95" s="325" t="n">
        <v>4607091386547</v>
      </c>
      <c r="E95" s="637" t="n"/>
      <c r="F95" s="669" t="n">
        <v>0.35</v>
      </c>
      <c r="G95" s="38" t="n">
        <v>8</v>
      </c>
      <c r="H95" s="669" t="n">
        <v>2.8</v>
      </c>
      <c r="I95" s="669" t="n">
        <v>2.94</v>
      </c>
      <c r="J95" s="38" t="n">
        <v>234</v>
      </c>
      <c r="K95" s="38" t="inlineStr">
        <is>
          <t>18</t>
        </is>
      </c>
      <c r="L95" s="39" t="inlineStr">
        <is>
          <t>СК2</t>
        </is>
      </c>
      <c r="M95" s="38" t="n">
        <v>40</v>
      </c>
      <c r="N95" s="719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O95" s="671" t="n"/>
      <c r="P95" s="671" t="n"/>
      <c r="Q95" s="671" t="n"/>
      <c r="R95" s="637" t="n"/>
      <c r="S95" s="40" t="inlineStr"/>
      <c r="T95" s="40" t="inlineStr"/>
      <c r="U95" s="41" t="inlineStr">
        <is>
          <t>кг</t>
        </is>
      </c>
      <c r="V95" s="672" t="n">
        <v>0</v>
      </c>
      <c r="W95" s="673">
        <f>IFERROR(IF(V95="",0,CEILING((V95/$H95),1)*$H95),"")</f>
        <v/>
      </c>
      <c r="X95" s="42">
        <f>IFERROR(IF(W95=0,"",ROUNDUP(W95/H95,0)*0.00502),"")</f>
        <v/>
      </c>
      <c r="Y95" s="69" t="inlineStr"/>
      <c r="Z95" s="70" t="inlineStr"/>
      <c r="AD95" s="71" t="n"/>
      <c r="BA95" s="115" t="inlineStr">
        <is>
          <t>КИ</t>
        </is>
      </c>
    </row>
    <row r="96" ht="27" customHeight="1">
      <c r="A96" s="64" t="inlineStr">
        <is>
          <t>SU002309</t>
        </is>
      </c>
      <c r="B96" s="64" t="inlineStr">
        <is>
          <t>P002573</t>
        </is>
      </c>
      <c r="C96" s="37" t="n">
        <v>4301031079</v>
      </c>
      <c r="D96" s="325" t="n">
        <v>4607091384734</v>
      </c>
      <c r="E96" s="637" t="n"/>
      <c r="F96" s="669" t="n">
        <v>0.35</v>
      </c>
      <c r="G96" s="38" t="n">
        <v>6</v>
      </c>
      <c r="H96" s="669" t="n">
        <v>2.1</v>
      </c>
      <c r="I96" s="669" t="n">
        <v>2.2</v>
      </c>
      <c r="J96" s="38" t="n">
        <v>234</v>
      </c>
      <c r="K96" s="38" t="inlineStr">
        <is>
          <t>18</t>
        </is>
      </c>
      <c r="L96" s="39" t="inlineStr">
        <is>
          <t>СК2</t>
        </is>
      </c>
      <c r="M96" s="38" t="n">
        <v>45</v>
      </c>
      <c r="N96" s="720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O96" s="671" t="n"/>
      <c r="P96" s="671" t="n"/>
      <c r="Q96" s="671" t="n"/>
      <c r="R96" s="637" t="n"/>
      <c r="S96" s="40" t="inlineStr"/>
      <c r="T96" s="40" t="inlineStr"/>
      <c r="U96" s="41" t="inlineStr">
        <is>
          <t>кг</t>
        </is>
      </c>
      <c r="V96" s="672" t="n">
        <v>3</v>
      </c>
      <c r="W96" s="673">
        <f>IFERROR(IF(V96="",0,CEILING((V96/$H96),1)*$H96),"")</f>
        <v/>
      </c>
      <c r="X96" s="42">
        <f>IFERROR(IF(W96=0,"",ROUNDUP(W96/H96,0)*0.00502),"")</f>
        <v/>
      </c>
      <c r="Y96" s="69" t="inlineStr"/>
      <c r="Z96" s="70" t="inlineStr"/>
      <c r="AD96" s="71" t="n"/>
      <c r="BA96" s="116" t="inlineStr">
        <is>
          <t>КИ</t>
        </is>
      </c>
    </row>
    <row r="97" ht="27" customHeight="1">
      <c r="A97" s="64" t="inlineStr">
        <is>
          <t>SU001605</t>
        </is>
      </c>
      <c r="B97" s="64" t="inlineStr">
        <is>
          <t>P002180</t>
        </is>
      </c>
      <c r="C97" s="37" t="n">
        <v>4301030964</v>
      </c>
      <c r="D97" s="325" t="n">
        <v>4607091382464</v>
      </c>
      <c r="E97" s="637" t="n"/>
      <c r="F97" s="669" t="n">
        <v>0.35</v>
      </c>
      <c r="G97" s="38" t="n">
        <v>8</v>
      </c>
      <c r="H97" s="669" t="n">
        <v>2.8</v>
      </c>
      <c r="I97" s="669" t="n">
        <v>2.964</v>
      </c>
      <c r="J97" s="38" t="n">
        <v>234</v>
      </c>
      <c r="K97" s="38" t="inlineStr">
        <is>
          <t>18</t>
        </is>
      </c>
      <c r="L97" s="39" t="inlineStr">
        <is>
          <t>СК2</t>
        </is>
      </c>
      <c r="M97" s="38" t="n">
        <v>40</v>
      </c>
      <c r="N97" s="721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O97" s="671" t="n"/>
      <c r="P97" s="671" t="n"/>
      <c r="Q97" s="671" t="n"/>
      <c r="R97" s="637" t="n"/>
      <c r="S97" s="40" t="inlineStr"/>
      <c r="T97" s="40" t="inlineStr"/>
      <c r="U97" s="41" t="inlineStr">
        <is>
          <t>кг</t>
        </is>
      </c>
      <c r="V97" s="672" t="n">
        <v>0</v>
      </c>
      <c r="W97" s="673">
        <f>IFERROR(IF(V97="",0,CEILING((V97/$H97),1)*$H97),"")</f>
        <v/>
      </c>
      <c r="X97" s="42">
        <f>IFERROR(IF(W97=0,"",ROUNDUP(W97/H97,0)*0.00502),"")</f>
        <v/>
      </c>
      <c r="Y97" s="69" t="inlineStr"/>
      <c r="Z97" s="70" t="inlineStr"/>
      <c r="AD97" s="71" t="n"/>
      <c r="BA97" s="117" t="inlineStr">
        <is>
          <t>КИ</t>
        </is>
      </c>
    </row>
    <row r="98">
      <c r="A98" s="320" t="n"/>
      <c r="B98" s="313" t="n"/>
      <c r="C98" s="313" t="n"/>
      <c r="D98" s="313" t="n"/>
      <c r="E98" s="313" t="n"/>
      <c r="F98" s="313" t="n"/>
      <c r="G98" s="313" t="n"/>
      <c r="H98" s="313" t="n"/>
      <c r="I98" s="313" t="n"/>
      <c r="J98" s="313" t="n"/>
      <c r="K98" s="313" t="n"/>
      <c r="L98" s="313" t="n"/>
      <c r="M98" s="674" t="n"/>
      <c r="N98" s="675" t="inlineStr">
        <is>
          <t>Итого</t>
        </is>
      </c>
      <c r="O98" s="645" t="n"/>
      <c r="P98" s="645" t="n"/>
      <c r="Q98" s="645" t="n"/>
      <c r="R98" s="645" t="n"/>
      <c r="S98" s="645" t="n"/>
      <c r="T98" s="646" t="n"/>
      <c r="U98" s="43" t="inlineStr">
        <is>
          <t>кор</t>
        </is>
      </c>
      <c r="V98" s="676">
        <f>IFERROR(V90/H90,"0")+IFERROR(V91/H91,"0")+IFERROR(V92/H92,"0")+IFERROR(V93/H93,"0")+IFERROR(V94/H94,"0")+IFERROR(V95/H95,"0")+IFERROR(V96/H96,"0")+IFERROR(V97/H97,"0")</f>
        <v/>
      </c>
      <c r="W98" s="676">
        <f>IFERROR(W90/H90,"0")+IFERROR(W91/H91,"0")+IFERROR(W92/H92,"0")+IFERROR(W93/H93,"0")+IFERROR(W94/H94,"0")+IFERROR(W95/H95,"0")+IFERROR(W96/H96,"0")+IFERROR(W97/H97,"0")</f>
        <v/>
      </c>
      <c r="X98" s="676">
        <f>IFERROR(IF(X90="",0,X90),"0")+IFERROR(IF(X91="",0,X91),"0")+IFERROR(IF(X92="",0,X92),"0")+IFERROR(IF(X93="",0,X93),"0")+IFERROR(IF(X94="",0,X94),"0")+IFERROR(IF(X95="",0,X95),"0")+IFERROR(IF(X96="",0,X96),"0")+IFERROR(IF(X97="",0,X97),"0")</f>
        <v/>
      </c>
      <c r="Y98" s="677" t="n"/>
      <c r="Z98" s="677" t="n"/>
    </row>
    <row r="99">
      <c r="A99" s="313" t="n"/>
      <c r="B99" s="313" t="n"/>
      <c r="C99" s="313" t="n"/>
      <c r="D99" s="313" t="n"/>
      <c r="E99" s="313" t="n"/>
      <c r="F99" s="313" t="n"/>
      <c r="G99" s="313" t="n"/>
      <c r="H99" s="313" t="n"/>
      <c r="I99" s="313" t="n"/>
      <c r="J99" s="313" t="n"/>
      <c r="K99" s="313" t="n"/>
      <c r="L99" s="313" t="n"/>
      <c r="M99" s="674" t="n"/>
      <c r="N99" s="675" t="inlineStr">
        <is>
          <t>Итого</t>
        </is>
      </c>
      <c r="O99" s="645" t="n"/>
      <c r="P99" s="645" t="n"/>
      <c r="Q99" s="645" t="n"/>
      <c r="R99" s="645" t="n"/>
      <c r="S99" s="645" t="n"/>
      <c r="T99" s="646" t="n"/>
      <c r="U99" s="43" t="inlineStr">
        <is>
          <t>кг</t>
        </is>
      </c>
      <c r="V99" s="676">
        <f>IFERROR(SUM(V90:V97),"0")</f>
        <v/>
      </c>
      <c r="W99" s="676">
        <f>IFERROR(SUM(W90:W97),"0")</f>
        <v/>
      </c>
      <c r="X99" s="43" t="n"/>
      <c r="Y99" s="677" t="n"/>
      <c r="Z99" s="677" t="n"/>
    </row>
    <row r="100" ht="14.25" customHeight="1">
      <c r="A100" s="330" t="inlineStr">
        <is>
          <t>Сосиски</t>
        </is>
      </c>
      <c r="B100" s="313" t="n"/>
      <c r="C100" s="313" t="n"/>
      <c r="D100" s="313" t="n"/>
      <c r="E100" s="313" t="n"/>
      <c r="F100" s="313" t="n"/>
      <c r="G100" s="313" t="n"/>
      <c r="H100" s="313" t="n"/>
      <c r="I100" s="313" t="n"/>
      <c r="J100" s="313" t="n"/>
      <c r="K100" s="313" t="n"/>
      <c r="L100" s="313" t="n"/>
      <c r="M100" s="313" t="n"/>
      <c r="N100" s="313" t="n"/>
      <c r="O100" s="313" t="n"/>
      <c r="P100" s="313" t="n"/>
      <c r="Q100" s="313" t="n"/>
      <c r="R100" s="313" t="n"/>
      <c r="S100" s="313" t="n"/>
      <c r="T100" s="313" t="n"/>
      <c r="U100" s="313" t="n"/>
      <c r="V100" s="313" t="n"/>
      <c r="W100" s="313" t="n"/>
      <c r="X100" s="313" t="n"/>
      <c r="Y100" s="330" t="n"/>
      <c r="Z100" s="330" t="n"/>
    </row>
    <row r="101" ht="27" customHeight="1">
      <c r="A101" s="64" t="inlineStr">
        <is>
          <t>SU001523</t>
        </is>
      </c>
      <c r="B101" s="64" t="inlineStr">
        <is>
          <t>P003328</t>
        </is>
      </c>
      <c r="C101" s="37" t="n">
        <v>4301051437</v>
      </c>
      <c r="D101" s="325" t="n">
        <v>4607091386967</v>
      </c>
      <c r="E101" s="637" t="n"/>
      <c r="F101" s="669" t="n">
        <v>1.35</v>
      </c>
      <c r="G101" s="38" t="n">
        <v>6</v>
      </c>
      <c r="H101" s="669" t="n">
        <v>8.1</v>
      </c>
      <c r="I101" s="669" t="n">
        <v>8.664</v>
      </c>
      <c r="J101" s="38" t="n">
        <v>56</v>
      </c>
      <c r="K101" s="38" t="inlineStr">
        <is>
          <t>8</t>
        </is>
      </c>
      <c r="L101" s="39" t="inlineStr">
        <is>
          <t>СК3</t>
        </is>
      </c>
      <c r="M101" s="38" t="n">
        <v>45</v>
      </c>
      <c r="N101" s="722" t="inlineStr">
        <is>
          <t>Сосиски Молокуши (Вязанка Молочные) Вязанка Весовые П/а мгс Вязанка</t>
        </is>
      </c>
      <c r="O101" s="671" t="n"/>
      <c r="P101" s="671" t="n"/>
      <c r="Q101" s="671" t="n"/>
      <c r="R101" s="637" t="n"/>
      <c r="S101" s="40" t="inlineStr"/>
      <c r="T101" s="40" t="inlineStr"/>
      <c r="U101" s="41" t="inlineStr">
        <is>
          <t>кг</t>
        </is>
      </c>
      <c r="V101" s="672" t="n">
        <v>0</v>
      </c>
      <c r="W101" s="673">
        <f>IFERROR(IF(V101="",0,CEILING((V101/$H101),1)*$H101),"")</f>
        <v/>
      </c>
      <c r="X101" s="42">
        <f>IFERROR(IF(W101=0,"",ROUNDUP(W101/H101,0)*0.02175),"")</f>
        <v/>
      </c>
      <c r="Y101" s="69" t="inlineStr"/>
      <c r="Z101" s="70" t="inlineStr"/>
      <c r="AD101" s="71" t="n"/>
      <c r="BA101" s="118" t="inlineStr">
        <is>
          <t>КИ</t>
        </is>
      </c>
    </row>
    <row r="102" ht="27" customHeight="1">
      <c r="A102" s="64" t="inlineStr">
        <is>
          <t>SU001523</t>
        </is>
      </c>
      <c r="B102" s="64" t="inlineStr">
        <is>
          <t>P003691</t>
        </is>
      </c>
      <c r="C102" s="37" t="n">
        <v>4301051543</v>
      </c>
      <c r="D102" s="325" t="n">
        <v>4607091386967</v>
      </c>
      <c r="E102" s="637" t="n"/>
      <c r="F102" s="669" t="n">
        <v>1.4</v>
      </c>
      <c r="G102" s="38" t="n">
        <v>6</v>
      </c>
      <c r="H102" s="669" t="n">
        <v>8.4</v>
      </c>
      <c r="I102" s="669" t="n">
        <v>8.964</v>
      </c>
      <c r="J102" s="38" t="n">
        <v>56</v>
      </c>
      <c r="K102" s="38" t="inlineStr">
        <is>
          <t>8</t>
        </is>
      </c>
      <c r="L102" s="39" t="inlineStr">
        <is>
          <t>СК2</t>
        </is>
      </c>
      <c r="M102" s="38" t="n">
        <v>45</v>
      </c>
      <c r="N102" s="723" t="inlineStr">
        <is>
          <t>Сосиски «Молокуши (Вязанка Молочные)» Весовые П/а мгс УВВ ТМ «Вязанка»</t>
        </is>
      </c>
      <c r="O102" s="671" t="n"/>
      <c r="P102" s="671" t="n"/>
      <c r="Q102" s="671" t="n"/>
      <c r="R102" s="637" t="n"/>
      <c r="S102" s="40" t="inlineStr"/>
      <c r="T102" s="40" t="inlineStr"/>
      <c r="U102" s="41" t="inlineStr">
        <is>
          <t>кг</t>
        </is>
      </c>
      <c r="V102" s="672" t="n">
        <v>5</v>
      </c>
      <c r="W102" s="673">
        <f>IFERROR(IF(V102="",0,CEILING((V102/$H102),1)*$H102),"")</f>
        <v/>
      </c>
      <c r="X102" s="42">
        <f>IFERROR(IF(W102=0,"",ROUNDUP(W102/H102,0)*0.02175),"")</f>
        <v/>
      </c>
      <c r="Y102" s="69" t="inlineStr"/>
      <c r="Z102" s="70" t="inlineStr"/>
      <c r="AD102" s="71" t="n"/>
      <c r="BA102" s="119" t="inlineStr">
        <is>
          <t>КИ</t>
        </is>
      </c>
    </row>
    <row r="103" ht="16.5" customHeight="1">
      <c r="A103" s="64" t="inlineStr">
        <is>
          <t>SU001351</t>
        </is>
      </c>
      <c r="B103" s="64" t="inlineStr">
        <is>
          <t>P003904</t>
        </is>
      </c>
      <c r="C103" s="37" t="n">
        <v>4301051611</v>
      </c>
      <c r="D103" s="325" t="n">
        <v>4607091385304</v>
      </c>
      <c r="E103" s="637" t="n"/>
      <c r="F103" s="669" t="n">
        <v>1.4</v>
      </c>
      <c r="G103" s="38" t="n">
        <v>6</v>
      </c>
      <c r="H103" s="669" t="n">
        <v>8.4</v>
      </c>
      <c r="I103" s="669" t="n">
        <v>8.964</v>
      </c>
      <c r="J103" s="38" t="n">
        <v>56</v>
      </c>
      <c r="K103" s="38" t="inlineStr">
        <is>
          <t>8</t>
        </is>
      </c>
      <c r="L103" s="39" t="inlineStr">
        <is>
          <t>СК2</t>
        </is>
      </c>
      <c r="M103" s="38" t="n">
        <v>40</v>
      </c>
      <c r="N103" s="724" t="inlineStr">
        <is>
          <t>Сосиски «Рубленые» Весовые п/а мгс УВВ ТМ «Вязанка»</t>
        </is>
      </c>
      <c r="O103" s="671" t="n"/>
      <c r="P103" s="671" t="n"/>
      <c r="Q103" s="671" t="n"/>
      <c r="R103" s="637" t="n"/>
      <c r="S103" s="40" t="inlineStr"/>
      <c r="T103" s="40" t="inlineStr"/>
      <c r="U103" s="41" t="inlineStr">
        <is>
          <t>кг</t>
        </is>
      </c>
      <c r="V103" s="672" t="n">
        <v>0</v>
      </c>
      <c r="W103" s="673">
        <f>IFERROR(IF(V103="",0,CEILING((V103/$H103),1)*$H103),"")</f>
        <v/>
      </c>
      <c r="X103" s="42">
        <f>IFERROR(IF(W103=0,"",ROUNDUP(W103/H103,0)*0.02175),"")</f>
        <v/>
      </c>
      <c r="Y103" s="69" t="inlineStr"/>
      <c r="Z103" s="70" t="inlineStr"/>
      <c r="AD103" s="71" t="n"/>
      <c r="BA103" s="120" t="inlineStr">
        <is>
          <t>КИ</t>
        </is>
      </c>
    </row>
    <row r="104" ht="16.5" customHeight="1">
      <c r="A104" s="64" t="inlineStr">
        <is>
          <t>SU001527</t>
        </is>
      </c>
      <c r="B104" s="64" t="inlineStr">
        <is>
          <t>P002217</t>
        </is>
      </c>
      <c r="C104" s="37" t="n">
        <v>4301051306</v>
      </c>
      <c r="D104" s="325" t="n">
        <v>4607091386264</v>
      </c>
      <c r="E104" s="637" t="n"/>
      <c r="F104" s="669" t="n">
        <v>0.5</v>
      </c>
      <c r="G104" s="38" t="n">
        <v>6</v>
      </c>
      <c r="H104" s="669" t="n">
        <v>3</v>
      </c>
      <c r="I104" s="669" t="n">
        <v>3.278</v>
      </c>
      <c r="J104" s="38" t="n">
        <v>156</v>
      </c>
      <c r="K104" s="38" t="inlineStr">
        <is>
          <t>12</t>
        </is>
      </c>
      <c r="L104" s="39" t="inlineStr">
        <is>
          <t>СК2</t>
        </is>
      </c>
      <c r="M104" s="38" t="n">
        <v>31</v>
      </c>
      <c r="N104" s="725">
        <f>HYPERLINK("https://abi.ru/products/Охлажденные/Вязанка/Вязанка/Сосиски/P002217/","Сосиски Венские Вязанка Фикс.вес 0,5 NDX мгс Вязанка")</f>
        <v/>
      </c>
      <c r="O104" s="671" t="n"/>
      <c r="P104" s="671" t="n"/>
      <c r="Q104" s="671" t="n"/>
      <c r="R104" s="637" t="n"/>
      <c r="S104" s="40" t="inlineStr"/>
      <c r="T104" s="40" t="inlineStr"/>
      <c r="U104" s="41" t="inlineStr">
        <is>
          <t>кг</t>
        </is>
      </c>
      <c r="V104" s="672" t="n">
        <v>0</v>
      </c>
      <c r="W104" s="673">
        <f>IFERROR(IF(V104="",0,CEILING((V104/$H104),1)*$H104),"")</f>
        <v/>
      </c>
      <c r="X104" s="42">
        <f>IFERROR(IF(W104=0,"",ROUNDUP(W104/H104,0)*0.00753),"")</f>
        <v/>
      </c>
      <c r="Y104" s="69" t="inlineStr"/>
      <c r="Z104" s="70" t="inlineStr"/>
      <c r="AD104" s="71" t="n"/>
      <c r="BA104" s="121" t="inlineStr">
        <is>
          <t>КИ</t>
        </is>
      </c>
    </row>
    <row r="105" ht="27" customHeight="1">
      <c r="A105" s="64" t="inlineStr">
        <is>
          <t>SU001718</t>
        </is>
      </c>
      <c r="B105" s="64" t="inlineStr">
        <is>
          <t>P003327</t>
        </is>
      </c>
      <c r="C105" s="37" t="n">
        <v>4301051436</v>
      </c>
      <c r="D105" s="325" t="n">
        <v>4607091385731</v>
      </c>
      <c r="E105" s="637" t="n"/>
      <c r="F105" s="669" t="n">
        <v>0.45</v>
      </c>
      <c r="G105" s="38" t="n">
        <v>6</v>
      </c>
      <c r="H105" s="669" t="n">
        <v>2.7</v>
      </c>
      <c r="I105" s="669" t="n">
        <v>2.972</v>
      </c>
      <c r="J105" s="38" t="n">
        <v>156</v>
      </c>
      <c r="K105" s="38" t="inlineStr">
        <is>
          <t>12</t>
        </is>
      </c>
      <c r="L105" s="39" t="inlineStr">
        <is>
          <t>СК3</t>
        </is>
      </c>
      <c r="M105" s="38" t="n">
        <v>45</v>
      </c>
      <c r="N105" s="726" t="inlineStr">
        <is>
          <t>Сосиски Молокуши (Вязанка Молочные) Вязанка Фикс.вес 0,45 П/а мгс Вязанка</t>
        </is>
      </c>
      <c r="O105" s="671" t="n"/>
      <c r="P105" s="671" t="n"/>
      <c r="Q105" s="671" t="n"/>
      <c r="R105" s="637" t="n"/>
      <c r="S105" s="40" t="inlineStr"/>
      <c r="T105" s="40" t="inlineStr"/>
      <c r="U105" s="41" t="inlineStr">
        <is>
          <t>кг</t>
        </is>
      </c>
      <c r="V105" s="672" t="n">
        <v>46</v>
      </c>
      <c r="W105" s="673">
        <f>IFERROR(IF(V105="",0,CEILING((V105/$H105),1)*$H105),"")</f>
        <v/>
      </c>
      <c r="X105" s="42">
        <f>IFERROR(IF(W105=0,"",ROUNDUP(W105/H105,0)*0.00753),"")</f>
        <v/>
      </c>
      <c r="Y105" s="69" t="inlineStr"/>
      <c r="Z105" s="70" t="inlineStr"/>
      <c r="AD105" s="71" t="n"/>
      <c r="BA105" s="122" t="inlineStr">
        <is>
          <t>КИ</t>
        </is>
      </c>
    </row>
    <row r="106" ht="27" customHeight="1">
      <c r="A106" s="64" t="inlineStr">
        <is>
          <t>SU002658</t>
        </is>
      </c>
      <c r="B106" s="64" t="inlineStr">
        <is>
          <t>P003326</t>
        </is>
      </c>
      <c r="C106" s="37" t="n">
        <v>4301051439</v>
      </c>
      <c r="D106" s="325" t="n">
        <v>4680115880214</v>
      </c>
      <c r="E106" s="637" t="n"/>
      <c r="F106" s="669" t="n">
        <v>0.45</v>
      </c>
      <c r="G106" s="38" t="n">
        <v>6</v>
      </c>
      <c r="H106" s="669" t="n">
        <v>2.7</v>
      </c>
      <c r="I106" s="669" t="n">
        <v>2.988</v>
      </c>
      <c r="J106" s="38" t="n">
        <v>120</v>
      </c>
      <c r="K106" s="38" t="inlineStr">
        <is>
          <t>12</t>
        </is>
      </c>
      <c r="L106" s="39" t="inlineStr">
        <is>
          <t>СК3</t>
        </is>
      </c>
      <c r="M106" s="38" t="n">
        <v>45</v>
      </c>
      <c r="N106" s="727" t="inlineStr">
        <is>
          <t>Сосиски Молокуши миникушай Вязанка Ф/в 0,45 амилюкс мгс Вязанка</t>
        </is>
      </c>
      <c r="O106" s="671" t="n"/>
      <c r="P106" s="671" t="n"/>
      <c r="Q106" s="671" t="n"/>
      <c r="R106" s="637" t="n"/>
      <c r="S106" s="40" t="inlineStr"/>
      <c r="T106" s="40" t="inlineStr"/>
      <c r="U106" s="41" t="inlineStr">
        <is>
          <t>кг</t>
        </is>
      </c>
      <c r="V106" s="672" t="n">
        <v>0</v>
      </c>
      <c r="W106" s="673">
        <f>IFERROR(IF(V106="",0,CEILING((V106/$H106),1)*$H106),"")</f>
        <v/>
      </c>
      <c r="X106" s="42">
        <f>IFERROR(IF(W106=0,"",ROUNDUP(W106/H106,0)*0.00937),"")</f>
        <v/>
      </c>
      <c r="Y106" s="69" t="inlineStr"/>
      <c r="Z106" s="70" t="inlineStr"/>
      <c r="AD106" s="71" t="n"/>
      <c r="BA106" s="123" t="inlineStr">
        <is>
          <t>КИ</t>
        </is>
      </c>
    </row>
    <row r="107" ht="27" customHeight="1">
      <c r="A107" s="64" t="inlineStr">
        <is>
          <t>SU002769</t>
        </is>
      </c>
      <c r="B107" s="64" t="inlineStr">
        <is>
          <t>P003324</t>
        </is>
      </c>
      <c r="C107" s="37" t="n">
        <v>4301051438</v>
      </c>
      <c r="D107" s="325" t="n">
        <v>4680115880894</v>
      </c>
      <c r="E107" s="637" t="n"/>
      <c r="F107" s="669" t="n">
        <v>0.33</v>
      </c>
      <c r="G107" s="38" t="n">
        <v>6</v>
      </c>
      <c r="H107" s="669" t="n">
        <v>1.98</v>
      </c>
      <c r="I107" s="669" t="n">
        <v>2.258</v>
      </c>
      <c r="J107" s="38" t="n">
        <v>156</v>
      </c>
      <c r="K107" s="38" t="inlineStr">
        <is>
          <t>12</t>
        </is>
      </c>
      <c r="L107" s="39" t="inlineStr">
        <is>
          <t>СК3</t>
        </is>
      </c>
      <c r="M107" s="38" t="n">
        <v>45</v>
      </c>
      <c r="N107" s="728" t="inlineStr">
        <is>
          <t>Сосиски Молокуши Миникушай Вязанка фикс.вес 0,33 п/а Вязанка</t>
        </is>
      </c>
      <c r="O107" s="671" t="n"/>
      <c r="P107" s="671" t="n"/>
      <c r="Q107" s="671" t="n"/>
      <c r="R107" s="637" t="n"/>
      <c r="S107" s="40" t="inlineStr"/>
      <c r="T107" s="40" t="inlineStr"/>
      <c r="U107" s="41" t="inlineStr">
        <is>
          <t>кг</t>
        </is>
      </c>
      <c r="V107" s="672" t="n">
        <v>0</v>
      </c>
      <c r="W107" s="673">
        <f>IFERROR(IF(V107="",0,CEILING((V107/$H107),1)*$H107),"")</f>
        <v/>
      </c>
      <c r="X107" s="42">
        <f>IFERROR(IF(W107=0,"",ROUNDUP(W107/H107,0)*0.00753),"")</f>
        <v/>
      </c>
      <c r="Y107" s="69" t="inlineStr"/>
      <c r="Z107" s="70" t="inlineStr"/>
      <c r="AD107" s="71" t="n"/>
      <c r="BA107" s="124" t="inlineStr">
        <is>
          <t>КИ</t>
        </is>
      </c>
    </row>
    <row r="108" ht="16.5" customHeight="1">
      <c r="A108" s="64" t="inlineStr">
        <is>
          <t>SU001354</t>
        </is>
      </c>
      <c r="B108" s="64" t="inlineStr">
        <is>
          <t>P003030</t>
        </is>
      </c>
      <c r="C108" s="37" t="n">
        <v>4301051313</v>
      </c>
      <c r="D108" s="325" t="n">
        <v>4607091385427</v>
      </c>
      <c r="E108" s="637" t="n"/>
      <c r="F108" s="669" t="n">
        <v>0.5</v>
      </c>
      <c r="G108" s="38" t="n">
        <v>6</v>
      </c>
      <c r="H108" s="669" t="n">
        <v>3</v>
      </c>
      <c r="I108" s="669" t="n">
        <v>3.272</v>
      </c>
      <c r="J108" s="38" t="n">
        <v>156</v>
      </c>
      <c r="K108" s="38" t="inlineStr">
        <is>
          <t>12</t>
        </is>
      </c>
      <c r="L108" s="39" t="inlineStr">
        <is>
          <t>СК2</t>
        </is>
      </c>
      <c r="M108" s="38" t="n">
        <v>40</v>
      </c>
      <c r="N108" s="729">
        <f>HYPERLINK("https://abi.ru/products/Охлажденные/Вязанка/Вязанка/Сосиски/P003030/","Сосиски Рубленые Вязанка Фикс.вес 0,5 п/а мгс Вязанка")</f>
        <v/>
      </c>
      <c r="O108" s="671" t="n"/>
      <c r="P108" s="671" t="n"/>
      <c r="Q108" s="671" t="n"/>
      <c r="R108" s="637" t="n"/>
      <c r="S108" s="40" t="inlineStr"/>
      <c r="T108" s="40" t="inlineStr"/>
      <c r="U108" s="41" t="inlineStr">
        <is>
          <t>кг</t>
        </is>
      </c>
      <c r="V108" s="672" t="n">
        <v>8</v>
      </c>
      <c r="W108" s="673">
        <f>IFERROR(IF(V108="",0,CEILING((V108/$H108),1)*$H108),"")</f>
        <v/>
      </c>
      <c r="X108" s="42">
        <f>IFERROR(IF(W108=0,"",ROUNDUP(W108/H108,0)*0.00753),"")</f>
        <v/>
      </c>
      <c r="Y108" s="69" t="inlineStr"/>
      <c r="Z108" s="70" t="inlineStr"/>
      <c r="AD108" s="71" t="n"/>
      <c r="BA108" s="125" t="inlineStr">
        <is>
          <t>КИ</t>
        </is>
      </c>
    </row>
    <row r="109" ht="16.5" customHeight="1">
      <c r="A109" s="64" t="inlineStr">
        <is>
          <t>SU002996</t>
        </is>
      </c>
      <c r="B109" s="64" t="inlineStr">
        <is>
          <t>P003464</t>
        </is>
      </c>
      <c r="C109" s="37" t="n">
        <v>4301051480</v>
      </c>
      <c r="D109" s="325" t="n">
        <v>4680115882645</v>
      </c>
      <c r="E109" s="637" t="n"/>
      <c r="F109" s="669" t="n">
        <v>0.3</v>
      </c>
      <c r="G109" s="38" t="n">
        <v>6</v>
      </c>
      <c r="H109" s="669" t="n">
        <v>1.8</v>
      </c>
      <c r="I109" s="669" t="n">
        <v>2.66</v>
      </c>
      <c r="J109" s="38" t="n">
        <v>156</v>
      </c>
      <c r="K109" s="38" t="inlineStr">
        <is>
          <t>12</t>
        </is>
      </c>
      <c r="L109" s="39" t="inlineStr">
        <is>
          <t>СК2</t>
        </is>
      </c>
      <c r="M109" s="38" t="n">
        <v>40</v>
      </c>
      <c r="N109" s="730" t="inlineStr">
        <is>
          <t>Сосиски «Сливушки с сыром» ф/в 0,3 п/а ТМ «Вязанка»</t>
        </is>
      </c>
      <c r="O109" s="671" t="n"/>
      <c r="P109" s="671" t="n"/>
      <c r="Q109" s="671" t="n"/>
      <c r="R109" s="637" t="n"/>
      <c r="S109" s="40" t="inlineStr"/>
      <c r="T109" s="40" t="inlineStr"/>
      <c r="U109" s="41" t="inlineStr">
        <is>
          <t>кг</t>
        </is>
      </c>
      <c r="V109" s="672" t="n">
        <v>3</v>
      </c>
      <c r="W109" s="673">
        <f>IFERROR(IF(V109="",0,CEILING((V109/$H109),1)*$H109),"")</f>
        <v/>
      </c>
      <c r="X109" s="42">
        <f>IFERROR(IF(W109=0,"",ROUNDUP(W109/H109,0)*0.00753),"")</f>
        <v/>
      </c>
      <c r="Y109" s="69" t="inlineStr"/>
      <c r="Z109" s="70" t="inlineStr"/>
      <c r="AD109" s="71" t="n"/>
      <c r="BA109" s="126" t="inlineStr">
        <is>
          <t>КИ</t>
        </is>
      </c>
    </row>
    <row r="110">
      <c r="A110" s="320" t="n"/>
      <c r="B110" s="313" t="n"/>
      <c r="C110" s="313" t="n"/>
      <c r="D110" s="313" t="n"/>
      <c r="E110" s="313" t="n"/>
      <c r="F110" s="313" t="n"/>
      <c r="G110" s="313" t="n"/>
      <c r="H110" s="313" t="n"/>
      <c r="I110" s="313" t="n"/>
      <c r="J110" s="313" t="n"/>
      <c r="K110" s="313" t="n"/>
      <c r="L110" s="313" t="n"/>
      <c r="M110" s="674" t="n"/>
      <c r="N110" s="675" t="inlineStr">
        <is>
          <t>Итого</t>
        </is>
      </c>
      <c r="O110" s="645" t="n"/>
      <c r="P110" s="645" t="n"/>
      <c r="Q110" s="645" t="n"/>
      <c r="R110" s="645" t="n"/>
      <c r="S110" s="645" t="n"/>
      <c r="T110" s="646" t="n"/>
      <c r="U110" s="43" t="inlineStr">
        <is>
          <t>кор</t>
        </is>
      </c>
      <c r="V110" s="676">
        <f>IFERROR(V101/H101,"0")+IFERROR(V102/H102,"0")+IFERROR(V103/H103,"0")+IFERROR(V104/H104,"0")+IFERROR(V105/H105,"0")+IFERROR(V106/H106,"0")+IFERROR(V107/H107,"0")+IFERROR(V108/H108,"0")+IFERROR(V109/H109,"0")</f>
        <v/>
      </c>
      <c r="W110" s="676">
        <f>IFERROR(W101/H101,"0")+IFERROR(W102/H102,"0")+IFERROR(W103/H103,"0")+IFERROR(W104/H104,"0")+IFERROR(W105/H105,"0")+IFERROR(W106/H106,"0")+IFERROR(W107/H107,"0")+IFERROR(W108/H108,"0")+IFERROR(W109/H109,"0")</f>
        <v/>
      </c>
      <c r="X110" s="676">
        <f>IFERROR(IF(X101="",0,X101),"0")+IFERROR(IF(X102="",0,X102),"0")+IFERROR(IF(X103="",0,X103),"0")+IFERROR(IF(X104="",0,X104),"0")+IFERROR(IF(X105="",0,X105),"0")+IFERROR(IF(X106="",0,X106),"0")+IFERROR(IF(X107="",0,X107),"0")+IFERROR(IF(X108="",0,X108),"0")+IFERROR(IF(X109="",0,X109),"0")</f>
        <v/>
      </c>
      <c r="Y110" s="677" t="n"/>
      <c r="Z110" s="677" t="n"/>
    </row>
    <row r="111">
      <c r="A111" s="313" t="n"/>
      <c r="B111" s="313" t="n"/>
      <c r="C111" s="313" t="n"/>
      <c r="D111" s="313" t="n"/>
      <c r="E111" s="313" t="n"/>
      <c r="F111" s="313" t="n"/>
      <c r="G111" s="313" t="n"/>
      <c r="H111" s="313" t="n"/>
      <c r="I111" s="313" t="n"/>
      <c r="J111" s="313" t="n"/>
      <c r="K111" s="313" t="n"/>
      <c r="L111" s="313" t="n"/>
      <c r="M111" s="674" t="n"/>
      <c r="N111" s="675" t="inlineStr">
        <is>
          <t>Итого</t>
        </is>
      </c>
      <c r="O111" s="645" t="n"/>
      <c r="P111" s="645" t="n"/>
      <c r="Q111" s="645" t="n"/>
      <c r="R111" s="645" t="n"/>
      <c r="S111" s="645" t="n"/>
      <c r="T111" s="646" t="n"/>
      <c r="U111" s="43" t="inlineStr">
        <is>
          <t>кг</t>
        </is>
      </c>
      <c r="V111" s="676">
        <f>IFERROR(SUM(V101:V109),"0")</f>
        <v/>
      </c>
      <c r="W111" s="676">
        <f>IFERROR(SUM(W101:W109),"0")</f>
        <v/>
      </c>
      <c r="X111" s="43" t="n"/>
      <c r="Y111" s="677" t="n"/>
      <c r="Z111" s="677" t="n"/>
    </row>
    <row r="112" ht="14.25" customHeight="1">
      <c r="A112" s="330" t="inlineStr">
        <is>
          <t>Сардельки</t>
        </is>
      </c>
      <c r="B112" s="313" t="n"/>
      <c r="C112" s="313" t="n"/>
      <c r="D112" s="313" t="n"/>
      <c r="E112" s="313" t="n"/>
      <c r="F112" s="313" t="n"/>
      <c r="G112" s="313" t="n"/>
      <c r="H112" s="313" t="n"/>
      <c r="I112" s="313" t="n"/>
      <c r="J112" s="313" t="n"/>
      <c r="K112" s="313" t="n"/>
      <c r="L112" s="313" t="n"/>
      <c r="M112" s="313" t="n"/>
      <c r="N112" s="313" t="n"/>
      <c r="O112" s="313" t="n"/>
      <c r="P112" s="313" t="n"/>
      <c r="Q112" s="313" t="n"/>
      <c r="R112" s="313" t="n"/>
      <c r="S112" s="313" t="n"/>
      <c r="T112" s="313" t="n"/>
      <c r="U112" s="313" t="n"/>
      <c r="V112" s="313" t="n"/>
      <c r="W112" s="313" t="n"/>
      <c r="X112" s="313" t="n"/>
      <c r="Y112" s="330" t="n"/>
      <c r="Z112" s="330" t="n"/>
    </row>
    <row r="113" ht="27" customHeight="1">
      <c r="A113" s="64" t="inlineStr">
        <is>
          <t>SU002071</t>
        </is>
      </c>
      <c r="B113" s="64" t="inlineStr">
        <is>
          <t>P002233</t>
        </is>
      </c>
      <c r="C113" s="37" t="n">
        <v>4301060296</v>
      </c>
      <c r="D113" s="325" t="n">
        <v>4607091383065</v>
      </c>
      <c r="E113" s="637" t="n"/>
      <c r="F113" s="669" t="n">
        <v>0.83</v>
      </c>
      <c r="G113" s="38" t="n">
        <v>4</v>
      </c>
      <c r="H113" s="669" t="n">
        <v>3.32</v>
      </c>
      <c r="I113" s="669" t="n">
        <v>3.582</v>
      </c>
      <c r="J113" s="38" t="n">
        <v>120</v>
      </c>
      <c r="K113" s="38" t="inlineStr">
        <is>
          <t>12</t>
        </is>
      </c>
      <c r="L113" s="39" t="inlineStr">
        <is>
          <t>СК2</t>
        </is>
      </c>
      <c r="M113" s="38" t="n">
        <v>30</v>
      </c>
      <c r="N113" s="731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O113" s="671" t="n"/>
      <c r="P113" s="671" t="n"/>
      <c r="Q113" s="671" t="n"/>
      <c r="R113" s="637" t="n"/>
      <c r="S113" s="40" t="inlineStr"/>
      <c r="T113" s="40" t="inlineStr"/>
      <c r="U113" s="41" t="inlineStr">
        <is>
          <t>кг</t>
        </is>
      </c>
      <c r="V113" s="672" t="n">
        <v>5</v>
      </c>
      <c r="W113" s="673">
        <f>IFERROR(IF(V113="",0,CEILING((V113/$H113),1)*$H113),"")</f>
        <v/>
      </c>
      <c r="X113" s="42">
        <f>IFERROR(IF(W113=0,"",ROUNDUP(W113/H113,0)*0.00937),"")</f>
        <v/>
      </c>
      <c r="Y113" s="69" t="inlineStr"/>
      <c r="Z113" s="70" t="inlineStr"/>
      <c r="AD113" s="71" t="n"/>
      <c r="BA113" s="127" t="inlineStr">
        <is>
          <t>КИ</t>
        </is>
      </c>
    </row>
    <row r="114" ht="27" customHeight="1">
      <c r="A114" s="64" t="inlineStr">
        <is>
          <t>SU002835</t>
        </is>
      </c>
      <c r="B114" s="64" t="inlineStr">
        <is>
          <t>P003237</t>
        </is>
      </c>
      <c r="C114" s="37" t="n">
        <v>4301060350</v>
      </c>
      <c r="D114" s="325" t="n">
        <v>4680115881532</v>
      </c>
      <c r="E114" s="637" t="n"/>
      <c r="F114" s="669" t="n">
        <v>1.35</v>
      </c>
      <c r="G114" s="38" t="n">
        <v>6</v>
      </c>
      <c r="H114" s="669" t="n">
        <v>8.1</v>
      </c>
      <c r="I114" s="669" t="n">
        <v>8.58</v>
      </c>
      <c r="J114" s="38" t="n">
        <v>56</v>
      </c>
      <c r="K114" s="38" t="inlineStr">
        <is>
          <t>8</t>
        </is>
      </c>
      <c r="L114" s="39" t="inlineStr">
        <is>
          <t>СК3</t>
        </is>
      </c>
      <c r="M114" s="38" t="n">
        <v>30</v>
      </c>
      <c r="N114" s="732">
        <f>HYPERLINK("https://abi.ru/products/Охлажденные/Вязанка/Вязанка/Сардельки/P003237/","Сардельки «Филейские» Весовые NDX мгс ТМ «Вязанка»")</f>
        <v/>
      </c>
      <c r="O114" s="671" t="n"/>
      <c r="P114" s="671" t="n"/>
      <c r="Q114" s="671" t="n"/>
      <c r="R114" s="637" t="n"/>
      <c r="S114" s="40" t="inlineStr"/>
      <c r="T114" s="40" t="inlineStr"/>
      <c r="U114" s="41" t="inlineStr">
        <is>
          <t>кг</t>
        </is>
      </c>
      <c r="V114" s="672" t="n">
        <v>0</v>
      </c>
      <c r="W114" s="673">
        <f>IFERROR(IF(V114="",0,CEILING((V114/$H114),1)*$H114),"")</f>
        <v/>
      </c>
      <c r="X114" s="42">
        <f>IFERROR(IF(W114=0,"",ROUNDUP(W114/H114,0)*0.02175),"")</f>
        <v/>
      </c>
      <c r="Y114" s="69" t="inlineStr"/>
      <c r="Z114" s="70" t="inlineStr"/>
      <c r="AD114" s="71" t="n"/>
      <c r="BA114" s="128" t="inlineStr">
        <is>
          <t>КИ</t>
        </is>
      </c>
    </row>
    <row r="115" ht="27" customHeight="1">
      <c r="A115" s="64" t="inlineStr">
        <is>
          <t>SU002997</t>
        </is>
      </c>
      <c r="B115" s="64" t="inlineStr">
        <is>
          <t>P003465</t>
        </is>
      </c>
      <c r="C115" s="37" t="n">
        <v>4301060356</v>
      </c>
      <c r="D115" s="325" t="n">
        <v>4680115882652</v>
      </c>
      <c r="E115" s="637" t="n"/>
      <c r="F115" s="669" t="n">
        <v>0.33</v>
      </c>
      <c r="G115" s="38" t="n">
        <v>6</v>
      </c>
      <c r="H115" s="669" t="n">
        <v>1.98</v>
      </c>
      <c r="I115" s="669" t="n">
        <v>2.84</v>
      </c>
      <c r="J115" s="38" t="n">
        <v>156</v>
      </c>
      <c r="K115" s="38" t="inlineStr">
        <is>
          <t>12</t>
        </is>
      </c>
      <c r="L115" s="39" t="inlineStr">
        <is>
          <t>СК2</t>
        </is>
      </c>
      <c r="M115" s="38" t="n">
        <v>40</v>
      </c>
      <c r="N115" s="733" t="inlineStr">
        <is>
          <t>Сардельки «Сливушки с сыром #минидельки» ф/в 0,33 айпил ТМ «Вязанка»</t>
        </is>
      </c>
      <c r="O115" s="671" t="n"/>
      <c r="P115" s="671" t="n"/>
      <c r="Q115" s="671" t="n"/>
      <c r="R115" s="637" t="n"/>
      <c r="S115" s="40" t="inlineStr"/>
      <c r="T115" s="40" t="inlineStr"/>
      <c r="U115" s="41" t="inlineStr">
        <is>
          <t>кг</t>
        </is>
      </c>
      <c r="V115" s="672" t="n">
        <v>8</v>
      </c>
      <c r="W115" s="673">
        <f>IFERROR(IF(V115="",0,CEILING((V115/$H115),1)*$H115),"")</f>
        <v/>
      </c>
      <c r="X115" s="42">
        <f>IFERROR(IF(W115=0,"",ROUNDUP(W115/H115,0)*0.00753),"")</f>
        <v/>
      </c>
      <c r="Y115" s="69" t="inlineStr"/>
      <c r="Z115" s="70" t="inlineStr"/>
      <c r="AD115" s="71" t="n"/>
      <c r="BA115" s="129" t="inlineStr">
        <is>
          <t>КИ</t>
        </is>
      </c>
    </row>
    <row r="116" ht="16.5" customHeight="1">
      <c r="A116" s="64" t="inlineStr">
        <is>
          <t>SU002367</t>
        </is>
      </c>
      <c r="B116" s="64" t="inlineStr">
        <is>
          <t>P002644</t>
        </is>
      </c>
      <c r="C116" s="37" t="n">
        <v>4301060309</v>
      </c>
      <c r="D116" s="325" t="n">
        <v>4680115880238</v>
      </c>
      <c r="E116" s="637" t="n"/>
      <c r="F116" s="669" t="n">
        <v>0.33</v>
      </c>
      <c r="G116" s="38" t="n">
        <v>6</v>
      </c>
      <c r="H116" s="669" t="n">
        <v>1.98</v>
      </c>
      <c r="I116" s="669" t="n">
        <v>2.258</v>
      </c>
      <c r="J116" s="38" t="n">
        <v>156</v>
      </c>
      <c r="K116" s="38" t="inlineStr">
        <is>
          <t>12</t>
        </is>
      </c>
      <c r="L116" s="39" t="inlineStr">
        <is>
          <t>СК2</t>
        </is>
      </c>
      <c r="M116" s="38" t="n">
        <v>40</v>
      </c>
      <c r="N116" s="734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O116" s="671" t="n"/>
      <c r="P116" s="671" t="n"/>
      <c r="Q116" s="671" t="n"/>
      <c r="R116" s="637" t="n"/>
      <c r="S116" s="40" t="inlineStr"/>
      <c r="T116" s="40" t="inlineStr"/>
      <c r="U116" s="41" t="inlineStr">
        <is>
          <t>кг</t>
        </is>
      </c>
      <c r="V116" s="672" t="n">
        <v>6</v>
      </c>
      <c r="W116" s="673">
        <f>IFERROR(IF(V116="",0,CEILING((V116/$H116),1)*$H116),"")</f>
        <v/>
      </c>
      <c r="X116" s="42">
        <f>IFERROR(IF(W116=0,"",ROUNDUP(W116/H116,0)*0.00753),"")</f>
        <v/>
      </c>
      <c r="Y116" s="69" t="inlineStr"/>
      <c r="Z116" s="70" t="inlineStr"/>
      <c r="AD116" s="71" t="n"/>
      <c r="BA116" s="130" t="inlineStr">
        <is>
          <t>КИ</t>
        </is>
      </c>
    </row>
    <row r="117" ht="27" customHeight="1">
      <c r="A117" s="64" t="inlineStr">
        <is>
          <t>SU002834</t>
        </is>
      </c>
      <c r="B117" s="64" t="inlineStr">
        <is>
          <t>P003238</t>
        </is>
      </c>
      <c r="C117" s="37" t="n">
        <v>4301060351</v>
      </c>
      <c r="D117" s="325" t="n">
        <v>4680115881464</v>
      </c>
      <c r="E117" s="637" t="n"/>
      <c r="F117" s="669" t="n">
        <v>0.4</v>
      </c>
      <c r="G117" s="38" t="n">
        <v>6</v>
      </c>
      <c r="H117" s="669" t="n">
        <v>2.4</v>
      </c>
      <c r="I117" s="669" t="n">
        <v>2.6</v>
      </c>
      <c r="J117" s="38" t="n">
        <v>156</v>
      </c>
      <c r="K117" s="38" t="inlineStr">
        <is>
          <t>12</t>
        </is>
      </c>
      <c r="L117" s="39" t="inlineStr">
        <is>
          <t>СК3</t>
        </is>
      </c>
      <c r="M117" s="38" t="n">
        <v>30</v>
      </c>
      <c r="N117" s="735" t="inlineStr">
        <is>
          <t>Сардельки «Филейские» Фикс.вес 0,4 NDX мгс ТМ «Вязанка»</t>
        </is>
      </c>
      <c r="O117" s="671" t="n"/>
      <c r="P117" s="671" t="n"/>
      <c r="Q117" s="671" t="n"/>
      <c r="R117" s="637" t="n"/>
      <c r="S117" s="40" t="inlineStr"/>
      <c r="T117" s="40" t="inlineStr"/>
      <c r="U117" s="41" t="inlineStr">
        <is>
          <t>кг</t>
        </is>
      </c>
      <c r="V117" s="672" t="n">
        <v>0</v>
      </c>
      <c r="W117" s="673">
        <f>IFERROR(IF(V117="",0,CEILING((V117/$H117),1)*$H117),"")</f>
        <v/>
      </c>
      <c r="X117" s="42">
        <f>IFERROR(IF(W117=0,"",ROUNDUP(W117/H117,0)*0.00753),"")</f>
        <v/>
      </c>
      <c r="Y117" s="69" t="inlineStr"/>
      <c r="Z117" s="70" t="inlineStr"/>
      <c r="AD117" s="71" t="n"/>
      <c r="BA117" s="131" t="inlineStr">
        <is>
          <t>КИ</t>
        </is>
      </c>
    </row>
    <row r="118">
      <c r="A118" s="320" t="n"/>
      <c r="B118" s="313" t="n"/>
      <c r="C118" s="313" t="n"/>
      <c r="D118" s="313" t="n"/>
      <c r="E118" s="313" t="n"/>
      <c r="F118" s="313" t="n"/>
      <c r="G118" s="313" t="n"/>
      <c r="H118" s="313" t="n"/>
      <c r="I118" s="313" t="n"/>
      <c r="J118" s="313" t="n"/>
      <c r="K118" s="313" t="n"/>
      <c r="L118" s="313" t="n"/>
      <c r="M118" s="674" t="n"/>
      <c r="N118" s="675" t="inlineStr">
        <is>
          <t>Итого</t>
        </is>
      </c>
      <c r="O118" s="645" t="n"/>
      <c r="P118" s="645" t="n"/>
      <c r="Q118" s="645" t="n"/>
      <c r="R118" s="645" t="n"/>
      <c r="S118" s="645" t="n"/>
      <c r="T118" s="646" t="n"/>
      <c r="U118" s="43" t="inlineStr">
        <is>
          <t>кор</t>
        </is>
      </c>
      <c r="V118" s="676">
        <f>IFERROR(V113/H113,"0")+IFERROR(V114/H114,"0")+IFERROR(V115/H115,"0")+IFERROR(V116/H116,"0")+IFERROR(V117/H117,"0")</f>
        <v/>
      </c>
      <c r="W118" s="676">
        <f>IFERROR(W113/H113,"0")+IFERROR(W114/H114,"0")+IFERROR(W115/H115,"0")+IFERROR(W116/H116,"0")+IFERROR(W117/H117,"0")</f>
        <v/>
      </c>
      <c r="X118" s="676">
        <f>IFERROR(IF(X113="",0,X113),"0")+IFERROR(IF(X114="",0,X114),"0")+IFERROR(IF(X115="",0,X115),"0")+IFERROR(IF(X116="",0,X116),"0")+IFERROR(IF(X117="",0,X117),"0")</f>
        <v/>
      </c>
      <c r="Y118" s="677" t="n"/>
      <c r="Z118" s="677" t="n"/>
    </row>
    <row r="119">
      <c r="A119" s="313" t="n"/>
      <c r="B119" s="313" t="n"/>
      <c r="C119" s="313" t="n"/>
      <c r="D119" s="313" t="n"/>
      <c r="E119" s="313" t="n"/>
      <c r="F119" s="313" t="n"/>
      <c r="G119" s="313" t="n"/>
      <c r="H119" s="313" t="n"/>
      <c r="I119" s="313" t="n"/>
      <c r="J119" s="313" t="n"/>
      <c r="K119" s="313" t="n"/>
      <c r="L119" s="313" t="n"/>
      <c r="M119" s="674" t="n"/>
      <c r="N119" s="675" t="inlineStr">
        <is>
          <t>Итого</t>
        </is>
      </c>
      <c r="O119" s="645" t="n"/>
      <c r="P119" s="645" t="n"/>
      <c r="Q119" s="645" t="n"/>
      <c r="R119" s="645" t="n"/>
      <c r="S119" s="645" t="n"/>
      <c r="T119" s="646" t="n"/>
      <c r="U119" s="43" t="inlineStr">
        <is>
          <t>кг</t>
        </is>
      </c>
      <c r="V119" s="676">
        <f>IFERROR(SUM(V113:V117),"0")</f>
        <v/>
      </c>
      <c r="W119" s="676">
        <f>IFERROR(SUM(W113:W117),"0")</f>
        <v/>
      </c>
      <c r="X119" s="43" t="n"/>
      <c r="Y119" s="677" t="n"/>
      <c r="Z119" s="677" t="n"/>
    </row>
    <row r="120" ht="16.5" customHeight="1">
      <c r="A120" s="329" t="inlineStr">
        <is>
          <t>Сливушки</t>
        </is>
      </c>
      <c r="B120" s="313" t="n"/>
      <c r="C120" s="313" t="n"/>
      <c r="D120" s="313" t="n"/>
      <c r="E120" s="313" t="n"/>
      <c r="F120" s="313" t="n"/>
      <c r="G120" s="313" t="n"/>
      <c r="H120" s="313" t="n"/>
      <c r="I120" s="313" t="n"/>
      <c r="J120" s="313" t="n"/>
      <c r="K120" s="313" t="n"/>
      <c r="L120" s="313" t="n"/>
      <c r="M120" s="313" t="n"/>
      <c r="N120" s="313" t="n"/>
      <c r="O120" s="313" t="n"/>
      <c r="P120" s="313" t="n"/>
      <c r="Q120" s="313" t="n"/>
      <c r="R120" s="313" t="n"/>
      <c r="S120" s="313" t="n"/>
      <c r="T120" s="313" t="n"/>
      <c r="U120" s="313" t="n"/>
      <c r="V120" s="313" t="n"/>
      <c r="W120" s="313" t="n"/>
      <c r="X120" s="313" t="n"/>
      <c r="Y120" s="329" t="n"/>
      <c r="Z120" s="329" t="n"/>
    </row>
    <row r="121" ht="14.25" customHeight="1">
      <c r="A121" s="330" t="inlineStr">
        <is>
          <t>Сосиски</t>
        </is>
      </c>
      <c r="B121" s="313" t="n"/>
      <c r="C121" s="313" t="n"/>
      <c r="D121" s="313" t="n"/>
      <c r="E121" s="313" t="n"/>
      <c r="F121" s="313" t="n"/>
      <c r="G121" s="313" t="n"/>
      <c r="H121" s="313" t="n"/>
      <c r="I121" s="313" t="n"/>
      <c r="J121" s="313" t="n"/>
      <c r="K121" s="313" t="n"/>
      <c r="L121" s="313" t="n"/>
      <c r="M121" s="313" t="n"/>
      <c r="N121" s="313" t="n"/>
      <c r="O121" s="313" t="n"/>
      <c r="P121" s="313" t="n"/>
      <c r="Q121" s="313" t="n"/>
      <c r="R121" s="313" t="n"/>
      <c r="S121" s="313" t="n"/>
      <c r="T121" s="313" t="n"/>
      <c r="U121" s="313" t="n"/>
      <c r="V121" s="313" t="n"/>
      <c r="W121" s="313" t="n"/>
      <c r="X121" s="313" t="n"/>
      <c r="Y121" s="330" t="n"/>
      <c r="Z121" s="330" t="n"/>
    </row>
    <row r="122" ht="27" customHeight="1">
      <c r="A122" s="64" t="inlineStr">
        <is>
          <t>SU001721</t>
        </is>
      </c>
      <c r="B122" s="64" t="inlineStr">
        <is>
          <t>P003905</t>
        </is>
      </c>
      <c r="C122" s="37" t="n">
        <v>4301051612</v>
      </c>
      <c r="D122" s="325" t="n">
        <v>4607091385168</v>
      </c>
      <c r="E122" s="637" t="n"/>
      <c r="F122" s="669" t="n">
        <v>1.4</v>
      </c>
      <c r="G122" s="38" t="n">
        <v>6</v>
      </c>
      <c r="H122" s="669" t="n">
        <v>8.4</v>
      </c>
      <c r="I122" s="669" t="n">
        <v>8.958</v>
      </c>
      <c r="J122" s="38" t="n">
        <v>56</v>
      </c>
      <c r="K122" s="38" t="inlineStr">
        <is>
          <t>8</t>
        </is>
      </c>
      <c r="L122" s="39" t="inlineStr">
        <is>
          <t>СК2</t>
        </is>
      </c>
      <c r="M122" s="38" t="n">
        <v>45</v>
      </c>
      <c r="N122" s="736" t="inlineStr">
        <is>
          <t>Сосиски «Вязанка Сливочные» Весовые П/а мгс ТМ «Вязанка»</t>
        </is>
      </c>
      <c r="O122" s="671" t="n"/>
      <c r="P122" s="671" t="n"/>
      <c r="Q122" s="671" t="n"/>
      <c r="R122" s="637" t="n"/>
      <c r="S122" s="40" t="inlineStr"/>
      <c r="T122" s="40" t="inlineStr"/>
      <c r="U122" s="41" t="inlineStr">
        <is>
          <t>кг</t>
        </is>
      </c>
      <c r="V122" s="672" t="n">
        <v>98</v>
      </c>
      <c r="W122" s="673">
        <f>IFERROR(IF(V122="",0,CEILING((V122/$H122),1)*$H122),"")</f>
        <v/>
      </c>
      <c r="X122" s="42">
        <f>IFERROR(IF(W122=0,"",ROUNDUP(W122/H122,0)*0.02175),"")</f>
        <v/>
      </c>
      <c r="Y122" s="69" t="inlineStr"/>
      <c r="Z122" s="70" t="inlineStr"/>
      <c r="AD122" s="71" t="n"/>
      <c r="BA122" s="132" t="inlineStr">
        <is>
          <t>КИ</t>
        </is>
      </c>
    </row>
    <row r="123" ht="16.5" customHeight="1">
      <c r="A123" s="64" t="inlineStr">
        <is>
          <t>SU002139</t>
        </is>
      </c>
      <c r="B123" s="64" t="inlineStr">
        <is>
          <t>P003162</t>
        </is>
      </c>
      <c r="C123" s="37" t="n">
        <v>4301051362</v>
      </c>
      <c r="D123" s="325" t="n">
        <v>4607091383256</v>
      </c>
      <c r="E123" s="637" t="n"/>
      <c r="F123" s="669" t="n">
        <v>0.33</v>
      </c>
      <c r="G123" s="38" t="n">
        <v>6</v>
      </c>
      <c r="H123" s="669" t="n">
        <v>1.98</v>
      </c>
      <c r="I123" s="669" t="n">
        <v>2.246</v>
      </c>
      <c r="J123" s="38" t="n">
        <v>156</v>
      </c>
      <c r="K123" s="38" t="inlineStr">
        <is>
          <t>12</t>
        </is>
      </c>
      <c r="L123" s="39" t="inlineStr">
        <is>
          <t>СК3</t>
        </is>
      </c>
      <c r="M123" s="38" t="n">
        <v>45</v>
      </c>
      <c r="N123" s="737">
        <f>HYPERLINK("https://abi.ru/products/Охлажденные/Вязанка/Сливушки/Сосиски/P003162/","Сосиски Сливочные Сливушки Фикс.вес 0,33 П/а мгс Вязанка")</f>
        <v/>
      </c>
      <c r="O123" s="671" t="n"/>
      <c r="P123" s="671" t="n"/>
      <c r="Q123" s="671" t="n"/>
      <c r="R123" s="637" t="n"/>
      <c r="S123" s="40" t="inlineStr"/>
      <c r="T123" s="40" t="inlineStr"/>
      <c r="U123" s="41" t="inlineStr">
        <is>
          <t>кг</t>
        </is>
      </c>
      <c r="V123" s="672" t="n">
        <v>0</v>
      </c>
      <c r="W123" s="673">
        <f>IFERROR(IF(V123="",0,CEILING((V123/$H123),1)*$H123),"")</f>
        <v/>
      </c>
      <c r="X123" s="42">
        <f>IFERROR(IF(W123=0,"",ROUNDUP(W123/H123,0)*0.00753),"")</f>
        <v/>
      </c>
      <c r="Y123" s="69" t="inlineStr"/>
      <c r="Z123" s="70" t="inlineStr"/>
      <c r="AD123" s="71" t="n"/>
      <c r="BA123" s="133" t="inlineStr">
        <is>
          <t>КИ</t>
        </is>
      </c>
    </row>
    <row r="124" ht="16.5" customHeight="1">
      <c r="A124" s="64" t="inlineStr">
        <is>
          <t>SU001720</t>
        </is>
      </c>
      <c r="B124" s="64" t="inlineStr">
        <is>
          <t>P003160</t>
        </is>
      </c>
      <c r="C124" s="37" t="n">
        <v>4301051358</v>
      </c>
      <c r="D124" s="325" t="n">
        <v>4607091385748</v>
      </c>
      <c r="E124" s="637" t="n"/>
      <c r="F124" s="669" t="n">
        <v>0.45</v>
      </c>
      <c r="G124" s="38" t="n">
        <v>6</v>
      </c>
      <c r="H124" s="669" t="n">
        <v>2.7</v>
      </c>
      <c r="I124" s="669" t="n">
        <v>2.972</v>
      </c>
      <c r="J124" s="38" t="n">
        <v>156</v>
      </c>
      <c r="K124" s="38" t="inlineStr">
        <is>
          <t>12</t>
        </is>
      </c>
      <c r="L124" s="39" t="inlineStr">
        <is>
          <t>СК3</t>
        </is>
      </c>
      <c r="M124" s="38" t="n">
        <v>45</v>
      </c>
      <c r="N124" s="738">
        <f>HYPERLINK("https://abi.ru/products/Охлажденные/Вязанка/Сливушки/Сосиски/P003160/","Сосиски Сливочные Сливушки Фикс.вес 0,45 П/а мгс Вязанка")</f>
        <v/>
      </c>
      <c r="O124" s="671" t="n"/>
      <c r="P124" s="671" t="n"/>
      <c r="Q124" s="671" t="n"/>
      <c r="R124" s="637" t="n"/>
      <c r="S124" s="40" t="inlineStr"/>
      <c r="T124" s="40" t="inlineStr"/>
      <c r="U124" s="41" t="inlineStr">
        <is>
          <t>кг</t>
        </is>
      </c>
      <c r="V124" s="672" t="n">
        <v>72</v>
      </c>
      <c r="W124" s="673">
        <f>IFERROR(IF(V124="",0,CEILING((V124/$H124),1)*$H124),"")</f>
        <v/>
      </c>
      <c r="X124" s="42">
        <f>IFERROR(IF(W124=0,"",ROUNDUP(W124/H124,0)*0.00753),"")</f>
        <v/>
      </c>
      <c r="Y124" s="69" t="inlineStr"/>
      <c r="Z124" s="70" t="inlineStr"/>
      <c r="AD124" s="71" t="n"/>
      <c r="BA124" s="134" t="inlineStr">
        <is>
          <t>КИ</t>
        </is>
      </c>
    </row>
    <row r="125">
      <c r="A125" s="320" t="n"/>
      <c r="B125" s="313" t="n"/>
      <c r="C125" s="313" t="n"/>
      <c r="D125" s="313" t="n"/>
      <c r="E125" s="313" t="n"/>
      <c r="F125" s="313" t="n"/>
      <c r="G125" s="313" t="n"/>
      <c r="H125" s="313" t="n"/>
      <c r="I125" s="313" t="n"/>
      <c r="J125" s="313" t="n"/>
      <c r="K125" s="313" t="n"/>
      <c r="L125" s="313" t="n"/>
      <c r="M125" s="674" t="n"/>
      <c r="N125" s="675" t="inlineStr">
        <is>
          <t>Итого</t>
        </is>
      </c>
      <c r="O125" s="645" t="n"/>
      <c r="P125" s="645" t="n"/>
      <c r="Q125" s="645" t="n"/>
      <c r="R125" s="645" t="n"/>
      <c r="S125" s="645" t="n"/>
      <c r="T125" s="646" t="n"/>
      <c r="U125" s="43" t="inlineStr">
        <is>
          <t>кор</t>
        </is>
      </c>
      <c r="V125" s="676">
        <f>IFERROR(V122/H122,"0")+IFERROR(V123/H123,"0")+IFERROR(V124/H124,"0")</f>
        <v/>
      </c>
      <c r="W125" s="676">
        <f>IFERROR(W122/H122,"0")+IFERROR(W123/H123,"0")+IFERROR(W124/H124,"0")</f>
        <v/>
      </c>
      <c r="X125" s="676">
        <f>IFERROR(IF(X122="",0,X122),"0")+IFERROR(IF(X123="",0,X123),"0")+IFERROR(IF(X124="",0,X124),"0")</f>
        <v/>
      </c>
      <c r="Y125" s="677" t="n"/>
      <c r="Z125" s="677" t="n"/>
    </row>
    <row r="126">
      <c r="A126" s="313" t="n"/>
      <c r="B126" s="313" t="n"/>
      <c r="C126" s="313" t="n"/>
      <c r="D126" s="313" t="n"/>
      <c r="E126" s="313" t="n"/>
      <c r="F126" s="313" t="n"/>
      <c r="G126" s="313" t="n"/>
      <c r="H126" s="313" t="n"/>
      <c r="I126" s="313" t="n"/>
      <c r="J126" s="313" t="n"/>
      <c r="K126" s="313" t="n"/>
      <c r="L126" s="313" t="n"/>
      <c r="M126" s="674" t="n"/>
      <c r="N126" s="675" t="inlineStr">
        <is>
          <t>Итого</t>
        </is>
      </c>
      <c r="O126" s="645" t="n"/>
      <c r="P126" s="645" t="n"/>
      <c r="Q126" s="645" t="n"/>
      <c r="R126" s="645" t="n"/>
      <c r="S126" s="645" t="n"/>
      <c r="T126" s="646" t="n"/>
      <c r="U126" s="43" t="inlineStr">
        <is>
          <t>кг</t>
        </is>
      </c>
      <c r="V126" s="676">
        <f>IFERROR(SUM(V122:V124),"0")</f>
        <v/>
      </c>
      <c r="W126" s="676">
        <f>IFERROR(SUM(W122:W124),"0")</f>
        <v/>
      </c>
      <c r="X126" s="43" t="n"/>
      <c r="Y126" s="677" t="n"/>
      <c r="Z126" s="677" t="n"/>
    </row>
    <row r="127" ht="27.75" customHeight="1">
      <c r="A127" s="341" t="inlineStr">
        <is>
          <t>Стародворье</t>
        </is>
      </c>
      <c r="B127" s="668" t="n"/>
      <c r="C127" s="668" t="n"/>
      <c r="D127" s="668" t="n"/>
      <c r="E127" s="668" t="n"/>
      <c r="F127" s="668" t="n"/>
      <c r="G127" s="668" t="n"/>
      <c r="H127" s="668" t="n"/>
      <c r="I127" s="668" t="n"/>
      <c r="J127" s="668" t="n"/>
      <c r="K127" s="668" t="n"/>
      <c r="L127" s="668" t="n"/>
      <c r="M127" s="668" t="n"/>
      <c r="N127" s="668" t="n"/>
      <c r="O127" s="668" t="n"/>
      <c r="P127" s="668" t="n"/>
      <c r="Q127" s="668" t="n"/>
      <c r="R127" s="668" t="n"/>
      <c r="S127" s="668" t="n"/>
      <c r="T127" s="668" t="n"/>
      <c r="U127" s="668" t="n"/>
      <c r="V127" s="668" t="n"/>
      <c r="W127" s="668" t="n"/>
      <c r="X127" s="668" t="n"/>
      <c r="Y127" s="55" t="n"/>
      <c r="Z127" s="55" t="n"/>
    </row>
    <row r="128" ht="16.5" customHeight="1">
      <c r="A128" s="329" t="inlineStr">
        <is>
          <t>Золоченная в печи</t>
        </is>
      </c>
      <c r="B128" s="313" t="n"/>
      <c r="C128" s="313" t="n"/>
      <c r="D128" s="313" t="n"/>
      <c r="E128" s="313" t="n"/>
      <c r="F128" s="313" t="n"/>
      <c r="G128" s="313" t="n"/>
      <c r="H128" s="313" t="n"/>
      <c r="I128" s="313" t="n"/>
      <c r="J128" s="313" t="n"/>
      <c r="K128" s="313" t="n"/>
      <c r="L128" s="313" t="n"/>
      <c r="M128" s="313" t="n"/>
      <c r="N128" s="313" t="n"/>
      <c r="O128" s="313" t="n"/>
      <c r="P128" s="313" t="n"/>
      <c r="Q128" s="313" t="n"/>
      <c r="R128" s="313" t="n"/>
      <c r="S128" s="313" t="n"/>
      <c r="T128" s="313" t="n"/>
      <c r="U128" s="313" t="n"/>
      <c r="V128" s="313" t="n"/>
      <c r="W128" s="313" t="n"/>
      <c r="X128" s="313" t="n"/>
      <c r="Y128" s="329" t="n"/>
      <c r="Z128" s="329" t="n"/>
    </row>
    <row r="129" ht="14.25" customHeight="1">
      <c r="A129" s="330" t="inlineStr">
        <is>
          <t>Вареные колбасы</t>
        </is>
      </c>
      <c r="B129" s="313" t="n"/>
      <c r="C129" s="313" t="n"/>
      <c r="D129" s="313" t="n"/>
      <c r="E129" s="313" t="n"/>
      <c r="F129" s="313" t="n"/>
      <c r="G129" s="313" t="n"/>
      <c r="H129" s="313" t="n"/>
      <c r="I129" s="313" t="n"/>
      <c r="J129" s="313" t="n"/>
      <c r="K129" s="313" t="n"/>
      <c r="L129" s="313" t="n"/>
      <c r="M129" s="313" t="n"/>
      <c r="N129" s="313" t="n"/>
      <c r="O129" s="313" t="n"/>
      <c r="P129" s="313" t="n"/>
      <c r="Q129" s="313" t="n"/>
      <c r="R129" s="313" t="n"/>
      <c r="S129" s="313" t="n"/>
      <c r="T129" s="313" t="n"/>
      <c r="U129" s="313" t="n"/>
      <c r="V129" s="313" t="n"/>
      <c r="W129" s="313" t="n"/>
      <c r="X129" s="313" t="n"/>
      <c r="Y129" s="330" t="n"/>
      <c r="Z129" s="330" t="n"/>
    </row>
    <row r="130" ht="27" customHeight="1">
      <c r="A130" s="64" t="inlineStr">
        <is>
          <t>SU002201</t>
        </is>
      </c>
      <c r="B130" s="64" t="inlineStr">
        <is>
          <t>P002567</t>
        </is>
      </c>
      <c r="C130" s="37" t="n">
        <v>4301011223</v>
      </c>
      <c r="D130" s="325" t="n">
        <v>4607091383423</v>
      </c>
      <c r="E130" s="637" t="n"/>
      <c r="F130" s="669" t="n">
        <v>1.35</v>
      </c>
      <c r="G130" s="38" t="n">
        <v>8</v>
      </c>
      <c r="H130" s="669" t="n">
        <v>10.8</v>
      </c>
      <c r="I130" s="669" t="n">
        <v>11.376</v>
      </c>
      <c r="J130" s="38" t="n">
        <v>56</v>
      </c>
      <c r="K130" s="38" t="inlineStr">
        <is>
          <t>8</t>
        </is>
      </c>
      <c r="L130" s="39" t="inlineStr">
        <is>
          <t>СК3</t>
        </is>
      </c>
      <c r="M130" s="38" t="n">
        <v>35</v>
      </c>
      <c r="N130" s="739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O130" s="671" t="n"/>
      <c r="P130" s="671" t="n"/>
      <c r="Q130" s="671" t="n"/>
      <c r="R130" s="637" t="n"/>
      <c r="S130" s="40" t="inlineStr"/>
      <c r="T130" s="40" t="inlineStr"/>
      <c r="U130" s="41" t="inlineStr">
        <is>
          <t>кг</t>
        </is>
      </c>
      <c r="V130" s="672" t="n">
        <v>0</v>
      </c>
      <c r="W130" s="673">
        <f>IFERROR(IF(V130="",0,CEILING((V130/$H130),1)*$H130),"")</f>
        <v/>
      </c>
      <c r="X130" s="42">
        <f>IFERROR(IF(W130=0,"",ROUNDUP(W130/H130,0)*0.02175),"")</f>
        <v/>
      </c>
      <c r="Y130" s="69" t="inlineStr"/>
      <c r="Z130" s="70" t="inlineStr"/>
      <c r="AD130" s="71" t="n"/>
      <c r="BA130" s="135" t="inlineStr">
        <is>
          <t>КИ</t>
        </is>
      </c>
    </row>
    <row r="131" ht="27" customHeight="1">
      <c r="A131" s="64" t="inlineStr">
        <is>
          <t>SU002203</t>
        </is>
      </c>
      <c r="B131" s="64" t="inlineStr">
        <is>
          <t>P002568</t>
        </is>
      </c>
      <c r="C131" s="37" t="n">
        <v>4301011338</v>
      </c>
      <c r="D131" s="325" t="n">
        <v>4607091381405</v>
      </c>
      <c r="E131" s="637" t="n"/>
      <c r="F131" s="669" t="n">
        <v>1.35</v>
      </c>
      <c r="G131" s="38" t="n">
        <v>8</v>
      </c>
      <c r="H131" s="669" t="n">
        <v>10.8</v>
      </c>
      <c r="I131" s="669" t="n">
        <v>11.376</v>
      </c>
      <c r="J131" s="38" t="n">
        <v>56</v>
      </c>
      <c r="K131" s="38" t="inlineStr">
        <is>
          <t>8</t>
        </is>
      </c>
      <c r="L131" s="39" t="inlineStr">
        <is>
          <t>СК2</t>
        </is>
      </c>
      <c r="M131" s="38" t="n">
        <v>35</v>
      </c>
      <c r="N131" s="740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O131" s="671" t="n"/>
      <c r="P131" s="671" t="n"/>
      <c r="Q131" s="671" t="n"/>
      <c r="R131" s="637" t="n"/>
      <c r="S131" s="40" t="inlineStr"/>
      <c r="T131" s="40" t="inlineStr"/>
      <c r="U131" s="41" t="inlineStr">
        <is>
          <t>кг</t>
        </is>
      </c>
      <c r="V131" s="672" t="n">
        <v>23</v>
      </c>
      <c r="W131" s="673">
        <f>IFERROR(IF(V131="",0,CEILING((V131/$H131),1)*$H131),"")</f>
        <v/>
      </c>
      <c r="X131" s="42">
        <f>IFERROR(IF(W131=0,"",ROUNDUP(W131/H131,0)*0.02175),"")</f>
        <v/>
      </c>
      <c r="Y131" s="69" t="inlineStr"/>
      <c r="Z131" s="70" t="inlineStr"/>
      <c r="AD131" s="71" t="n"/>
      <c r="BA131" s="136" t="inlineStr">
        <is>
          <t>КИ</t>
        </is>
      </c>
    </row>
    <row r="132" ht="27" customHeight="1">
      <c r="A132" s="64" t="inlineStr">
        <is>
          <t>SU002216</t>
        </is>
      </c>
      <c r="B132" s="64" t="inlineStr">
        <is>
          <t>P002400</t>
        </is>
      </c>
      <c r="C132" s="37" t="n">
        <v>4301011333</v>
      </c>
      <c r="D132" s="325" t="n">
        <v>4607091386516</v>
      </c>
      <c r="E132" s="637" t="n"/>
      <c r="F132" s="669" t="n">
        <v>1.4</v>
      </c>
      <c r="G132" s="38" t="n">
        <v>8</v>
      </c>
      <c r="H132" s="669" t="n">
        <v>11.2</v>
      </c>
      <c r="I132" s="669" t="n">
        <v>11.776</v>
      </c>
      <c r="J132" s="38" t="n">
        <v>56</v>
      </c>
      <c r="K132" s="38" t="inlineStr">
        <is>
          <t>8</t>
        </is>
      </c>
      <c r="L132" s="39" t="inlineStr">
        <is>
          <t>СК2</t>
        </is>
      </c>
      <c r="M132" s="38" t="n">
        <v>30</v>
      </c>
      <c r="N132" s="741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O132" s="671" t="n"/>
      <c r="P132" s="671" t="n"/>
      <c r="Q132" s="671" t="n"/>
      <c r="R132" s="637" t="n"/>
      <c r="S132" s="40" t="inlineStr"/>
      <c r="T132" s="40" t="inlineStr"/>
      <c r="U132" s="41" t="inlineStr">
        <is>
          <t>кг</t>
        </is>
      </c>
      <c r="V132" s="672" t="n">
        <v>0</v>
      </c>
      <c r="W132" s="673">
        <f>IFERROR(IF(V132="",0,CEILING((V132/$H132),1)*$H132),"")</f>
        <v/>
      </c>
      <c r="X132" s="42">
        <f>IFERROR(IF(W132=0,"",ROUNDUP(W132/H132,0)*0.02175),"")</f>
        <v/>
      </c>
      <c r="Y132" s="69" t="inlineStr"/>
      <c r="Z132" s="70" t="inlineStr"/>
      <c r="AD132" s="71" t="n"/>
      <c r="BA132" s="137" t="inlineStr">
        <is>
          <t>КИ</t>
        </is>
      </c>
    </row>
    <row r="133">
      <c r="A133" s="320" t="n"/>
      <c r="B133" s="313" t="n"/>
      <c r="C133" s="313" t="n"/>
      <c r="D133" s="313" t="n"/>
      <c r="E133" s="313" t="n"/>
      <c r="F133" s="313" t="n"/>
      <c r="G133" s="313" t="n"/>
      <c r="H133" s="313" t="n"/>
      <c r="I133" s="313" t="n"/>
      <c r="J133" s="313" t="n"/>
      <c r="K133" s="313" t="n"/>
      <c r="L133" s="313" t="n"/>
      <c r="M133" s="674" t="n"/>
      <c r="N133" s="675" t="inlineStr">
        <is>
          <t>Итого</t>
        </is>
      </c>
      <c r="O133" s="645" t="n"/>
      <c r="P133" s="645" t="n"/>
      <c r="Q133" s="645" t="n"/>
      <c r="R133" s="645" t="n"/>
      <c r="S133" s="645" t="n"/>
      <c r="T133" s="646" t="n"/>
      <c r="U133" s="43" t="inlineStr">
        <is>
          <t>кор</t>
        </is>
      </c>
      <c r="V133" s="676">
        <f>IFERROR(V130/H130,"0")+IFERROR(V131/H131,"0")+IFERROR(V132/H132,"0")</f>
        <v/>
      </c>
      <c r="W133" s="676">
        <f>IFERROR(W130/H130,"0")+IFERROR(W131/H131,"0")+IFERROR(W132/H132,"0")</f>
        <v/>
      </c>
      <c r="X133" s="676">
        <f>IFERROR(IF(X130="",0,X130),"0")+IFERROR(IF(X131="",0,X131),"0")+IFERROR(IF(X132="",0,X132),"0")</f>
        <v/>
      </c>
      <c r="Y133" s="677" t="n"/>
      <c r="Z133" s="677" t="n"/>
    </row>
    <row r="134">
      <c r="A134" s="313" t="n"/>
      <c r="B134" s="313" t="n"/>
      <c r="C134" s="313" t="n"/>
      <c r="D134" s="313" t="n"/>
      <c r="E134" s="313" t="n"/>
      <c r="F134" s="313" t="n"/>
      <c r="G134" s="313" t="n"/>
      <c r="H134" s="313" t="n"/>
      <c r="I134" s="313" t="n"/>
      <c r="J134" s="313" t="n"/>
      <c r="K134" s="313" t="n"/>
      <c r="L134" s="313" t="n"/>
      <c r="M134" s="674" t="n"/>
      <c r="N134" s="675" t="inlineStr">
        <is>
          <t>Итого</t>
        </is>
      </c>
      <c r="O134" s="645" t="n"/>
      <c r="P134" s="645" t="n"/>
      <c r="Q134" s="645" t="n"/>
      <c r="R134" s="645" t="n"/>
      <c r="S134" s="645" t="n"/>
      <c r="T134" s="646" t="n"/>
      <c r="U134" s="43" t="inlineStr">
        <is>
          <t>кг</t>
        </is>
      </c>
      <c r="V134" s="676">
        <f>IFERROR(SUM(V130:V132),"0")</f>
        <v/>
      </c>
      <c r="W134" s="676">
        <f>IFERROR(SUM(W130:W132),"0")</f>
        <v/>
      </c>
      <c r="X134" s="43" t="n"/>
      <c r="Y134" s="677" t="n"/>
      <c r="Z134" s="677" t="n"/>
    </row>
    <row r="135" ht="16.5" customHeight="1">
      <c r="A135" s="329" t="inlineStr">
        <is>
          <t>Мясорубская</t>
        </is>
      </c>
      <c r="B135" s="313" t="n"/>
      <c r="C135" s="313" t="n"/>
      <c r="D135" s="313" t="n"/>
      <c r="E135" s="313" t="n"/>
      <c r="F135" s="313" t="n"/>
      <c r="G135" s="313" t="n"/>
      <c r="H135" s="313" t="n"/>
      <c r="I135" s="313" t="n"/>
      <c r="J135" s="313" t="n"/>
      <c r="K135" s="313" t="n"/>
      <c r="L135" s="313" t="n"/>
      <c r="M135" s="313" t="n"/>
      <c r="N135" s="313" t="n"/>
      <c r="O135" s="313" t="n"/>
      <c r="P135" s="313" t="n"/>
      <c r="Q135" s="313" t="n"/>
      <c r="R135" s="313" t="n"/>
      <c r="S135" s="313" t="n"/>
      <c r="T135" s="313" t="n"/>
      <c r="U135" s="313" t="n"/>
      <c r="V135" s="313" t="n"/>
      <c r="W135" s="313" t="n"/>
      <c r="X135" s="313" t="n"/>
      <c r="Y135" s="329" t="n"/>
      <c r="Z135" s="329" t="n"/>
    </row>
    <row r="136" ht="14.25" customHeight="1">
      <c r="A136" s="330" t="inlineStr">
        <is>
          <t>Копченые колбасы</t>
        </is>
      </c>
      <c r="B136" s="313" t="n"/>
      <c r="C136" s="313" t="n"/>
      <c r="D136" s="313" t="n"/>
      <c r="E136" s="313" t="n"/>
      <c r="F136" s="313" t="n"/>
      <c r="G136" s="313" t="n"/>
      <c r="H136" s="313" t="n"/>
      <c r="I136" s="313" t="n"/>
      <c r="J136" s="313" t="n"/>
      <c r="K136" s="313" t="n"/>
      <c r="L136" s="313" t="n"/>
      <c r="M136" s="313" t="n"/>
      <c r="N136" s="313" t="n"/>
      <c r="O136" s="313" t="n"/>
      <c r="P136" s="313" t="n"/>
      <c r="Q136" s="313" t="n"/>
      <c r="R136" s="313" t="n"/>
      <c r="S136" s="313" t="n"/>
      <c r="T136" s="313" t="n"/>
      <c r="U136" s="313" t="n"/>
      <c r="V136" s="313" t="n"/>
      <c r="W136" s="313" t="n"/>
      <c r="X136" s="313" t="n"/>
      <c r="Y136" s="330" t="n"/>
      <c r="Z136" s="330" t="n"/>
    </row>
    <row r="137" ht="27" customHeight="1">
      <c r="A137" s="64" t="inlineStr">
        <is>
          <t>SU002756</t>
        </is>
      </c>
      <c r="B137" s="64" t="inlineStr">
        <is>
          <t>P003179</t>
        </is>
      </c>
      <c r="C137" s="37" t="n">
        <v>4301031191</v>
      </c>
      <c r="D137" s="325" t="n">
        <v>4680115880993</v>
      </c>
      <c r="E137" s="637" t="n"/>
      <c r="F137" s="669" t="n">
        <v>0.7</v>
      </c>
      <c r="G137" s="38" t="n">
        <v>6</v>
      </c>
      <c r="H137" s="669" t="n">
        <v>4.2</v>
      </c>
      <c r="I137" s="669" t="n">
        <v>4.46</v>
      </c>
      <c r="J137" s="38" t="n">
        <v>156</v>
      </c>
      <c r="K137" s="38" t="inlineStr">
        <is>
          <t>12</t>
        </is>
      </c>
      <c r="L137" s="39" t="inlineStr">
        <is>
          <t>СК2</t>
        </is>
      </c>
      <c r="M137" s="38" t="n">
        <v>40</v>
      </c>
      <c r="N137" s="742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O137" s="671" t="n"/>
      <c r="P137" s="671" t="n"/>
      <c r="Q137" s="671" t="n"/>
      <c r="R137" s="637" t="n"/>
      <c r="S137" s="40" t="inlineStr"/>
      <c r="T137" s="40" t="inlineStr"/>
      <c r="U137" s="41" t="inlineStr">
        <is>
          <t>кг</t>
        </is>
      </c>
      <c r="V137" s="672" t="n">
        <v>0</v>
      </c>
      <c r="W137" s="673">
        <f>IFERROR(IF(V137="",0,CEILING((V137/$H137),1)*$H137),"")</f>
        <v/>
      </c>
      <c r="X137" s="42">
        <f>IFERROR(IF(W137=0,"",ROUNDUP(W137/H137,0)*0.00753),"")</f>
        <v/>
      </c>
      <c r="Y137" s="69" t="inlineStr"/>
      <c r="Z137" s="70" t="inlineStr"/>
      <c r="AD137" s="71" t="n"/>
      <c r="BA137" s="138" t="inlineStr">
        <is>
          <t>КИ</t>
        </is>
      </c>
    </row>
    <row r="138" ht="27" customHeight="1">
      <c r="A138" s="64" t="inlineStr">
        <is>
          <t>SU002876</t>
        </is>
      </c>
      <c r="B138" s="64" t="inlineStr">
        <is>
          <t>P003276</t>
        </is>
      </c>
      <c r="C138" s="37" t="n">
        <v>4301031204</v>
      </c>
      <c r="D138" s="325" t="n">
        <v>4680115881761</v>
      </c>
      <c r="E138" s="637" t="n"/>
      <c r="F138" s="669" t="n">
        <v>0.7</v>
      </c>
      <c r="G138" s="38" t="n">
        <v>6</v>
      </c>
      <c r="H138" s="669" t="n">
        <v>4.2</v>
      </c>
      <c r="I138" s="669" t="n">
        <v>4.46</v>
      </c>
      <c r="J138" s="38" t="n">
        <v>156</v>
      </c>
      <c r="K138" s="38" t="inlineStr">
        <is>
          <t>12</t>
        </is>
      </c>
      <c r="L138" s="39" t="inlineStr">
        <is>
          <t>СК2</t>
        </is>
      </c>
      <c r="M138" s="38" t="n">
        <v>40</v>
      </c>
      <c r="N138" s="743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O138" s="671" t="n"/>
      <c r="P138" s="671" t="n"/>
      <c r="Q138" s="671" t="n"/>
      <c r="R138" s="637" t="n"/>
      <c r="S138" s="40" t="inlineStr"/>
      <c r="T138" s="40" t="inlineStr"/>
      <c r="U138" s="41" t="inlineStr">
        <is>
          <t>кг</t>
        </is>
      </c>
      <c r="V138" s="672" t="n">
        <v>0</v>
      </c>
      <c r="W138" s="673">
        <f>IFERROR(IF(V138="",0,CEILING((V138/$H138),1)*$H138),"")</f>
        <v/>
      </c>
      <c r="X138" s="42">
        <f>IFERROR(IF(W138=0,"",ROUNDUP(W138/H138,0)*0.00753),"")</f>
        <v/>
      </c>
      <c r="Y138" s="69" t="inlineStr"/>
      <c r="Z138" s="70" t="inlineStr"/>
      <c r="AD138" s="71" t="n"/>
      <c r="BA138" s="139" t="inlineStr">
        <is>
          <t>КИ</t>
        </is>
      </c>
    </row>
    <row r="139" ht="27" customHeight="1">
      <c r="A139" s="64" t="inlineStr">
        <is>
          <t>SU002847</t>
        </is>
      </c>
      <c r="B139" s="64" t="inlineStr">
        <is>
          <t>P003259</t>
        </is>
      </c>
      <c r="C139" s="37" t="n">
        <v>4301031201</v>
      </c>
      <c r="D139" s="325" t="n">
        <v>4680115881563</v>
      </c>
      <c r="E139" s="637" t="n"/>
      <c r="F139" s="669" t="n">
        <v>0.7</v>
      </c>
      <c r="G139" s="38" t="n">
        <v>6</v>
      </c>
      <c r="H139" s="669" t="n">
        <v>4.2</v>
      </c>
      <c r="I139" s="669" t="n">
        <v>4.4</v>
      </c>
      <c r="J139" s="38" t="n">
        <v>156</v>
      </c>
      <c r="K139" s="38" t="inlineStr">
        <is>
          <t>12</t>
        </is>
      </c>
      <c r="L139" s="39" t="inlineStr">
        <is>
          <t>СК2</t>
        </is>
      </c>
      <c r="M139" s="38" t="n">
        <v>40</v>
      </c>
      <c r="N139" s="744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O139" s="671" t="n"/>
      <c r="P139" s="671" t="n"/>
      <c r="Q139" s="671" t="n"/>
      <c r="R139" s="637" t="n"/>
      <c r="S139" s="40" t="inlineStr"/>
      <c r="T139" s="40" t="inlineStr"/>
      <c r="U139" s="41" t="inlineStr">
        <is>
          <t>кг</t>
        </is>
      </c>
      <c r="V139" s="672" t="n">
        <v>0</v>
      </c>
      <c r="W139" s="673">
        <f>IFERROR(IF(V139="",0,CEILING((V139/$H139),1)*$H139),"")</f>
        <v/>
      </c>
      <c r="X139" s="42">
        <f>IFERROR(IF(W139=0,"",ROUNDUP(W139/H139,0)*0.00753),"")</f>
        <v/>
      </c>
      <c r="Y139" s="69" t="inlineStr"/>
      <c r="Z139" s="70" t="inlineStr"/>
      <c r="AD139" s="71" t="n"/>
      <c r="BA139" s="140" t="inlineStr">
        <is>
          <t>КИ</t>
        </is>
      </c>
    </row>
    <row r="140" ht="27" customHeight="1">
      <c r="A140" s="64" t="inlineStr">
        <is>
          <t>SU002660</t>
        </is>
      </c>
      <c r="B140" s="64" t="inlineStr">
        <is>
          <t>P003256</t>
        </is>
      </c>
      <c r="C140" s="37" t="n">
        <v>4301031199</v>
      </c>
      <c r="D140" s="325" t="n">
        <v>4680115880986</v>
      </c>
      <c r="E140" s="637" t="n"/>
      <c r="F140" s="669" t="n">
        <v>0.35</v>
      </c>
      <c r="G140" s="38" t="n">
        <v>6</v>
      </c>
      <c r="H140" s="669" t="n">
        <v>2.1</v>
      </c>
      <c r="I140" s="669" t="n">
        <v>2.23</v>
      </c>
      <c r="J140" s="38" t="n">
        <v>234</v>
      </c>
      <c r="K140" s="38" t="inlineStr">
        <is>
          <t>18</t>
        </is>
      </c>
      <c r="L140" s="39" t="inlineStr">
        <is>
          <t>СК2</t>
        </is>
      </c>
      <c r="M140" s="38" t="n">
        <v>40</v>
      </c>
      <c r="N140" s="745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O140" s="671" t="n"/>
      <c r="P140" s="671" t="n"/>
      <c r="Q140" s="671" t="n"/>
      <c r="R140" s="637" t="n"/>
      <c r="S140" s="40" t="inlineStr"/>
      <c r="T140" s="40" t="inlineStr"/>
      <c r="U140" s="41" t="inlineStr">
        <is>
          <t>кг</t>
        </is>
      </c>
      <c r="V140" s="672" t="n">
        <v>0</v>
      </c>
      <c r="W140" s="673">
        <f>IFERROR(IF(V140="",0,CEILING((V140/$H140),1)*$H140),"")</f>
        <v/>
      </c>
      <c r="X140" s="42">
        <f>IFERROR(IF(W140=0,"",ROUNDUP(W140/H140,0)*0.00502),"")</f>
        <v/>
      </c>
      <c r="Y140" s="69" t="inlineStr"/>
      <c r="Z140" s="70" t="inlineStr"/>
      <c r="AD140" s="71" t="n"/>
      <c r="BA140" s="141" t="inlineStr">
        <is>
          <t>КИ</t>
        </is>
      </c>
    </row>
    <row r="141" ht="27" customHeight="1">
      <c r="A141" s="64" t="inlineStr">
        <is>
          <t>SU002826</t>
        </is>
      </c>
      <c r="B141" s="64" t="inlineStr">
        <is>
          <t>P003178</t>
        </is>
      </c>
      <c r="C141" s="37" t="n">
        <v>4301031190</v>
      </c>
      <c r="D141" s="325" t="n">
        <v>4680115880207</v>
      </c>
      <c r="E141" s="637" t="n"/>
      <c r="F141" s="669" t="n">
        <v>0.4</v>
      </c>
      <c r="G141" s="38" t="n">
        <v>6</v>
      </c>
      <c r="H141" s="669" t="n">
        <v>2.4</v>
      </c>
      <c r="I141" s="669" t="n">
        <v>2.63</v>
      </c>
      <c r="J141" s="38" t="n">
        <v>156</v>
      </c>
      <c r="K141" s="38" t="inlineStr">
        <is>
          <t>12</t>
        </is>
      </c>
      <c r="L141" s="39" t="inlineStr">
        <is>
          <t>СК2</t>
        </is>
      </c>
      <c r="M141" s="38" t="n">
        <v>40</v>
      </c>
      <c r="N141" s="746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O141" s="671" t="n"/>
      <c r="P141" s="671" t="n"/>
      <c r="Q141" s="671" t="n"/>
      <c r="R141" s="637" t="n"/>
      <c r="S141" s="40" t="inlineStr"/>
      <c r="T141" s="40" t="inlineStr"/>
      <c r="U141" s="41" t="inlineStr">
        <is>
          <t>кг</t>
        </is>
      </c>
      <c r="V141" s="672" t="n">
        <v>0</v>
      </c>
      <c r="W141" s="673">
        <f>IFERROR(IF(V141="",0,CEILING((V141/$H141),1)*$H141),"")</f>
        <v/>
      </c>
      <c r="X141" s="42">
        <f>IFERROR(IF(W141=0,"",ROUNDUP(W141/H141,0)*0.00753),"")</f>
        <v/>
      </c>
      <c r="Y141" s="69" t="inlineStr"/>
      <c r="Z141" s="70" t="inlineStr"/>
      <c r="AD141" s="71" t="n"/>
      <c r="BA141" s="142" t="inlineStr">
        <is>
          <t>КИ</t>
        </is>
      </c>
    </row>
    <row r="142" ht="27" customHeight="1">
      <c r="A142" s="64" t="inlineStr">
        <is>
          <t>SU002877</t>
        </is>
      </c>
      <c r="B142" s="64" t="inlineStr">
        <is>
          <t>P003277</t>
        </is>
      </c>
      <c r="C142" s="37" t="n">
        <v>4301031205</v>
      </c>
      <c r="D142" s="325" t="n">
        <v>4680115881785</v>
      </c>
      <c r="E142" s="637" t="n"/>
      <c r="F142" s="669" t="n">
        <v>0.35</v>
      </c>
      <c r="G142" s="38" t="n">
        <v>6</v>
      </c>
      <c r="H142" s="669" t="n">
        <v>2.1</v>
      </c>
      <c r="I142" s="669" t="n">
        <v>2.23</v>
      </c>
      <c r="J142" s="38" t="n">
        <v>234</v>
      </c>
      <c r="K142" s="38" t="inlineStr">
        <is>
          <t>18</t>
        </is>
      </c>
      <c r="L142" s="39" t="inlineStr">
        <is>
          <t>СК2</t>
        </is>
      </c>
      <c r="M142" s="38" t="n">
        <v>40</v>
      </c>
      <c r="N142" s="747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O142" s="671" t="n"/>
      <c r="P142" s="671" t="n"/>
      <c r="Q142" s="671" t="n"/>
      <c r="R142" s="637" t="n"/>
      <c r="S142" s="40" t="inlineStr"/>
      <c r="T142" s="40" t="inlineStr"/>
      <c r="U142" s="41" t="inlineStr">
        <is>
          <t>кг</t>
        </is>
      </c>
      <c r="V142" s="672" t="n">
        <v>0</v>
      </c>
      <c r="W142" s="673">
        <f>IFERROR(IF(V142="",0,CEILING((V142/$H142),1)*$H142),"")</f>
        <v/>
      </c>
      <c r="X142" s="42">
        <f>IFERROR(IF(W142=0,"",ROUNDUP(W142/H142,0)*0.00502),"")</f>
        <v/>
      </c>
      <c r="Y142" s="69" t="inlineStr"/>
      <c r="Z142" s="70" t="inlineStr"/>
      <c r="AD142" s="71" t="n"/>
      <c r="BA142" s="143" t="inlineStr">
        <is>
          <t>КИ</t>
        </is>
      </c>
    </row>
    <row r="143" ht="27" customHeight="1">
      <c r="A143" s="64" t="inlineStr">
        <is>
          <t>SU002848</t>
        </is>
      </c>
      <c r="B143" s="64" t="inlineStr">
        <is>
          <t>P003260</t>
        </is>
      </c>
      <c r="C143" s="37" t="n">
        <v>4301031202</v>
      </c>
      <c r="D143" s="325" t="n">
        <v>4680115881679</v>
      </c>
      <c r="E143" s="637" t="n"/>
      <c r="F143" s="669" t="n">
        <v>0.35</v>
      </c>
      <c r="G143" s="38" t="n">
        <v>6</v>
      </c>
      <c r="H143" s="669" t="n">
        <v>2.1</v>
      </c>
      <c r="I143" s="669" t="n">
        <v>2.2</v>
      </c>
      <c r="J143" s="38" t="n">
        <v>234</v>
      </c>
      <c r="K143" s="38" t="inlineStr">
        <is>
          <t>18</t>
        </is>
      </c>
      <c r="L143" s="39" t="inlineStr">
        <is>
          <t>СК2</t>
        </is>
      </c>
      <c r="M143" s="38" t="n">
        <v>40</v>
      </c>
      <c r="N143" s="748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O143" s="671" t="n"/>
      <c r="P143" s="671" t="n"/>
      <c r="Q143" s="671" t="n"/>
      <c r="R143" s="637" t="n"/>
      <c r="S143" s="40" t="inlineStr"/>
      <c r="T143" s="40" t="inlineStr"/>
      <c r="U143" s="41" t="inlineStr">
        <is>
          <t>кг</t>
        </is>
      </c>
      <c r="V143" s="672" t="n">
        <v>0</v>
      </c>
      <c r="W143" s="673">
        <f>IFERROR(IF(V143="",0,CEILING((V143/$H143),1)*$H143),"")</f>
        <v/>
      </c>
      <c r="X143" s="42">
        <f>IFERROR(IF(W143=0,"",ROUNDUP(W143/H143,0)*0.00502),"")</f>
        <v/>
      </c>
      <c r="Y143" s="69" t="inlineStr"/>
      <c r="Z143" s="70" t="inlineStr"/>
      <c r="AD143" s="71" t="n"/>
      <c r="BA143" s="144" t="inlineStr">
        <is>
          <t>КИ</t>
        </is>
      </c>
    </row>
    <row r="144" ht="27" customHeight="1">
      <c r="A144" s="64" t="inlineStr">
        <is>
          <t>SU002659</t>
        </is>
      </c>
      <c r="B144" s="64" t="inlineStr">
        <is>
          <t>P003034</t>
        </is>
      </c>
      <c r="C144" s="37" t="n">
        <v>4301031158</v>
      </c>
      <c r="D144" s="325" t="n">
        <v>4680115880191</v>
      </c>
      <c r="E144" s="637" t="n"/>
      <c r="F144" s="669" t="n">
        <v>0.4</v>
      </c>
      <c r="G144" s="38" t="n">
        <v>6</v>
      </c>
      <c r="H144" s="669" t="n">
        <v>2.4</v>
      </c>
      <c r="I144" s="669" t="n">
        <v>2.6</v>
      </c>
      <c r="J144" s="38" t="n">
        <v>156</v>
      </c>
      <c r="K144" s="38" t="inlineStr">
        <is>
          <t>12</t>
        </is>
      </c>
      <c r="L144" s="39" t="inlineStr">
        <is>
          <t>СК2</t>
        </is>
      </c>
      <c r="M144" s="38" t="n">
        <v>40</v>
      </c>
      <c r="N144" s="749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O144" s="671" t="n"/>
      <c r="P144" s="671" t="n"/>
      <c r="Q144" s="671" t="n"/>
      <c r="R144" s="637" t="n"/>
      <c r="S144" s="40" t="inlineStr"/>
      <c r="T144" s="40" t="inlineStr"/>
      <c r="U144" s="41" t="inlineStr">
        <is>
          <t>кг</t>
        </is>
      </c>
      <c r="V144" s="672" t="n">
        <v>0</v>
      </c>
      <c r="W144" s="673">
        <f>IFERROR(IF(V144="",0,CEILING((V144/$H144),1)*$H144),"")</f>
        <v/>
      </c>
      <c r="X144" s="42">
        <f>IFERROR(IF(W144=0,"",ROUNDUP(W144/H144,0)*0.00753),"")</f>
        <v/>
      </c>
      <c r="Y144" s="69" t="inlineStr"/>
      <c r="Z144" s="70" t="inlineStr"/>
      <c r="AD144" s="71" t="n"/>
      <c r="BA144" s="145" t="inlineStr">
        <is>
          <t>КИ</t>
        </is>
      </c>
    </row>
    <row r="145">
      <c r="A145" s="320" t="n"/>
      <c r="B145" s="313" t="n"/>
      <c r="C145" s="313" t="n"/>
      <c r="D145" s="313" t="n"/>
      <c r="E145" s="313" t="n"/>
      <c r="F145" s="313" t="n"/>
      <c r="G145" s="313" t="n"/>
      <c r="H145" s="313" t="n"/>
      <c r="I145" s="313" t="n"/>
      <c r="J145" s="313" t="n"/>
      <c r="K145" s="313" t="n"/>
      <c r="L145" s="313" t="n"/>
      <c r="M145" s="674" t="n"/>
      <c r="N145" s="675" t="inlineStr">
        <is>
          <t>Итого</t>
        </is>
      </c>
      <c r="O145" s="645" t="n"/>
      <c r="P145" s="645" t="n"/>
      <c r="Q145" s="645" t="n"/>
      <c r="R145" s="645" t="n"/>
      <c r="S145" s="645" t="n"/>
      <c r="T145" s="646" t="n"/>
      <c r="U145" s="43" t="inlineStr">
        <is>
          <t>кор</t>
        </is>
      </c>
      <c r="V145" s="676">
        <f>IFERROR(V137/H137,"0")+IFERROR(V138/H138,"0")+IFERROR(V139/H139,"0")+IFERROR(V140/H140,"0")+IFERROR(V141/H141,"0")+IFERROR(V142/H142,"0")+IFERROR(V143/H143,"0")+IFERROR(V144/H144,"0")</f>
        <v/>
      </c>
      <c r="W145" s="676">
        <f>IFERROR(W137/H137,"0")+IFERROR(W138/H138,"0")+IFERROR(W139/H139,"0")+IFERROR(W140/H140,"0")+IFERROR(W141/H141,"0")+IFERROR(W142/H142,"0")+IFERROR(W143/H143,"0")+IFERROR(W144/H144,"0")</f>
        <v/>
      </c>
      <c r="X145" s="676">
        <f>IFERROR(IF(X137="",0,X137),"0")+IFERROR(IF(X138="",0,X138),"0")+IFERROR(IF(X139="",0,X139),"0")+IFERROR(IF(X140="",0,X140),"0")+IFERROR(IF(X141="",0,X141),"0")+IFERROR(IF(X142="",0,X142),"0")+IFERROR(IF(X143="",0,X143),"0")+IFERROR(IF(X144="",0,X144),"0")</f>
        <v/>
      </c>
      <c r="Y145" s="677" t="n"/>
      <c r="Z145" s="677" t="n"/>
    </row>
    <row r="146">
      <c r="A146" s="313" t="n"/>
      <c r="B146" s="313" t="n"/>
      <c r="C146" s="313" t="n"/>
      <c r="D146" s="313" t="n"/>
      <c r="E146" s="313" t="n"/>
      <c r="F146" s="313" t="n"/>
      <c r="G146" s="313" t="n"/>
      <c r="H146" s="313" t="n"/>
      <c r="I146" s="313" t="n"/>
      <c r="J146" s="313" t="n"/>
      <c r="K146" s="313" t="n"/>
      <c r="L146" s="313" t="n"/>
      <c r="M146" s="674" t="n"/>
      <c r="N146" s="675" t="inlineStr">
        <is>
          <t>Итого</t>
        </is>
      </c>
      <c r="O146" s="645" t="n"/>
      <c r="P146" s="645" t="n"/>
      <c r="Q146" s="645" t="n"/>
      <c r="R146" s="645" t="n"/>
      <c r="S146" s="645" t="n"/>
      <c r="T146" s="646" t="n"/>
      <c r="U146" s="43" t="inlineStr">
        <is>
          <t>кг</t>
        </is>
      </c>
      <c r="V146" s="676">
        <f>IFERROR(SUM(V137:V144),"0")</f>
        <v/>
      </c>
      <c r="W146" s="676">
        <f>IFERROR(SUM(W137:W144),"0")</f>
        <v/>
      </c>
      <c r="X146" s="43" t="n"/>
      <c r="Y146" s="677" t="n"/>
      <c r="Z146" s="677" t="n"/>
    </row>
    <row r="147" ht="16.5" customHeight="1">
      <c r="A147" s="329" t="inlineStr">
        <is>
          <t>Сочинка</t>
        </is>
      </c>
      <c r="B147" s="313" t="n"/>
      <c r="C147" s="313" t="n"/>
      <c r="D147" s="313" t="n"/>
      <c r="E147" s="313" t="n"/>
      <c r="F147" s="313" t="n"/>
      <c r="G147" s="313" t="n"/>
      <c r="H147" s="313" t="n"/>
      <c r="I147" s="313" t="n"/>
      <c r="J147" s="313" t="n"/>
      <c r="K147" s="313" t="n"/>
      <c r="L147" s="313" t="n"/>
      <c r="M147" s="313" t="n"/>
      <c r="N147" s="313" t="n"/>
      <c r="O147" s="313" t="n"/>
      <c r="P147" s="313" t="n"/>
      <c r="Q147" s="313" t="n"/>
      <c r="R147" s="313" t="n"/>
      <c r="S147" s="313" t="n"/>
      <c r="T147" s="313" t="n"/>
      <c r="U147" s="313" t="n"/>
      <c r="V147" s="313" t="n"/>
      <c r="W147" s="313" t="n"/>
      <c r="X147" s="313" t="n"/>
      <c r="Y147" s="329" t="n"/>
      <c r="Z147" s="329" t="n"/>
    </row>
    <row r="148" ht="14.25" customHeight="1">
      <c r="A148" s="330" t="inlineStr">
        <is>
          <t>Вареные колбасы</t>
        </is>
      </c>
      <c r="B148" s="313" t="n"/>
      <c r="C148" s="313" t="n"/>
      <c r="D148" s="313" t="n"/>
      <c r="E148" s="313" t="n"/>
      <c r="F148" s="313" t="n"/>
      <c r="G148" s="313" t="n"/>
      <c r="H148" s="313" t="n"/>
      <c r="I148" s="313" t="n"/>
      <c r="J148" s="313" t="n"/>
      <c r="K148" s="313" t="n"/>
      <c r="L148" s="313" t="n"/>
      <c r="M148" s="313" t="n"/>
      <c r="N148" s="313" t="n"/>
      <c r="O148" s="313" t="n"/>
      <c r="P148" s="313" t="n"/>
      <c r="Q148" s="313" t="n"/>
      <c r="R148" s="313" t="n"/>
      <c r="S148" s="313" t="n"/>
      <c r="T148" s="313" t="n"/>
      <c r="U148" s="313" t="n"/>
      <c r="V148" s="313" t="n"/>
      <c r="W148" s="313" t="n"/>
      <c r="X148" s="313" t="n"/>
      <c r="Y148" s="330" t="n"/>
      <c r="Z148" s="330" t="n"/>
    </row>
    <row r="149" ht="16.5" customHeight="1">
      <c r="A149" s="64" t="inlineStr">
        <is>
          <t>SU002824</t>
        </is>
      </c>
      <c r="B149" s="64" t="inlineStr">
        <is>
          <t>P003231</t>
        </is>
      </c>
      <c r="C149" s="37" t="n">
        <v>4301011450</v>
      </c>
      <c r="D149" s="325" t="n">
        <v>4680115881402</v>
      </c>
      <c r="E149" s="637" t="n"/>
      <c r="F149" s="669" t="n">
        <v>1.35</v>
      </c>
      <c r="G149" s="38" t="n">
        <v>8</v>
      </c>
      <c r="H149" s="669" t="n">
        <v>10.8</v>
      </c>
      <c r="I149" s="669" t="n">
        <v>11.28</v>
      </c>
      <c r="J149" s="38" t="n">
        <v>56</v>
      </c>
      <c r="K149" s="38" t="inlineStr">
        <is>
          <t>8</t>
        </is>
      </c>
      <c r="L149" s="39" t="inlineStr">
        <is>
          <t>СК1</t>
        </is>
      </c>
      <c r="M149" s="38" t="n">
        <v>55</v>
      </c>
      <c r="N149" s="750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O149" s="671" t="n"/>
      <c r="P149" s="671" t="n"/>
      <c r="Q149" s="671" t="n"/>
      <c r="R149" s="637" t="n"/>
      <c r="S149" s="40" t="inlineStr"/>
      <c r="T149" s="40" t="inlineStr"/>
      <c r="U149" s="41" t="inlineStr">
        <is>
          <t>кг</t>
        </is>
      </c>
      <c r="V149" s="672" t="n">
        <v>0</v>
      </c>
      <c r="W149" s="673">
        <f>IFERROR(IF(V149="",0,CEILING((V149/$H149),1)*$H149),"")</f>
        <v/>
      </c>
      <c r="X149" s="42">
        <f>IFERROR(IF(W149=0,"",ROUNDUP(W149/H149,0)*0.02175),"")</f>
        <v/>
      </c>
      <c r="Y149" s="69" t="inlineStr"/>
      <c r="Z149" s="70" t="inlineStr"/>
      <c r="AD149" s="71" t="n"/>
      <c r="BA149" s="146" t="inlineStr">
        <is>
          <t>КИ</t>
        </is>
      </c>
    </row>
    <row r="150" ht="27" customHeight="1">
      <c r="A150" s="64" t="inlineStr">
        <is>
          <t>SU002823</t>
        </is>
      </c>
      <c r="B150" s="64" t="inlineStr">
        <is>
          <t>P003230</t>
        </is>
      </c>
      <c r="C150" s="37" t="n">
        <v>4301011454</v>
      </c>
      <c r="D150" s="325" t="n">
        <v>4680115881396</v>
      </c>
      <c r="E150" s="637" t="n"/>
      <c r="F150" s="669" t="n">
        <v>0.45</v>
      </c>
      <c r="G150" s="38" t="n">
        <v>6</v>
      </c>
      <c r="H150" s="669" t="n">
        <v>2.7</v>
      </c>
      <c r="I150" s="669" t="n">
        <v>2.9</v>
      </c>
      <c r="J150" s="38" t="n">
        <v>156</v>
      </c>
      <c r="K150" s="38" t="inlineStr">
        <is>
          <t>12</t>
        </is>
      </c>
      <c r="L150" s="39" t="inlineStr">
        <is>
          <t>СК2</t>
        </is>
      </c>
      <c r="M150" s="38" t="n">
        <v>55</v>
      </c>
      <c r="N150" s="751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O150" s="671" t="n"/>
      <c r="P150" s="671" t="n"/>
      <c r="Q150" s="671" t="n"/>
      <c r="R150" s="637" t="n"/>
      <c r="S150" s="40" t="inlineStr"/>
      <c r="T150" s="40" t="inlineStr"/>
      <c r="U150" s="41" t="inlineStr">
        <is>
          <t>кг</t>
        </is>
      </c>
      <c r="V150" s="672" t="n">
        <v>4</v>
      </c>
      <c r="W150" s="673">
        <f>IFERROR(IF(V150="",0,CEILING((V150/$H150),1)*$H150),"")</f>
        <v/>
      </c>
      <c r="X150" s="42">
        <f>IFERROR(IF(W150=0,"",ROUNDUP(W150/H150,0)*0.00753),"")</f>
        <v/>
      </c>
      <c r="Y150" s="69" t="inlineStr"/>
      <c r="Z150" s="70" t="inlineStr"/>
      <c r="AD150" s="71" t="n"/>
      <c r="BA150" s="147" t="inlineStr">
        <is>
          <t>КИ</t>
        </is>
      </c>
    </row>
    <row r="151">
      <c r="A151" s="320" t="n"/>
      <c r="B151" s="313" t="n"/>
      <c r="C151" s="313" t="n"/>
      <c r="D151" s="313" t="n"/>
      <c r="E151" s="313" t="n"/>
      <c r="F151" s="313" t="n"/>
      <c r="G151" s="313" t="n"/>
      <c r="H151" s="313" t="n"/>
      <c r="I151" s="313" t="n"/>
      <c r="J151" s="313" t="n"/>
      <c r="K151" s="313" t="n"/>
      <c r="L151" s="313" t="n"/>
      <c r="M151" s="674" t="n"/>
      <c r="N151" s="675" t="inlineStr">
        <is>
          <t>Итого</t>
        </is>
      </c>
      <c r="O151" s="645" t="n"/>
      <c r="P151" s="645" t="n"/>
      <c r="Q151" s="645" t="n"/>
      <c r="R151" s="645" t="n"/>
      <c r="S151" s="645" t="n"/>
      <c r="T151" s="646" t="n"/>
      <c r="U151" s="43" t="inlineStr">
        <is>
          <t>кор</t>
        </is>
      </c>
      <c r="V151" s="676">
        <f>IFERROR(V149/H149,"0")+IFERROR(V150/H150,"0")</f>
        <v/>
      </c>
      <c r="W151" s="676">
        <f>IFERROR(W149/H149,"0")+IFERROR(W150/H150,"0")</f>
        <v/>
      </c>
      <c r="X151" s="676">
        <f>IFERROR(IF(X149="",0,X149),"0")+IFERROR(IF(X150="",0,X150),"0")</f>
        <v/>
      </c>
      <c r="Y151" s="677" t="n"/>
      <c r="Z151" s="677" t="n"/>
    </row>
    <row r="152">
      <c r="A152" s="313" t="n"/>
      <c r="B152" s="313" t="n"/>
      <c r="C152" s="313" t="n"/>
      <c r="D152" s="313" t="n"/>
      <c r="E152" s="313" t="n"/>
      <c r="F152" s="313" t="n"/>
      <c r="G152" s="313" t="n"/>
      <c r="H152" s="313" t="n"/>
      <c r="I152" s="313" t="n"/>
      <c r="J152" s="313" t="n"/>
      <c r="K152" s="313" t="n"/>
      <c r="L152" s="313" t="n"/>
      <c r="M152" s="674" t="n"/>
      <c r="N152" s="675" t="inlineStr">
        <is>
          <t>Итого</t>
        </is>
      </c>
      <c r="O152" s="645" t="n"/>
      <c r="P152" s="645" t="n"/>
      <c r="Q152" s="645" t="n"/>
      <c r="R152" s="645" t="n"/>
      <c r="S152" s="645" t="n"/>
      <c r="T152" s="646" t="n"/>
      <c r="U152" s="43" t="inlineStr">
        <is>
          <t>кг</t>
        </is>
      </c>
      <c r="V152" s="676">
        <f>IFERROR(SUM(V149:V150),"0")</f>
        <v/>
      </c>
      <c r="W152" s="676">
        <f>IFERROR(SUM(W149:W150),"0")</f>
        <v/>
      </c>
      <c r="X152" s="43" t="n"/>
      <c r="Y152" s="677" t="n"/>
      <c r="Z152" s="677" t="n"/>
    </row>
    <row r="153" ht="14.25" customHeight="1">
      <c r="A153" s="330" t="inlineStr">
        <is>
          <t>Ветчины</t>
        </is>
      </c>
      <c r="B153" s="313" t="n"/>
      <c r="C153" s="313" t="n"/>
      <c r="D153" s="313" t="n"/>
      <c r="E153" s="313" t="n"/>
      <c r="F153" s="313" t="n"/>
      <c r="G153" s="313" t="n"/>
      <c r="H153" s="313" t="n"/>
      <c r="I153" s="313" t="n"/>
      <c r="J153" s="313" t="n"/>
      <c r="K153" s="313" t="n"/>
      <c r="L153" s="313" t="n"/>
      <c r="M153" s="313" t="n"/>
      <c r="N153" s="313" t="n"/>
      <c r="O153" s="313" t="n"/>
      <c r="P153" s="313" t="n"/>
      <c r="Q153" s="313" t="n"/>
      <c r="R153" s="313" t="n"/>
      <c r="S153" s="313" t="n"/>
      <c r="T153" s="313" t="n"/>
      <c r="U153" s="313" t="n"/>
      <c r="V153" s="313" t="n"/>
      <c r="W153" s="313" t="n"/>
      <c r="X153" s="313" t="n"/>
      <c r="Y153" s="330" t="n"/>
      <c r="Z153" s="330" t="n"/>
    </row>
    <row r="154" ht="16.5" customHeight="1">
      <c r="A154" s="64" t="inlineStr">
        <is>
          <t>SU003068</t>
        </is>
      </c>
      <c r="B154" s="64" t="inlineStr">
        <is>
          <t>P003611</t>
        </is>
      </c>
      <c r="C154" s="37" t="n">
        <v>4301020262</v>
      </c>
      <c r="D154" s="325" t="n">
        <v>4680115882935</v>
      </c>
      <c r="E154" s="637" t="n"/>
      <c r="F154" s="669" t="n">
        <v>1.35</v>
      </c>
      <c r="G154" s="38" t="n">
        <v>8</v>
      </c>
      <c r="H154" s="669" t="n">
        <v>10.8</v>
      </c>
      <c r="I154" s="669" t="n">
        <v>11.28</v>
      </c>
      <c r="J154" s="38" t="n">
        <v>56</v>
      </c>
      <c r="K154" s="38" t="inlineStr">
        <is>
          <t>8</t>
        </is>
      </c>
      <c r="L154" s="39" t="inlineStr">
        <is>
          <t>СК3</t>
        </is>
      </c>
      <c r="M154" s="38" t="n">
        <v>50</v>
      </c>
      <c r="N154" s="752" t="inlineStr">
        <is>
          <t>Ветчина «Сочинка с сочным окороком» Весовой п/а ТМ «Стародворье»</t>
        </is>
      </c>
      <c r="O154" s="671" t="n"/>
      <c r="P154" s="671" t="n"/>
      <c r="Q154" s="671" t="n"/>
      <c r="R154" s="637" t="n"/>
      <c r="S154" s="40" t="inlineStr"/>
      <c r="T154" s="40" t="inlineStr"/>
      <c r="U154" s="41" t="inlineStr">
        <is>
          <t>кг</t>
        </is>
      </c>
      <c r="V154" s="672" t="n">
        <v>0</v>
      </c>
      <c r="W154" s="673">
        <f>IFERROR(IF(V154="",0,CEILING((V154/$H154),1)*$H154),"")</f>
        <v/>
      </c>
      <c r="X154" s="42">
        <f>IFERROR(IF(W154=0,"",ROUNDUP(W154/H154,0)*0.02175),"")</f>
        <v/>
      </c>
      <c r="Y154" s="69" t="inlineStr"/>
      <c r="Z154" s="70" t="inlineStr"/>
      <c r="AD154" s="71" t="n"/>
      <c r="BA154" s="148" t="inlineStr">
        <is>
          <t>КИ</t>
        </is>
      </c>
    </row>
    <row r="155" ht="16.5" customHeight="1">
      <c r="A155" s="64" t="inlineStr">
        <is>
          <t>SU002757</t>
        </is>
      </c>
      <c r="B155" s="64" t="inlineStr">
        <is>
          <t>P003128</t>
        </is>
      </c>
      <c r="C155" s="37" t="n">
        <v>4301020220</v>
      </c>
      <c r="D155" s="325" t="n">
        <v>4680115880764</v>
      </c>
      <c r="E155" s="637" t="n"/>
      <c r="F155" s="669" t="n">
        <v>0.35</v>
      </c>
      <c r="G155" s="38" t="n">
        <v>6</v>
      </c>
      <c r="H155" s="669" t="n">
        <v>2.1</v>
      </c>
      <c r="I155" s="669" t="n">
        <v>2.3</v>
      </c>
      <c r="J155" s="38" t="n">
        <v>156</v>
      </c>
      <c r="K155" s="38" t="inlineStr">
        <is>
          <t>12</t>
        </is>
      </c>
      <c r="L155" s="39" t="inlineStr">
        <is>
          <t>СК1</t>
        </is>
      </c>
      <c r="M155" s="38" t="n">
        <v>50</v>
      </c>
      <c r="N155" s="753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O155" s="671" t="n"/>
      <c r="P155" s="671" t="n"/>
      <c r="Q155" s="671" t="n"/>
      <c r="R155" s="637" t="n"/>
      <c r="S155" s="40" t="inlineStr"/>
      <c r="T155" s="40" t="inlineStr"/>
      <c r="U155" s="41" t="inlineStr">
        <is>
          <t>кг</t>
        </is>
      </c>
      <c r="V155" s="672" t="n">
        <v>0</v>
      </c>
      <c r="W155" s="673">
        <f>IFERROR(IF(V155="",0,CEILING((V155/$H155),1)*$H155),"")</f>
        <v/>
      </c>
      <c r="X155" s="42">
        <f>IFERROR(IF(W155=0,"",ROUNDUP(W155/H155,0)*0.00753),"")</f>
        <v/>
      </c>
      <c r="Y155" s="69" t="inlineStr"/>
      <c r="Z155" s="70" t="inlineStr"/>
      <c r="AD155" s="71" t="n"/>
      <c r="BA155" s="149" t="inlineStr">
        <is>
          <t>КИ</t>
        </is>
      </c>
    </row>
    <row r="156">
      <c r="A156" s="320" t="n"/>
      <c r="B156" s="313" t="n"/>
      <c r="C156" s="313" t="n"/>
      <c r="D156" s="313" t="n"/>
      <c r="E156" s="313" t="n"/>
      <c r="F156" s="313" t="n"/>
      <c r="G156" s="313" t="n"/>
      <c r="H156" s="313" t="n"/>
      <c r="I156" s="313" t="n"/>
      <c r="J156" s="313" t="n"/>
      <c r="K156" s="313" t="n"/>
      <c r="L156" s="313" t="n"/>
      <c r="M156" s="674" t="n"/>
      <c r="N156" s="675" t="inlineStr">
        <is>
          <t>Итого</t>
        </is>
      </c>
      <c r="O156" s="645" t="n"/>
      <c r="P156" s="645" t="n"/>
      <c r="Q156" s="645" t="n"/>
      <c r="R156" s="645" t="n"/>
      <c r="S156" s="645" t="n"/>
      <c r="T156" s="646" t="n"/>
      <c r="U156" s="43" t="inlineStr">
        <is>
          <t>кор</t>
        </is>
      </c>
      <c r="V156" s="676">
        <f>IFERROR(V154/H154,"0")+IFERROR(V155/H155,"0")</f>
        <v/>
      </c>
      <c r="W156" s="676">
        <f>IFERROR(W154/H154,"0")+IFERROR(W155/H155,"0")</f>
        <v/>
      </c>
      <c r="X156" s="676">
        <f>IFERROR(IF(X154="",0,X154),"0")+IFERROR(IF(X155="",0,X155),"0")</f>
        <v/>
      </c>
      <c r="Y156" s="677" t="n"/>
      <c r="Z156" s="677" t="n"/>
    </row>
    <row r="157">
      <c r="A157" s="313" t="n"/>
      <c r="B157" s="313" t="n"/>
      <c r="C157" s="313" t="n"/>
      <c r="D157" s="313" t="n"/>
      <c r="E157" s="313" t="n"/>
      <c r="F157" s="313" t="n"/>
      <c r="G157" s="313" t="n"/>
      <c r="H157" s="313" t="n"/>
      <c r="I157" s="313" t="n"/>
      <c r="J157" s="313" t="n"/>
      <c r="K157" s="313" t="n"/>
      <c r="L157" s="313" t="n"/>
      <c r="M157" s="674" t="n"/>
      <c r="N157" s="675" t="inlineStr">
        <is>
          <t>Итого</t>
        </is>
      </c>
      <c r="O157" s="645" t="n"/>
      <c r="P157" s="645" t="n"/>
      <c r="Q157" s="645" t="n"/>
      <c r="R157" s="645" t="n"/>
      <c r="S157" s="645" t="n"/>
      <c r="T157" s="646" t="n"/>
      <c r="U157" s="43" t="inlineStr">
        <is>
          <t>кг</t>
        </is>
      </c>
      <c r="V157" s="676">
        <f>IFERROR(SUM(V154:V155),"0")</f>
        <v/>
      </c>
      <c r="W157" s="676">
        <f>IFERROR(SUM(W154:W155),"0")</f>
        <v/>
      </c>
      <c r="X157" s="43" t="n"/>
      <c r="Y157" s="677" t="n"/>
      <c r="Z157" s="677" t="n"/>
    </row>
    <row r="158" ht="14.25" customHeight="1">
      <c r="A158" s="330" t="inlineStr">
        <is>
          <t>Копченые колбасы</t>
        </is>
      </c>
      <c r="B158" s="313" t="n"/>
      <c r="C158" s="313" t="n"/>
      <c r="D158" s="313" t="n"/>
      <c r="E158" s="313" t="n"/>
      <c r="F158" s="313" t="n"/>
      <c r="G158" s="313" t="n"/>
      <c r="H158" s="313" t="n"/>
      <c r="I158" s="313" t="n"/>
      <c r="J158" s="313" t="n"/>
      <c r="K158" s="313" t="n"/>
      <c r="L158" s="313" t="n"/>
      <c r="M158" s="313" t="n"/>
      <c r="N158" s="313" t="n"/>
      <c r="O158" s="313" t="n"/>
      <c r="P158" s="313" t="n"/>
      <c r="Q158" s="313" t="n"/>
      <c r="R158" s="313" t="n"/>
      <c r="S158" s="313" t="n"/>
      <c r="T158" s="313" t="n"/>
      <c r="U158" s="313" t="n"/>
      <c r="V158" s="313" t="n"/>
      <c r="W158" s="313" t="n"/>
      <c r="X158" s="313" t="n"/>
      <c r="Y158" s="330" t="n"/>
      <c r="Z158" s="330" t="n"/>
    </row>
    <row r="159" ht="27" customHeight="1">
      <c r="A159" s="64" t="inlineStr">
        <is>
          <t>SU002941</t>
        </is>
      </c>
      <c r="B159" s="64" t="inlineStr">
        <is>
          <t>P003387</t>
        </is>
      </c>
      <c r="C159" s="37" t="n">
        <v>4301031224</v>
      </c>
      <c r="D159" s="325" t="n">
        <v>4680115882683</v>
      </c>
      <c r="E159" s="637" t="n"/>
      <c r="F159" s="669" t="n">
        <v>0.9</v>
      </c>
      <c r="G159" s="38" t="n">
        <v>6</v>
      </c>
      <c r="H159" s="669" t="n">
        <v>5.4</v>
      </c>
      <c r="I159" s="669" t="n">
        <v>5.61</v>
      </c>
      <c r="J159" s="38" t="n">
        <v>120</v>
      </c>
      <c r="K159" s="38" t="inlineStr">
        <is>
          <t>12</t>
        </is>
      </c>
      <c r="L159" s="39" t="inlineStr">
        <is>
          <t>СК2</t>
        </is>
      </c>
      <c r="M159" s="38" t="n">
        <v>40</v>
      </c>
      <c r="N159" s="754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O159" s="671" t="n"/>
      <c r="P159" s="671" t="n"/>
      <c r="Q159" s="671" t="n"/>
      <c r="R159" s="637" t="n"/>
      <c r="S159" s="40" t="inlineStr"/>
      <c r="T159" s="40" t="inlineStr"/>
      <c r="U159" s="41" t="inlineStr">
        <is>
          <t>кг</t>
        </is>
      </c>
      <c r="V159" s="672" t="n">
        <v>0</v>
      </c>
      <c r="W159" s="673">
        <f>IFERROR(IF(V159="",0,CEILING((V159/$H159),1)*$H159),"")</f>
        <v/>
      </c>
      <c r="X159" s="42">
        <f>IFERROR(IF(W159=0,"",ROUNDUP(W159/H159,0)*0.00937),"")</f>
        <v/>
      </c>
      <c r="Y159" s="69" t="inlineStr"/>
      <c r="Z159" s="70" t="inlineStr"/>
      <c r="AD159" s="71" t="n"/>
      <c r="BA159" s="150" t="inlineStr">
        <is>
          <t>КИ</t>
        </is>
      </c>
    </row>
    <row r="160" ht="27" customHeight="1">
      <c r="A160" s="64" t="inlineStr">
        <is>
          <t>SU002943</t>
        </is>
      </c>
      <c r="B160" s="64" t="inlineStr">
        <is>
          <t>P003401</t>
        </is>
      </c>
      <c r="C160" s="37" t="n">
        <v>4301031230</v>
      </c>
      <c r="D160" s="325" t="n">
        <v>4680115882690</v>
      </c>
      <c r="E160" s="637" t="n"/>
      <c r="F160" s="669" t="n">
        <v>0.9</v>
      </c>
      <c r="G160" s="38" t="n">
        <v>6</v>
      </c>
      <c r="H160" s="669" t="n">
        <v>5.4</v>
      </c>
      <c r="I160" s="669" t="n">
        <v>5.61</v>
      </c>
      <c r="J160" s="38" t="n">
        <v>120</v>
      </c>
      <c r="K160" s="38" t="inlineStr">
        <is>
          <t>12</t>
        </is>
      </c>
      <c r="L160" s="39" t="inlineStr">
        <is>
          <t>СК2</t>
        </is>
      </c>
      <c r="M160" s="38" t="n">
        <v>40</v>
      </c>
      <c r="N160" s="755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O160" s="671" t="n"/>
      <c r="P160" s="671" t="n"/>
      <c r="Q160" s="671" t="n"/>
      <c r="R160" s="637" t="n"/>
      <c r="S160" s="40" t="inlineStr"/>
      <c r="T160" s="40" t="inlineStr"/>
      <c r="U160" s="41" t="inlineStr">
        <is>
          <t>кг</t>
        </is>
      </c>
      <c r="V160" s="672" t="n">
        <v>0</v>
      </c>
      <c r="W160" s="673">
        <f>IFERROR(IF(V160="",0,CEILING((V160/$H160),1)*$H160),"")</f>
        <v/>
      </c>
      <c r="X160" s="42">
        <f>IFERROR(IF(W160=0,"",ROUNDUP(W160/H160,0)*0.00937),"")</f>
        <v/>
      </c>
      <c r="Y160" s="69" t="inlineStr"/>
      <c r="Z160" s="70" t="inlineStr"/>
      <c r="AD160" s="71" t="n"/>
      <c r="BA160" s="151" t="inlineStr">
        <is>
          <t>КИ</t>
        </is>
      </c>
    </row>
    <row r="161" ht="27" customHeight="1">
      <c r="A161" s="64" t="inlineStr">
        <is>
          <t>SU002945</t>
        </is>
      </c>
      <c r="B161" s="64" t="inlineStr">
        <is>
          <t>P003383</t>
        </is>
      </c>
      <c r="C161" s="37" t="n">
        <v>4301031220</v>
      </c>
      <c r="D161" s="325" t="n">
        <v>4680115882669</v>
      </c>
      <c r="E161" s="637" t="n"/>
      <c r="F161" s="669" t="n">
        <v>0.9</v>
      </c>
      <c r="G161" s="38" t="n">
        <v>6</v>
      </c>
      <c r="H161" s="669" t="n">
        <v>5.4</v>
      </c>
      <c r="I161" s="669" t="n">
        <v>5.61</v>
      </c>
      <c r="J161" s="38" t="n">
        <v>120</v>
      </c>
      <c r="K161" s="38" t="inlineStr">
        <is>
          <t>12</t>
        </is>
      </c>
      <c r="L161" s="39" t="inlineStr">
        <is>
          <t>СК2</t>
        </is>
      </c>
      <c r="M161" s="38" t="n">
        <v>40</v>
      </c>
      <c r="N161" s="756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O161" s="671" t="n"/>
      <c r="P161" s="671" t="n"/>
      <c r="Q161" s="671" t="n"/>
      <c r="R161" s="637" t="n"/>
      <c r="S161" s="40" t="inlineStr"/>
      <c r="T161" s="40" t="inlineStr"/>
      <c r="U161" s="41" t="inlineStr">
        <is>
          <t>кг</t>
        </is>
      </c>
      <c r="V161" s="672" t="n">
        <v>0</v>
      </c>
      <c r="W161" s="673">
        <f>IFERROR(IF(V161="",0,CEILING((V161/$H161),1)*$H161),"")</f>
        <v/>
      </c>
      <c r="X161" s="42">
        <f>IFERROR(IF(W161=0,"",ROUNDUP(W161/H161,0)*0.00937),"")</f>
        <v/>
      </c>
      <c r="Y161" s="69" t="inlineStr"/>
      <c r="Z161" s="70" t="inlineStr"/>
      <c r="AD161" s="71" t="n"/>
      <c r="BA161" s="152" t="inlineStr">
        <is>
          <t>КИ</t>
        </is>
      </c>
    </row>
    <row r="162" ht="27" customHeight="1">
      <c r="A162" s="64" t="inlineStr">
        <is>
          <t>SU002947</t>
        </is>
      </c>
      <c r="B162" s="64" t="inlineStr">
        <is>
          <t>P003384</t>
        </is>
      </c>
      <c r="C162" s="37" t="n">
        <v>4301031221</v>
      </c>
      <c r="D162" s="325" t="n">
        <v>4680115882676</v>
      </c>
      <c r="E162" s="637" t="n"/>
      <c r="F162" s="669" t="n">
        <v>0.9</v>
      </c>
      <c r="G162" s="38" t="n">
        <v>6</v>
      </c>
      <c r="H162" s="669" t="n">
        <v>5.4</v>
      </c>
      <c r="I162" s="669" t="n">
        <v>5.61</v>
      </c>
      <c r="J162" s="38" t="n">
        <v>120</v>
      </c>
      <c r="K162" s="38" t="inlineStr">
        <is>
          <t>12</t>
        </is>
      </c>
      <c r="L162" s="39" t="inlineStr">
        <is>
          <t>СК2</t>
        </is>
      </c>
      <c r="M162" s="38" t="n">
        <v>40</v>
      </c>
      <c r="N162" s="757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O162" s="671" t="n"/>
      <c r="P162" s="671" t="n"/>
      <c r="Q162" s="671" t="n"/>
      <c r="R162" s="637" t="n"/>
      <c r="S162" s="40" t="inlineStr"/>
      <c r="T162" s="40" t="inlineStr"/>
      <c r="U162" s="41" t="inlineStr">
        <is>
          <t>кг</t>
        </is>
      </c>
      <c r="V162" s="672" t="n">
        <v>0</v>
      </c>
      <c r="W162" s="673">
        <f>IFERROR(IF(V162="",0,CEILING((V162/$H162),1)*$H162),"")</f>
        <v/>
      </c>
      <c r="X162" s="42">
        <f>IFERROR(IF(W162=0,"",ROUNDUP(W162/H162,0)*0.00937),"")</f>
        <v/>
      </c>
      <c r="Y162" s="69" t="inlineStr"/>
      <c r="Z162" s="70" t="inlineStr"/>
      <c r="AD162" s="71" t="n"/>
      <c r="BA162" s="153" t="inlineStr">
        <is>
          <t>КИ</t>
        </is>
      </c>
    </row>
    <row r="163">
      <c r="A163" s="320" t="n"/>
      <c r="B163" s="313" t="n"/>
      <c r="C163" s="313" t="n"/>
      <c r="D163" s="313" t="n"/>
      <c r="E163" s="313" t="n"/>
      <c r="F163" s="313" t="n"/>
      <c r="G163" s="313" t="n"/>
      <c r="H163" s="313" t="n"/>
      <c r="I163" s="313" t="n"/>
      <c r="J163" s="313" t="n"/>
      <c r="K163" s="313" t="n"/>
      <c r="L163" s="313" t="n"/>
      <c r="M163" s="674" t="n"/>
      <c r="N163" s="675" t="inlineStr">
        <is>
          <t>Итого</t>
        </is>
      </c>
      <c r="O163" s="645" t="n"/>
      <c r="P163" s="645" t="n"/>
      <c r="Q163" s="645" t="n"/>
      <c r="R163" s="645" t="n"/>
      <c r="S163" s="645" t="n"/>
      <c r="T163" s="646" t="n"/>
      <c r="U163" s="43" t="inlineStr">
        <is>
          <t>кор</t>
        </is>
      </c>
      <c r="V163" s="676">
        <f>IFERROR(V159/H159,"0")+IFERROR(V160/H160,"0")+IFERROR(V161/H161,"0")+IFERROR(V162/H162,"0")</f>
        <v/>
      </c>
      <c r="W163" s="676">
        <f>IFERROR(W159/H159,"0")+IFERROR(W160/H160,"0")+IFERROR(W161/H161,"0")+IFERROR(W162/H162,"0")</f>
        <v/>
      </c>
      <c r="X163" s="676">
        <f>IFERROR(IF(X159="",0,X159),"0")+IFERROR(IF(X160="",0,X160),"0")+IFERROR(IF(X161="",0,X161),"0")+IFERROR(IF(X162="",0,X162),"0")</f>
        <v/>
      </c>
      <c r="Y163" s="677" t="n"/>
      <c r="Z163" s="677" t="n"/>
    </row>
    <row r="164">
      <c r="A164" s="313" t="n"/>
      <c r="B164" s="313" t="n"/>
      <c r="C164" s="313" t="n"/>
      <c r="D164" s="313" t="n"/>
      <c r="E164" s="313" t="n"/>
      <c r="F164" s="313" t="n"/>
      <c r="G164" s="313" t="n"/>
      <c r="H164" s="313" t="n"/>
      <c r="I164" s="313" t="n"/>
      <c r="J164" s="313" t="n"/>
      <c r="K164" s="313" t="n"/>
      <c r="L164" s="313" t="n"/>
      <c r="M164" s="674" t="n"/>
      <c r="N164" s="675" t="inlineStr">
        <is>
          <t>Итого</t>
        </is>
      </c>
      <c r="O164" s="645" t="n"/>
      <c r="P164" s="645" t="n"/>
      <c r="Q164" s="645" t="n"/>
      <c r="R164" s="645" t="n"/>
      <c r="S164" s="645" t="n"/>
      <c r="T164" s="646" t="n"/>
      <c r="U164" s="43" t="inlineStr">
        <is>
          <t>кг</t>
        </is>
      </c>
      <c r="V164" s="676">
        <f>IFERROR(SUM(V159:V162),"0")</f>
        <v/>
      </c>
      <c r="W164" s="676">
        <f>IFERROR(SUM(W159:W162),"0")</f>
        <v/>
      </c>
      <c r="X164" s="43" t="n"/>
      <c r="Y164" s="677" t="n"/>
      <c r="Z164" s="677" t="n"/>
    </row>
    <row r="165" ht="14.25" customHeight="1">
      <c r="A165" s="330" t="inlineStr">
        <is>
          <t>Сосиски</t>
        </is>
      </c>
      <c r="B165" s="313" t="n"/>
      <c r="C165" s="313" t="n"/>
      <c r="D165" s="313" t="n"/>
      <c r="E165" s="313" t="n"/>
      <c r="F165" s="313" t="n"/>
      <c r="G165" s="313" t="n"/>
      <c r="H165" s="313" t="n"/>
      <c r="I165" s="313" t="n"/>
      <c r="J165" s="313" t="n"/>
      <c r="K165" s="313" t="n"/>
      <c r="L165" s="313" t="n"/>
      <c r="M165" s="313" t="n"/>
      <c r="N165" s="313" t="n"/>
      <c r="O165" s="313" t="n"/>
      <c r="P165" s="313" t="n"/>
      <c r="Q165" s="313" t="n"/>
      <c r="R165" s="313" t="n"/>
      <c r="S165" s="313" t="n"/>
      <c r="T165" s="313" t="n"/>
      <c r="U165" s="313" t="n"/>
      <c r="V165" s="313" t="n"/>
      <c r="W165" s="313" t="n"/>
      <c r="X165" s="313" t="n"/>
      <c r="Y165" s="330" t="n"/>
      <c r="Z165" s="330" t="n"/>
    </row>
    <row r="166" ht="27" customHeight="1">
      <c r="A166" s="64" t="inlineStr">
        <is>
          <t>SU002857</t>
        </is>
      </c>
      <c r="B166" s="64" t="inlineStr">
        <is>
          <t>P003264</t>
        </is>
      </c>
      <c r="C166" s="37" t="n">
        <v>4301051409</v>
      </c>
      <c r="D166" s="325" t="n">
        <v>4680115881556</v>
      </c>
      <c r="E166" s="637" t="n"/>
      <c r="F166" s="669" t="n">
        <v>1</v>
      </c>
      <c r="G166" s="38" t="n">
        <v>4</v>
      </c>
      <c r="H166" s="669" t="n">
        <v>4</v>
      </c>
      <c r="I166" s="669" t="n">
        <v>4.408</v>
      </c>
      <c r="J166" s="38" t="n">
        <v>104</v>
      </c>
      <c r="K166" s="38" t="inlineStr">
        <is>
          <t>8</t>
        </is>
      </c>
      <c r="L166" s="39" t="inlineStr">
        <is>
          <t>СК3</t>
        </is>
      </c>
      <c r="M166" s="38" t="n">
        <v>45</v>
      </c>
      <c r="N166" s="758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O166" s="671" t="n"/>
      <c r="P166" s="671" t="n"/>
      <c r="Q166" s="671" t="n"/>
      <c r="R166" s="637" t="n"/>
      <c r="S166" s="40" t="inlineStr"/>
      <c r="T166" s="40" t="inlineStr"/>
      <c r="U166" s="41" t="inlineStr">
        <is>
          <t>кг</t>
        </is>
      </c>
      <c r="V166" s="672" t="n">
        <v>0</v>
      </c>
      <c r="W166" s="673">
        <f>IFERROR(IF(V166="",0,CEILING((V166/$H166),1)*$H166),"")</f>
        <v/>
      </c>
      <c r="X166" s="42">
        <f>IFERROR(IF(W166=0,"",ROUNDUP(W166/H166,0)*0.01196),"")</f>
        <v/>
      </c>
      <c r="Y166" s="69" t="inlineStr"/>
      <c r="Z166" s="70" t="inlineStr"/>
      <c r="AD166" s="71" t="n"/>
      <c r="BA166" s="154" t="inlineStr">
        <is>
          <t>КИ</t>
        </is>
      </c>
    </row>
    <row r="167" ht="16.5" customHeight="1">
      <c r="A167" s="64" t="inlineStr">
        <is>
          <t>SU002725</t>
        </is>
      </c>
      <c r="B167" s="64" t="inlineStr">
        <is>
          <t>P003672</t>
        </is>
      </c>
      <c r="C167" s="37" t="n">
        <v>4301051538</v>
      </c>
      <c r="D167" s="325" t="n">
        <v>4680115880573</v>
      </c>
      <c r="E167" s="637" t="n"/>
      <c r="F167" s="669" t="n">
        <v>1.45</v>
      </c>
      <c r="G167" s="38" t="n">
        <v>6</v>
      </c>
      <c r="H167" s="669" t="n">
        <v>8.699999999999999</v>
      </c>
      <c r="I167" s="669" t="n">
        <v>9.263999999999999</v>
      </c>
      <c r="J167" s="38" t="n">
        <v>56</v>
      </c>
      <c r="K167" s="38" t="inlineStr">
        <is>
          <t>8</t>
        </is>
      </c>
      <c r="L167" s="39" t="inlineStr">
        <is>
          <t>СК2</t>
        </is>
      </c>
      <c r="M167" s="38" t="n">
        <v>45</v>
      </c>
      <c r="N167" s="759" t="inlineStr">
        <is>
          <t>Сосиски «Сочинки» Весовой п/а ТМ «Стародворье»</t>
        </is>
      </c>
      <c r="O167" s="671" t="n"/>
      <c r="P167" s="671" t="n"/>
      <c r="Q167" s="671" t="n"/>
      <c r="R167" s="637" t="n"/>
      <c r="S167" s="40" t="inlineStr"/>
      <c r="T167" s="40" t="inlineStr"/>
      <c r="U167" s="41" t="inlineStr">
        <is>
          <t>кг</t>
        </is>
      </c>
      <c r="V167" s="672" t="n">
        <v>0</v>
      </c>
      <c r="W167" s="673">
        <f>IFERROR(IF(V167="",0,CEILING((V167/$H167),1)*$H167),"")</f>
        <v/>
      </c>
      <c r="X167" s="42">
        <f>IFERROR(IF(W167=0,"",ROUNDUP(W167/H167,0)*0.02175),"")</f>
        <v/>
      </c>
      <c r="Y167" s="69" t="inlineStr"/>
      <c r="Z167" s="70" t="inlineStr"/>
      <c r="AD167" s="71" t="n"/>
      <c r="BA167" s="155" t="inlineStr">
        <is>
          <t>КИ</t>
        </is>
      </c>
    </row>
    <row r="168" ht="27" customHeight="1">
      <c r="A168" s="64" t="inlineStr">
        <is>
          <t>SU002843</t>
        </is>
      </c>
      <c r="B168" s="64" t="inlineStr">
        <is>
          <t>P003263</t>
        </is>
      </c>
      <c r="C168" s="37" t="n">
        <v>4301051408</v>
      </c>
      <c r="D168" s="325" t="n">
        <v>4680115881594</v>
      </c>
      <c r="E168" s="637" t="n"/>
      <c r="F168" s="669" t="n">
        <v>1.35</v>
      </c>
      <c r="G168" s="38" t="n">
        <v>6</v>
      </c>
      <c r="H168" s="669" t="n">
        <v>8.1</v>
      </c>
      <c r="I168" s="669" t="n">
        <v>8.664</v>
      </c>
      <c r="J168" s="38" t="n">
        <v>56</v>
      </c>
      <c r="K168" s="38" t="inlineStr">
        <is>
          <t>8</t>
        </is>
      </c>
      <c r="L168" s="39" t="inlineStr">
        <is>
          <t>СК3</t>
        </is>
      </c>
      <c r="M168" s="38" t="n">
        <v>40</v>
      </c>
      <c r="N168" s="760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O168" s="671" t="n"/>
      <c r="P168" s="671" t="n"/>
      <c r="Q168" s="671" t="n"/>
      <c r="R168" s="637" t="n"/>
      <c r="S168" s="40" t="inlineStr"/>
      <c r="T168" s="40" t="inlineStr"/>
      <c r="U168" s="41" t="inlineStr">
        <is>
          <t>кг</t>
        </is>
      </c>
      <c r="V168" s="672" t="n">
        <v>18</v>
      </c>
      <c r="W168" s="673">
        <f>IFERROR(IF(V168="",0,CEILING((V168/$H168),1)*$H168),"")</f>
        <v/>
      </c>
      <c r="X168" s="42">
        <f>IFERROR(IF(W168=0,"",ROUNDUP(W168/H168,0)*0.02175),"")</f>
        <v/>
      </c>
      <c r="Y168" s="69" t="inlineStr"/>
      <c r="Z168" s="70" t="inlineStr"/>
      <c r="AD168" s="71" t="n"/>
      <c r="BA168" s="156" t="inlineStr">
        <is>
          <t>КИ</t>
        </is>
      </c>
    </row>
    <row r="169" ht="27" customHeight="1">
      <c r="A169" s="64" t="inlineStr">
        <is>
          <t>SU002858</t>
        </is>
      </c>
      <c r="B169" s="64" t="inlineStr">
        <is>
          <t>P003581</t>
        </is>
      </c>
      <c r="C169" s="37" t="n">
        <v>4301051505</v>
      </c>
      <c r="D169" s="325" t="n">
        <v>4680115881587</v>
      </c>
      <c r="E169" s="637" t="n"/>
      <c r="F169" s="669" t="n">
        <v>1</v>
      </c>
      <c r="G169" s="38" t="n">
        <v>4</v>
      </c>
      <c r="H169" s="669" t="n">
        <v>4</v>
      </c>
      <c r="I169" s="669" t="n">
        <v>4.408</v>
      </c>
      <c r="J169" s="38" t="n">
        <v>104</v>
      </c>
      <c r="K169" s="38" t="inlineStr">
        <is>
          <t>8</t>
        </is>
      </c>
      <c r="L169" s="39" t="inlineStr">
        <is>
          <t>СК2</t>
        </is>
      </c>
      <c r="M169" s="38" t="n">
        <v>40</v>
      </c>
      <c r="N169" s="761" t="inlineStr">
        <is>
          <t>Сосиски «Сочинки по-баварски с сыром» вес п/а ТМ «Стародворье» 1,0 кг</t>
        </is>
      </c>
      <c r="O169" s="671" t="n"/>
      <c r="P169" s="671" t="n"/>
      <c r="Q169" s="671" t="n"/>
      <c r="R169" s="637" t="n"/>
      <c r="S169" s="40" t="inlineStr"/>
      <c r="T169" s="40" t="inlineStr"/>
      <c r="U169" s="41" t="inlineStr">
        <is>
          <t>кг</t>
        </is>
      </c>
      <c r="V169" s="672" t="n">
        <v>5</v>
      </c>
      <c r="W169" s="673">
        <f>IFERROR(IF(V169="",0,CEILING((V169/$H169),1)*$H169),"")</f>
        <v/>
      </c>
      <c r="X169" s="42">
        <f>IFERROR(IF(W169=0,"",ROUNDUP(W169/H169,0)*0.01196),"")</f>
        <v/>
      </c>
      <c r="Y169" s="69" t="inlineStr"/>
      <c r="Z169" s="70" t="inlineStr"/>
      <c r="AD169" s="71" t="n"/>
      <c r="BA169" s="157" t="inlineStr">
        <is>
          <t>КИ</t>
        </is>
      </c>
    </row>
    <row r="170" ht="16.5" customHeight="1">
      <c r="A170" s="64" t="inlineStr">
        <is>
          <t>SU002795</t>
        </is>
      </c>
      <c r="B170" s="64" t="inlineStr">
        <is>
          <t>P003203</t>
        </is>
      </c>
      <c r="C170" s="37" t="n">
        <v>4301051380</v>
      </c>
      <c r="D170" s="325" t="n">
        <v>4680115880962</v>
      </c>
      <c r="E170" s="637" t="n"/>
      <c r="F170" s="669" t="n">
        <v>1.3</v>
      </c>
      <c r="G170" s="38" t="n">
        <v>6</v>
      </c>
      <c r="H170" s="669" t="n">
        <v>7.8</v>
      </c>
      <c r="I170" s="669" t="n">
        <v>8.364000000000001</v>
      </c>
      <c r="J170" s="38" t="n">
        <v>56</v>
      </c>
      <c r="K170" s="38" t="inlineStr">
        <is>
          <t>8</t>
        </is>
      </c>
      <c r="L170" s="39" t="inlineStr">
        <is>
          <t>СК2</t>
        </is>
      </c>
      <c r="M170" s="38" t="n">
        <v>40</v>
      </c>
      <c r="N170" s="762">
        <f>HYPERLINK("https://abi.ru/products/Охлажденные/Стародворье/Сочинка/Сосиски/P003203/","Сосиски Сочинки с сыром Бордо Весовой п/а Стародворье")</f>
        <v/>
      </c>
      <c r="O170" s="671" t="n"/>
      <c r="P170" s="671" t="n"/>
      <c r="Q170" s="671" t="n"/>
      <c r="R170" s="637" t="n"/>
      <c r="S170" s="40" t="inlineStr"/>
      <c r="T170" s="40" t="inlineStr"/>
      <c r="U170" s="41" t="inlineStr">
        <is>
          <t>кг</t>
        </is>
      </c>
      <c r="V170" s="672" t="n">
        <v>0</v>
      </c>
      <c r="W170" s="673">
        <f>IFERROR(IF(V170="",0,CEILING((V170/$H170),1)*$H170),"")</f>
        <v/>
      </c>
      <c r="X170" s="42">
        <f>IFERROR(IF(W170=0,"",ROUNDUP(W170/H170,0)*0.02175),"")</f>
        <v/>
      </c>
      <c r="Y170" s="69" t="inlineStr"/>
      <c r="Z170" s="70" t="inlineStr"/>
      <c r="AD170" s="71" t="n"/>
      <c r="BA170" s="158" t="inlineStr">
        <is>
          <t>КИ</t>
        </is>
      </c>
    </row>
    <row r="171" ht="27" customHeight="1">
      <c r="A171" s="64" t="inlineStr">
        <is>
          <t>SU002845</t>
        </is>
      </c>
      <c r="B171" s="64" t="inlineStr">
        <is>
          <t>P003266</t>
        </is>
      </c>
      <c r="C171" s="37" t="n">
        <v>4301051411</v>
      </c>
      <c r="D171" s="325" t="n">
        <v>4680115881617</v>
      </c>
      <c r="E171" s="637" t="n"/>
      <c r="F171" s="669" t="n">
        <v>1.35</v>
      </c>
      <c r="G171" s="38" t="n">
        <v>6</v>
      </c>
      <c r="H171" s="669" t="n">
        <v>8.1</v>
      </c>
      <c r="I171" s="669" t="n">
        <v>8.646000000000001</v>
      </c>
      <c r="J171" s="38" t="n">
        <v>56</v>
      </c>
      <c r="K171" s="38" t="inlineStr">
        <is>
          <t>8</t>
        </is>
      </c>
      <c r="L171" s="39" t="inlineStr">
        <is>
          <t>СК3</t>
        </is>
      </c>
      <c r="M171" s="38" t="n">
        <v>40</v>
      </c>
      <c r="N171" s="763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O171" s="671" t="n"/>
      <c r="P171" s="671" t="n"/>
      <c r="Q171" s="671" t="n"/>
      <c r="R171" s="637" t="n"/>
      <c r="S171" s="40" t="inlineStr"/>
      <c r="T171" s="40" t="inlineStr"/>
      <c r="U171" s="41" t="inlineStr">
        <is>
          <t>кг</t>
        </is>
      </c>
      <c r="V171" s="672" t="n">
        <v>0</v>
      </c>
      <c r="W171" s="673">
        <f>IFERROR(IF(V171="",0,CEILING((V171/$H171),1)*$H171),"")</f>
        <v/>
      </c>
      <c r="X171" s="42">
        <f>IFERROR(IF(W171=0,"",ROUNDUP(W171/H171,0)*0.02175),"")</f>
        <v/>
      </c>
      <c r="Y171" s="69" t="inlineStr"/>
      <c r="Z171" s="70" t="inlineStr"/>
      <c r="AD171" s="71" t="n"/>
      <c r="BA171" s="159" t="inlineStr">
        <is>
          <t>КИ</t>
        </is>
      </c>
    </row>
    <row r="172" ht="27" customHeight="1">
      <c r="A172" s="64" t="inlineStr">
        <is>
          <t>SU002801</t>
        </is>
      </c>
      <c r="B172" s="64" t="inlineStr">
        <is>
          <t>P003475</t>
        </is>
      </c>
      <c r="C172" s="37" t="n">
        <v>4301051487</v>
      </c>
      <c r="D172" s="325" t="n">
        <v>4680115881228</v>
      </c>
      <c r="E172" s="637" t="n"/>
      <c r="F172" s="669" t="n">
        <v>0.4</v>
      </c>
      <c r="G172" s="38" t="n">
        <v>6</v>
      </c>
      <c r="H172" s="669" t="n">
        <v>2.4</v>
      </c>
      <c r="I172" s="669" t="n">
        <v>2.672</v>
      </c>
      <c r="J172" s="38" t="n">
        <v>156</v>
      </c>
      <c r="K172" s="38" t="inlineStr">
        <is>
          <t>12</t>
        </is>
      </c>
      <c r="L172" s="39" t="inlineStr">
        <is>
          <t>СК2</t>
        </is>
      </c>
      <c r="M172" s="38" t="n">
        <v>40</v>
      </c>
      <c r="N172" s="764" t="inlineStr">
        <is>
          <t>Сосиски «Сочинки по-баварски с сыром» Фикс.вес 0,4 П/а мгс ТМ «Стародворье»</t>
        </is>
      </c>
      <c r="O172" s="671" t="n"/>
      <c r="P172" s="671" t="n"/>
      <c r="Q172" s="671" t="n"/>
      <c r="R172" s="637" t="n"/>
      <c r="S172" s="40" t="inlineStr"/>
      <c r="T172" s="40" t="inlineStr"/>
      <c r="U172" s="41" t="inlineStr">
        <is>
          <t>кг</t>
        </is>
      </c>
      <c r="V172" s="672" t="n">
        <v>0</v>
      </c>
      <c r="W172" s="673">
        <f>IFERROR(IF(V172="",0,CEILING((V172/$H172),1)*$H172),"")</f>
        <v/>
      </c>
      <c r="X172" s="42">
        <f>IFERROR(IF(W172=0,"",ROUNDUP(W172/H172,0)*0.00753),"")</f>
        <v/>
      </c>
      <c r="Y172" s="69" t="inlineStr"/>
      <c r="Z172" s="70" t="inlineStr"/>
      <c r="AD172" s="71" t="n"/>
      <c r="BA172" s="160" t="inlineStr">
        <is>
          <t>КИ</t>
        </is>
      </c>
    </row>
    <row r="173" ht="27" customHeight="1">
      <c r="A173" s="64" t="inlineStr">
        <is>
          <t>SU002802</t>
        </is>
      </c>
      <c r="B173" s="64" t="inlineStr">
        <is>
          <t>P003580</t>
        </is>
      </c>
      <c r="C173" s="37" t="n">
        <v>4301051506</v>
      </c>
      <c r="D173" s="325" t="n">
        <v>4680115881037</v>
      </c>
      <c r="E173" s="637" t="n"/>
      <c r="F173" s="669" t="n">
        <v>0.84</v>
      </c>
      <c r="G173" s="38" t="n">
        <v>4</v>
      </c>
      <c r="H173" s="669" t="n">
        <v>3.36</v>
      </c>
      <c r="I173" s="669" t="n">
        <v>3.618</v>
      </c>
      <c r="J173" s="38" t="n">
        <v>120</v>
      </c>
      <c r="K173" s="38" t="inlineStr">
        <is>
          <t>12</t>
        </is>
      </c>
      <c r="L173" s="39" t="inlineStr">
        <is>
          <t>СК2</t>
        </is>
      </c>
      <c r="M173" s="38" t="n">
        <v>40</v>
      </c>
      <c r="N173" s="765" t="inlineStr">
        <is>
          <t>Сосиски «Сочинки по-баварски с сыром» Фикс.вес 0,84 кг п/а мгс ТМ «Стародворье»</t>
        </is>
      </c>
      <c r="O173" s="671" t="n"/>
      <c r="P173" s="671" t="n"/>
      <c r="Q173" s="671" t="n"/>
      <c r="R173" s="637" t="n"/>
      <c r="S173" s="40" t="inlineStr"/>
      <c r="T173" s="40" t="inlineStr"/>
      <c r="U173" s="41" t="inlineStr">
        <is>
          <t>кг</t>
        </is>
      </c>
      <c r="V173" s="672" t="n">
        <v>0</v>
      </c>
      <c r="W173" s="673">
        <f>IFERROR(IF(V173="",0,CEILING((V173/$H173),1)*$H173),"")</f>
        <v/>
      </c>
      <c r="X173" s="42">
        <f>IFERROR(IF(W173=0,"",ROUNDUP(W173/H173,0)*0.00937),"")</f>
        <v/>
      </c>
      <c r="Y173" s="69" t="inlineStr"/>
      <c r="Z173" s="70" t="inlineStr"/>
      <c r="AD173" s="71" t="n"/>
      <c r="BA173" s="161" t="inlineStr">
        <is>
          <t>КИ</t>
        </is>
      </c>
    </row>
    <row r="174" ht="27" customHeight="1">
      <c r="A174" s="64" t="inlineStr">
        <is>
          <t>SU002799</t>
        </is>
      </c>
      <c r="B174" s="64" t="inlineStr">
        <is>
          <t>P003217</t>
        </is>
      </c>
      <c r="C174" s="37" t="n">
        <v>4301051384</v>
      </c>
      <c r="D174" s="325" t="n">
        <v>4680115881211</v>
      </c>
      <c r="E174" s="637" t="n"/>
      <c r="F174" s="669" t="n">
        <v>0.4</v>
      </c>
      <c r="G174" s="38" t="n">
        <v>6</v>
      </c>
      <c r="H174" s="669" t="n">
        <v>2.4</v>
      </c>
      <c r="I174" s="669" t="n">
        <v>2.6</v>
      </c>
      <c r="J174" s="38" t="n">
        <v>156</v>
      </c>
      <c r="K174" s="38" t="inlineStr">
        <is>
          <t>12</t>
        </is>
      </c>
      <c r="L174" s="39" t="inlineStr">
        <is>
          <t>СК2</t>
        </is>
      </c>
      <c r="M174" s="38" t="n">
        <v>45</v>
      </c>
      <c r="N174" s="766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O174" s="671" t="n"/>
      <c r="P174" s="671" t="n"/>
      <c r="Q174" s="671" t="n"/>
      <c r="R174" s="637" t="n"/>
      <c r="S174" s="40" t="inlineStr"/>
      <c r="T174" s="40" t="inlineStr"/>
      <c r="U174" s="41" t="inlineStr">
        <is>
          <t>кг</t>
        </is>
      </c>
      <c r="V174" s="672" t="n">
        <v>95</v>
      </c>
      <c r="W174" s="673">
        <f>IFERROR(IF(V174="",0,CEILING((V174/$H174),1)*$H174),"")</f>
        <v/>
      </c>
      <c r="X174" s="42">
        <f>IFERROR(IF(W174=0,"",ROUNDUP(W174/H174,0)*0.00753),"")</f>
        <v/>
      </c>
      <c r="Y174" s="69" t="inlineStr"/>
      <c r="Z174" s="70" t="inlineStr"/>
      <c r="AD174" s="71" t="n"/>
      <c r="BA174" s="162" t="inlineStr">
        <is>
          <t>КИ</t>
        </is>
      </c>
    </row>
    <row r="175" ht="27" customHeight="1">
      <c r="A175" s="64" t="inlineStr">
        <is>
          <t>SU002800</t>
        </is>
      </c>
      <c r="B175" s="64" t="inlineStr">
        <is>
          <t>P003201</t>
        </is>
      </c>
      <c r="C175" s="37" t="n">
        <v>4301051378</v>
      </c>
      <c r="D175" s="325" t="n">
        <v>4680115881020</v>
      </c>
      <c r="E175" s="637" t="n"/>
      <c r="F175" s="669" t="n">
        <v>0.84</v>
      </c>
      <c r="G175" s="38" t="n">
        <v>4</v>
      </c>
      <c r="H175" s="669" t="n">
        <v>3.36</v>
      </c>
      <c r="I175" s="669" t="n">
        <v>3.57</v>
      </c>
      <c r="J175" s="38" t="n">
        <v>120</v>
      </c>
      <c r="K175" s="38" t="inlineStr">
        <is>
          <t>12</t>
        </is>
      </c>
      <c r="L175" s="39" t="inlineStr">
        <is>
          <t>СК2</t>
        </is>
      </c>
      <c r="M175" s="38" t="n">
        <v>45</v>
      </c>
      <c r="N175" s="767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O175" s="671" t="n"/>
      <c r="P175" s="671" t="n"/>
      <c r="Q175" s="671" t="n"/>
      <c r="R175" s="637" t="n"/>
      <c r="S175" s="40" t="inlineStr"/>
      <c r="T175" s="40" t="inlineStr"/>
      <c r="U175" s="41" t="inlineStr">
        <is>
          <t>кг</t>
        </is>
      </c>
      <c r="V175" s="672" t="n">
        <v>0</v>
      </c>
      <c r="W175" s="673">
        <f>IFERROR(IF(V175="",0,CEILING((V175/$H175),1)*$H175),"")</f>
        <v/>
      </c>
      <c r="X175" s="42">
        <f>IFERROR(IF(W175=0,"",ROUNDUP(W175/H175,0)*0.00937),"")</f>
        <v/>
      </c>
      <c r="Y175" s="69" t="inlineStr"/>
      <c r="Z175" s="70" t="inlineStr"/>
      <c r="AD175" s="71" t="n"/>
      <c r="BA175" s="163" t="inlineStr">
        <is>
          <t>КИ</t>
        </is>
      </c>
    </row>
    <row r="176" ht="27" customHeight="1">
      <c r="A176" s="64" t="inlineStr">
        <is>
          <t>SU002842</t>
        </is>
      </c>
      <c r="B176" s="64" t="inlineStr">
        <is>
          <t>P003262</t>
        </is>
      </c>
      <c r="C176" s="37" t="n">
        <v>4301051407</v>
      </c>
      <c r="D176" s="325" t="n">
        <v>4680115882195</v>
      </c>
      <c r="E176" s="637" t="n"/>
      <c r="F176" s="669" t="n">
        <v>0.4</v>
      </c>
      <c r="G176" s="38" t="n">
        <v>6</v>
      </c>
      <c r="H176" s="669" t="n">
        <v>2.4</v>
      </c>
      <c r="I176" s="669" t="n">
        <v>2.69</v>
      </c>
      <c r="J176" s="38" t="n">
        <v>156</v>
      </c>
      <c r="K176" s="38" t="inlineStr">
        <is>
          <t>12</t>
        </is>
      </c>
      <c r="L176" s="39" t="inlineStr">
        <is>
          <t>СК3</t>
        </is>
      </c>
      <c r="M176" s="38" t="n">
        <v>40</v>
      </c>
      <c r="N176" s="768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O176" s="671" t="n"/>
      <c r="P176" s="671" t="n"/>
      <c r="Q176" s="671" t="n"/>
      <c r="R176" s="637" t="n"/>
      <c r="S176" s="40" t="inlineStr"/>
      <c r="T176" s="40" t="inlineStr"/>
      <c r="U176" s="41" t="inlineStr">
        <is>
          <t>кг</t>
        </is>
      </c>
      <c r="V176" s="672" t="n">
        <v>169</v>
      </c>
      <c r="W176" s="673">
        <f>IFERROR(IF(V176="",0,CEILING((V176/$H176),1)*$H176),"")</f>
        <v/>
      </c>
      <c r="X176" s="42">
        <f>IFERROR(IF(W176=0,"",ROUNDUP(W176/H176,0)*0.00753),"")</f>
        <v/>
      </c>
      <c r="Y176" s="69" t="inlineStr"/>
      <c r="Z176" s="70" t="inlineStr"/>
      <c r="AD176" s="71" t="n"/>
      <c r="BA176" s="164" t="inlineStr">
        <is>
          <t>КИ</t>
        </is>
      </c>
    </row>
    <row r="177" ht="27" customHeight="1">
      <c r="A177" s="64" t="inlineStr">
        <is>
          <t>SU002992</t>
        </is>
      </c>
      <c r="B177" s="64" t="inlineStr">
        <is>
          <t>P003443</t>
        </is>
      </c>
      <c r="C177" s="37" t="n">
        <v>4301051479</v>
      </c>
      <c r="D177" s="325" t="n">
        <v>4680115882607</v>
      </c>
      <c r="E177" s="637" t="n"/>
      <c r="F177" s="669" t="n">
        <v>0.3</v>
      </c>
      <c r="G177" s="38" t="n">
        <v>6</v>
      </c>
      <c r="H177" s="669" t="n">
        <v>1.8</v>
      </c>
      <c r="I177" s="669" t="n">
        <v>2.072</v>
      </c>
      <c r="J177" s="38" t="n">
        <v>156</v>
      </c>
      <c r="K177" s="38" t="inlineStr">
        <is>
          <t>12</t>
        </is>
      </c>
      <c r="L177" s="39" t="inlineStr">
        <is>
          <t>СК3</t>
        </is>
      </c>
      <c r="M177" s="38" t="n">
        <v>45</v>
      </c>
      <c r="N177" s="769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O177" s="671" t="n"/>
      <c r="P177" s="671" t="n"/>
      <c r="Q177" s="671" t="n"/>
      <c r="R177" s="637" t="n"/>
      <c r="S177" s="40" t="inlineStr"/>
      <c r="T177" s="40" t="inlineStr"/>
      <c r="U177" s="41" t="inlineStr">
        <is>
          <t>кг</t>
        </is>
      </c>
      <c r="V177" s="672" t="n">
        <v>0</v>
      </c>
      <c r="W177" s="673">
        <f>IFERROR(IF(V177="",0,CEILING((V177/$H177),1)*$H177),"")</f>
        <v/>
      </c>
      <c r="X177" s="42">
        <f>IFERROR(IF(W177=0,"",ROUNDUP(W177/H177,0)*0.00753),"")</f>
        <v/>
      </c>
      <c r="Y177" s="69" t="inlineStr"/>
      <c r="Z177" s="70" t="inlineStr"/>
      <c r="AD177" s="71" t="n"/>
      <c r="BA177" s="165" t="inlineStr">
        <is>
          <t>КИ</t>
        </is>
      </c>
    </row>
    <row r="178" ht="27" customHeight="1">
      <c r="A178" s="64" t="inlineStr">
        <is>
          <t>SU002618</t>
        </is>
      </c>
      <c r="B178" s="64" t="inlineStr">
        <is>
          <t>P003398</t>
        </is>
      </c>
      <c r="C178" s="37" t="n">
        <v>4301051468</v>
      </c>
      <c r="D178" s="325" t="n">
        <v>4680115880092</v>
      </c>
      <c r="E178" s="637" t="n"/>
      <c r="F178" s="669" t="n">
        <v>0.4</v>
      </c>
      <c r="G178" s="38" t="n">
        <v>6</v>
      </c>
      <c r="H178" s="669" t="n">
        <v>2.4</v>
      </c>
      <c r="I178" s="669" t="n">
        <v>2.672</v>
      </c>
      <c r="J178" s="38" t="n">
        <v>156</v>
      </c>
      <c r="K178" s="38" t="inlineStr">
        <is>
          <t>12</t>
        </is>
      </c>
      <c r="L178" s="39" t="inlineStr">
        <is>
          <t>СК3</t>
        </is>
      </c>
      <c r="M178" s="38" t="n">
        <v>45</v>
      </c>
      <c r="N178" s="770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O178" s="671" t="n"/>
      <c r="P178" s="671" t="n"/>
      <c r="Q178" s="671" t="n"/>
      <c r="R178" s="637" t="n"/>
      <c r="S178" s="40" t="inlineStr"/>
      <c r="T178" s="40" t="inlineStr"/>
      <c r="U178" s="41" t="inlineStr">
        <is>
          <t>кг</t>
        </is>
      </c>
      <c r="V178" s="672" t="n">
        <v>233</v>
      </c>
      <c r="W178" s="673">
        <f>IFERROR(IF(V178="",0,CEILING((V178/$H178),1)*$H178),"")</f>
        <v/>
      </c>
      <c r="X178" s="42">
        <f>IFERROR(IF(W178=0,"",ROUNDUP(W178/H178,0)*0.00753),"")</f>
        <v/>
      </c>
      <c r="Y178" s="69" t="inlineStr"/>
      <c r="Z178" s="70" t="inlineStr"/>
      <c r="AD178" s="71" t="n"/>
      <c r="BA178" s="166" t="inlineStr">
        <is>
          <t>КИ</t>
        </is>
      </c>
    </row>
    <row r="179" ht="27" customHeight="1">
      <c r="A179" s="64" t="inlineStr">
        <is>
          <t>SU002621</t>
        </is>
      </c>
      <c r="B179" s="64" t="inlineStr">
        <is>
          <t>P003399</t>
        </is>
      </c>
      <c r="C179" s="37" t="n">
        <v>4301051469</v>
      </c>
      <c r="D179" s="325" t="n">
        <v>4680115880221</v>
      </c>
      <c r="E179" s="637" t="n"/>
      <c r="F179" s="669" t="n">
        <v>0.4</v>
      </c>
      <c r="G179" s="38" t="n">
        <v>6</v>
      </c>
      <c r="H179" s="669" t="n">
        <v>2.4</v>
      </c>
      <c r="I179" s="669" t="n">
        <v>2.672</v>
      </c>
      <c r="J179" s="38" t="n">
        <v>156</v>
      </c>
      <c r="K179" s="38" t="inlineStr">
        <is>
          <t>12</t>
        </is>
      </c>
      <c r="L179" s="39" t="inlineStr">
        <is>
          <t>СК3</t>
        </is>
      </c>
      <c r="M179" s="38" t="n">
        <v>45</v>
      </c>
      <c r="N179" s="771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O179" s="671" t="n"/>
      <c r="P179" s="671" t="n"/>
      <c r="Q179" s="671" t="n"/>
      <c r="R179" s="637" t="n"/>
      <c r="S179" s="40" t="inlineStr"/>
      <c r="T179" s="40" t="inlineStr"/>
      <c r="U179" s="41" t="inlineStr">
        <is>
          <t>кг</t>
        </is>
      </c>
      <c r="V179" s="672" t="n">
        <v>227</v>
      </c>
      <c r="W179" s="673">
        <f>IFERROR(IF(V179="",0,CEILING((V179/$H179),1)*$H179),"")</f>
        <v/>
      </c>
      <c r="X179" s="42">
        <f>IFERROR(IF(W179=0,"",ROUNDUP(W179/H179,0)*0.00753),"")</f>
        <v/>
      </c>
      <c r="Y179" s="69" t="inlineStr"/>
      <c r="Z179" s="70" t="inlineStr"/>
      <c r="AD179" s="71" t="n"/>
      <c r="BA179" s="167" t="inlineStr">
        <is>
          <t>КИ</t>
        </is>
      </c>
    </row>
    <row r="180" ht="16.5" customHeight="1">
      <c r="A180" s="64" t="inlineStr">
        <is>
          <t>SU003073</t>
        </is>
      </c>
      <c r="B180" s="64" t="inlineStr">
        <is>
          <t>P003613</t>
        </is>
      </c>
      <c r="C180" s="37" t="n">
        <v>4301051523</v>
      </c>
      <c r="D180" s="325" t="n">
        <v>4680115882942</v>
      </c>
      <c r="E180" s="637" t="n"/>
      <c r="F180" s="669" t="n">
        <v>0.3</v>
      </c>
      <c r="G180" s="38" t="n">
        <v>6</v>
      </c>
      <c r="H180" s="669" t="n">
        <v>1.8</v>
      </c>
      <c r="I180" s="669" t="n">
        <v>2.072</v>
      </c>
      <c r="J180" s="38" t="n">
        <v>156</v>
      </c>
      <c r="K180" s="38" t="inlineStr">
        <is>
          <t>12</t>
        </is>
      </c>
      <c r="L180" s="39" t="inlineStr">
        <is>
          <t>СК2</t>
        </is>
      </c>
      <c r="M180" s="38" t="n">
        <v>40</v>
      </c>
      <c r="N180" s="772">
        <f>HYPERLINK("https://abi.ru/products/Охлажденные/Стародворье/Сочинка/Сосиски/P003613/","Сосиски «Сочинки с сыром» ф/в 0,3 кг п/а ТМ «Стародворье»")</f>
        <v/>
      </c>
      <c r="O180" s="671" t="n"/>
      <c r="P180" s="671" t="n"/>
      <c r="Q180" s="671" t="n"/>
      <c r="R180" s="637" t="n"/>
      <c r="S180" s="40" t="inlineStr"/>
      <c r="T180" s="40" t="inlineStr"/>
      <c r="U180" s="41" t="inlineStr">
        <is>
          <t>кг</t>
        </is>
      </c>
      <c r="V180" s="672" t="n">
        <v>0</v>
      </c>
      <c r="W180" s="673">
        <f>IFERROR(IF(V180="",0,CEILING((V180/$H180),1)*$H180),"")</f>
        <v/>
      </c>
      <c r="X180" s="42">
        <f>IFERROR(IF(W180=0,"",ROUNDUP(W180/H180,0)*0.00753),"")</f>
        <v/>
      </c>
      <c r="Y180" s="69" t="inlineStr"/>
      <c r="Z180" s="70" t="inlineStr"/>
      <c r="AD180" s="71" t="n"/>
      <c r="BA180" s="168" t="inlineStr">
        <is>
          <t>КИ</t>
        </is>
      </c>
    </row>
    <row r="181" ht="16.5" customHeight="1">
      <c r="A181" s="64" t="inlineStr">
        <is>
          <t>SU002686</t>
        </is>
      </c>
      <c r="B181" s="64" t="inlineStr">
        <is>
          <t>P003071</t>
        </is>
      </c>
      <c r="C181" s="37" t="n">
        <v>4301051326</v>
      </c>
      <c r="D181" s="325" t="n">
        <v>4680115880504</v>
      </c>
      <c r="E181" s="637" t="n"/>
      <c r="F181" s="669" t="n">
        <v>0.4</v>
      </c>
      <c r="G181" s="38" t="n">
        <v>6</v>
      </c>
      <c r="H181" s="669" t="n">
        <v>2.4</v>
      </c>
      <c r="I181" s="669" t="n">
        <v>2.672</v>
      </c>
      <c r="J181" s="38" t="n">
        <v>156</v>
      </c>
      <c r="K181" s="38" t="inlineStr">
        <is>
          <t>12</t>
        </is>
      </c>
      <c r="L181" s="39" t="inlineStr">
        <is>
          <t>СК2</t>
        </is>
      </c>
      <c r="M181" s="38" t="n">
        <v>40</v>
      </c>
      <c r="N181" s="773">
        <f>HYPERLINK("https://abi.ru/products/Охлажденные/Стародворье/Сочинка/Сосиски/P003071/","Сосиски Сочинки с сыром Бордо ф/в 0,4 кг п/а Стародворье")</f>
        <v/>
      </c>
      <c r="O181" s="671" t="n"/>
      <c r="P181" s="671" t="n"/>
      <c r="Q181" s="671" t="n"/>
      <c r="R181" s="637" t="n"/>
      <c r="S181" s="40" t="inlineStr"/>
      <c r="T181" s="40" t="inlineStr"/>
      <c r="U181" s="41" t="inlineStr">
        <is>
          <t>кг</t>
        </is>
      </c>
      <c r="V181" s="672" t="n">
        <v>0</v>
      </c>
      <c r="W181" s="673">
        <f>IFERROR(IF(V181="",0,CEILING((V181/$H181),1)*$H181),"")</f>
        <v/>
      </c>
      <c r="X181" s="42">
        <f>IFERROR(IF(W181=0,"",ROUNDUP(W181/H181,0)*0.00753),"")</f>
        <v/>
      </c>
      <c r="Y181" s="69" t="inlineStr"/>
      <c r="Z181" s="70" t="inlineStr"/>
      <c r="AD181" s="71" t="n"/>
      <c r="BA181" s="169" t="inlineStr">
        <is>
          <t>КИ</t>
        </is>
      </c>
    </row>
    <row r="182" ht="27" customHeight="1">
      <c r="A182" s="64" t="inlineStr">
        <is>
          <t>SU002844</t>
        </is>
      </c>
      <c r="B182" s="64" t="inlineStr">
        <is>
          <t>P003265</t>
        </is>
      </c>
      <c r="C182" s="37" t="n">
        <v>4301051410</v>
      </c>
      <c r="D182" s="325" t="n">
        <v>4680115882164</v>
      </c>
      <c r="E182" s="637" t="n"/>
      <c r="F182" s="669" t="n">
        <v>0.4</v>
      </c>
      <c r="G182" s="38" t="n">
        <v>6</v>
      </c>
      <c r="H182" s="669" t="n">
        <v>2.4</v>
      </c>
      <c r="I182" s="669" t="n">
        <v>2.678</v>
      </c>
      <c r="J182" s="38" t="n">
        <v>156</v>
      </c>
      <c r="K182" s="38" t="inlineStr">
        <is>
          <t>12</t>
        </is>
      </c>
      <c r="L182" s="39" t="inlineStr">
        <is>
          <t>СК3</t>
        </is>
      </c>
      <c r="M182" s="38" t="n">
        <v>40</v>
      </c>
      <c r="N182" s="774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O182" s="671" t="n"/>
      <c r="P182" s="671" t="n"/>
      <c r="Q182" s="671" t="n"/>
      <c r="R182" s="637" t="n"/>
      <c r="S182" s="40" t="inlineStr"/>
      <c r="T182" s="40" t="inlineStr"/>
      <c r="U182" s="41" t="inlineStr">
        <is>
          <t>кг</t>
        </is>
      </c>
      <c r="V182" s="672" t="n">
        <v>45</v>
      </c>
      <c r="W182" s="673">
        <f>IFERROR(IF(V182="",0,CEILING((V182/$H182),1)*$H182),"")</f>
        <v/>
      </c>
      <c r="X182" s="42">
        <f>IFERROR(IF(W182=0,"",ROUNDUP(W182/H182,0)*0.00753),"")</f>
        <v/>
      </c>
      <c r="Y182" s="69" t="inlineStr"/>
      <c r="Z182" s="70" t="inlineStr"/>
      <c r="AD182" s="71" t="n"/>
      <c r="BA182" s="170" t="inlineStr">
        <is>
          <t>КИ</t>
        </is>
      </c>
    </row>
    <row r="183">
      <c r="A183" s="320" t="n"/>
      <c r="B183" s="313" t="n"/>
      <c r="C183" s="313" t="n"/>
      <c r="D183" s="313" t="n"/>
      <c r="E183" s="313" t="n"/>
      <c r="F183" s="313" t="n"/>
      <c r="G183" s="313" t="n"/>
      <c r="H183" s="313" t="n"/>
      <c r="I183" s="313" t="n"/>
      <c r="J183" s="313" t="n"/>
      <c r="K183" s="313" t="n"/>
      <c r="L183" s="313" t="n"/>
      <c r="M183" s="674" t="n"/>
      <c r="N183" s="675" t="inlineStr">
        <is>
          <t>Итого</t>
        </is>
      </c>
      <c r="O183" s="645" t="n"/>
      <c r="P183" s="645" t="n"/>
      <c r="Q183" s="645" t="n"/>
      <c r="R183" s="645" t="n"/>
      <c r="S183" s="645" t="n"/>
      <c r="T183" s="646" t="n"/>
      <c r="U183" s="43" t="inlineStr">
        <is>
          <t>кор</t>
        </is>
      </c>
      <c r="V183" s="676">
        <f>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</f>
        <v/>
      </c>
      <c r="W183" s="676">
        <f>IFERROR(W166/H166,"0")+IFERROR(W167/H167,"0")+IFERROR(W168/H168,"0")+IFERROR(W169/H169,"0")+IFERROR(W170/H170,"0")+IFERROR(W171/H171,"0")+IFERROR(W172/H172,"0")+IFERROR(W173/H173,"0")+IFERROR(W174/H174,"0")+IFERROR(W175/H175,"0")+IFERROR(W176/H176,"0")+IFERROR(W177/H177,"0")+IFERROR(W178/H178,"0")+IFERROR(W179/H179,"0")+IFERROR(W180/H180,"0")+IFERROR(W181/H181,"0")+IFERROR(W182/H182,"0")</f>
        <v/>
      </c>
      <c r="X183" s="676">
        <f>IFERROR(IF(X166="",0,X166),"0")+IFERROR(IF(X167="",0,X167),"0")+IFERROR(IF(X168="",0,X168),"0")+IFERROR(IF(X169="",0,X169),"0")+IFERROR(IF(X170="",0,X170),"0")+IFERROR(IF(X171="",0,X171),"0")+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</f>
        <v/>
      </c>
      <c r="Y183" s="677" t="n"/>
      <c r="Z183" s="677" t="n"/>
    </row>
    <row r="184">
      <c r="A184" s="313" t="n"/>
      <c r="B184" s="313" t="n"/>
      <c r="C184" s="313" t="n"/>
      <c r="D184" s="313" t="n"/>
      <c r="E184" s="313" t="n"/>
      <c r="F184" s="313" t="n"/>
      <c r="G184" s="313" t="n"/>
      <c r="H184" s="313" t="n"/>
      <c r="I184" s="313" t="n"/>
      <c r="J184" s="313" t="n"/>
      <c r="K184" s="313" t="n"/>
      <c r="L184" s="313" t="n"/>
      <c r="M184" s="674" t="n"/>
      <c r="N184" s="675" t="inlineStr">
        <is>
          <t>Итого</t>
        </is>
      </c>
      <c r="O184" s="645" t="n"/>
      <c r="P184" s="645" t="n"/>
      <c r="Q184" s="645" t="n"/>
      <c r="R184" s="645" t="n"/>
      <c r="S184" s="645" t="n"/>
      <c r="T184" s="646" t="n"/>
      <c r="U184" s="43" t="inlineStr">
        <is>
          <t>кг</t>
        </is>
      </c>
      <c r="V184" s="676">
        <f>IFERROR(SUM(V166:V182),"0")</f>
        <v/>
      </c>
      <c r="W184" s="676">
        <f>IFERROR(SUM(W166:W182),"0")</f>
        <v/>
      </c>
      <c r="X184" s="43" t="n"/>
      <c r="Y184" s="677" t="n"/>
      <c r="Z184" s="677" t="n"/>
    </row>
    <row r="185" ht="14.25" customHeight="1">
      <c r="A185" s="330" t="inlineStr">
        <is>
          <t>Сардельки</t>
        </is>
      </c>
      <c r="B185" s="313" t="n"/>
      <c r="C185" s="313" t="n"/>
      <c r="D185" s="313" t="n"/>
      <c r="E185" s="313" t="n"/>
      <c r="F185" s="313" t="n"/>
      <c r="G185" s="313" t="n"/>
      <c r="H185" s="313" t="n"/>
      <c r="I185" s="313" t="n"/>
      <c r="J185" s="313" t="n"/>
      <c r="K185" s="313" t="n"/>
      <c r="L185" s="313" t="n"/>
      <c r="M185" s="313" t="n"/>
      <c r="N185" s="313" t="n"/>
      <c r="O185" s="313" t="n"/>
      <c r="P185" s="313" t="n"/>
      <c r="Q185" s="313" t="n"/>
      <c r="R185" s="313" t="n"/>
      <c r="S185" s="313" t="n"/>
      <c r="T185" s="313" t="n"/>
      <c r="U185" s="313" t="n"/>
      <c r="V185" s="313" t="n"/>
      <c r="W185" s="313" t="n"/>
      <c r="X185" s="313" t="n"/>
      <c r="Y185" s="330" t="n"/>
      <c r="Z185" s="330" t="n"/>
    </row>
    <row r="186" ht="16.5" customHeight="1">
      <c r="A186" s="64" t="inlineStr">
        <is>
          <t>SU002758</t>
        </is>
      </c>
      <c r="B186" s="64" t="inlineStr">
        <is>
          <t>P003129</t>
        </is>
      </c>
      <c r="C186" s="37" t="n">
        <v>4301060338</v>
      </c>
      <c r="D186" s="325" t="n">
        <v>4680115880801</v>
      </c>
      <c r="E186" s="637" t="n"/>
      <c r="F186" s="669" t="n">
        <v>0.4</v>
      </c>
      <c r="G186" s="38" t="n">
        <v>6</v>
      </c>
      <c r="H186" s="669" t="n">
        <v>2.4</v>
      </c>
      <c r="I186" s="669" t="n">
        <v>2.672</v>
      </c>
      <c r="J186" s="38" t="n">
        <v>156</v>
      </c>
      <c r="K186" s="38" t="inlineStr">
        <is>
          <t>12</t>
        </is>
      </c>
      <c r="L186" s="39" t="inlineStr">
        <is>
          <t>СК2</t>
        </is>
      </c>
      <c r="M186" s="38" t="n">
        <v>40</v>
      </c>
      <c r="N186" s="775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O186" s="671" t="n"/>
      <c r="P186" s="671" t="n"/>
      <c r="Q186" s="671" t="n"/>
      <c r="R186" s="637" t="n"/>
      <c r="S186" s="40" t="inlineStr"/>
      <c r="T186" s="40" t="inlineStr"/>
      <c r="U186" s="41" t="inlineStr">
        <is>
          <t>кг</t>
        </is>
      </c>
      <c r="V186" s="672" t="n">
        <v>18</v>
      </c>
      <c r="W186" s="673">
        <f>IFERROR(IF(V186="",0,CEILING((V186/$H186),1)*$H186),"")</f>
        <v/>
      </c>
      <c r="X186" s="42">
        <f>IFERROR(IF(W186=0,"",ROUNDUP(W186/H186,0)*0.00753),"")</f>
        <v/>
      </c>
      <c r="Y186" s="69" t="inlineStr"/>
      <c r="Z186" s="70" t="inlineStr"/>
      <c r="AD186" s="71" t="n"/>
      <c r="BA186" s="171" t="inlineStr">
        <is>
          <t>КИ</t>
        </is>
      </c>
    </row>
    <row r="187" ht="27" customHeight="1">
      <c r="A187" s="64" t="inlineStr">
        <is>
          <t>SU002759</t>
        </is>
      </c>
      <c r="B187" s="64" t="inlineStr">
        <is>
          <t>P003130</t>
        </is>
      </c>
      <c r="C187" s="37" t="n">
        <v>4301060339</v>
      </c>
      <c r="D187" s="325" t="n">
        <v>4680115880818</v>
      </c>
      <c r="E187" s="637" t="n"/>
      <c r="F187" s="669" t="n">
        <v>0.4</v>
      </c>
      <c r="G187" s="38" t="n">
        <v>6</v>
      </c>
      <c r="H187" s="669" t="n">
        <v>2.4</v>
      </c>
      <c r="I187" s="669" t="n">
        <v>2.672</v>
      </c>
      <c r="J187" s="38" t="n">
        <v>156</v>
      </c>
      <c r="K187" s="38" t="inlineStr">
        <is>
          <t>12</t>
        </is>
      </c>
      <c r="L187" s="39" t="inlineStr">
        <is>
          <t>СК2</t>
        </is>
      </c>
      <c r="M187" s="38" t="n">
        <v>40</v>
      </c>
      <c r="N187" s="776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O187" s="671" t="n"/>
      <c r="P187" s="671" t="n"/>
      <c r="Q187" s="671" t="n"/>
      <c r="R187" s="637" t="n"/>
      <c r="S187" s="40" t="inlineStr"/>
      <c r="T187" s="40" t="inlineStr"/>
      <c r="U187" s="41" t="inlineStr">
        <is>
          <t>кг</t>
        </is>
      </c>
      <c r="V187" s="672" t="n">
        <v>0</v>
      </c>
      <c r="W187" s="673">
        <f>IFERROR(IF(V187="",0,CEILING((V187/$H187),1)*$H187),"")</f>
        <v/>
      </c>
      <c r="X187" s="42">
        <f>IFERROR(IF(W187=0,"",ROUNDUP(W187/H187,0)*0.00753),"")</f>
        <v/>
      </c>
      <c r="Y187" s="69" t="inlineStr"/>
      <c r="Z187" s="70" t="inlineStr"/>
      <c r="AD187" s="71" t="n"/>
      <c r="BA187" s="172" t="inlineStr">
        <is>
          <t>КИ</t>
        </is>
      </c>
    </row>
    <row r="188">
      <c r="A188" s="320" t="n"/>
      <c r="B188" s="313" t="n"/>
      <c r="C188" s="313" t="n"/>
      <c r="D188" s="313" t="n"/>
      <c r="E188" s="313" t="n"/>
      <c r="F188" s="313" t="n"/>
      <c r="G188" s="313" t="n"/>
      <c r="H188" s="313" t="n"/>
      <c r="I188" s="313" t="n"/>
      <c r="J188" s="313" t="n"/>
      <c r="K188" s="313" t="n"/>
      <c r="L188" s="313" t="n"/>
      <c r="M188" s="674" t="n"/>
      <c r="N188" s="675" t="inlineStr">
        <is>
          <t>Итого</t>
        </is>
      </c>
      <c r="O188" s="645" t="n"/>
      <c r="P188" s="645" t="n"/>
      <c r="Q188" s="645" t="n"/>
      <c r="R188" s="645" t="n"/>
      <c r="S188" s="645" t="n"/>
      <c r="T188" s="646" t="n"/>
      <c r="U188" s="43" t="inlineStr">
        <is>
          <t>кор</t>
        </is>
      </c>
      <c r="V188" s="676">
        <f>IFERROR(V186/H186,"0")+IFERROR(V187/H187,"0")</f>
        <v/>
      </c>
      <c r="W188" s="676">
        <f>IFERROR(W186/H186,"0")+IFERROR(W187/H187,"0")</f>
        <v/>
      </c>
      <c r="X188" s="676">
        <f>IFERROR(IF(X186="",0,X186),"0")+IFERROR(IF(X187="",0,X187),"0")</f>
        <v/>
      </c>
      <c r="Y188" s="677" t="n"/>
      <c r="Z188" s="677" t="n"/>
    </row>
    <row r="189">
      <c r="A189" s="313" t="n"/>
      <c r="B189" s="313" t="n"/>
      <c r="C189" s="313" t="n"/>
      <c r="D189" s="313" t="n"/>
      <c r="E189" s="313" t="n"/>
      <c r="F189" s="313" t="n"/>
      <c r="G189" s="313" t="n"/>
      <c r="H189" s="313" t="n"/>
      <c r="I189" s="313" t="n"/>
      <c r="J189" s="313" t="n"/>
      <c r="K189" s="313" t="n"/>
      <c r="L189" s="313" t="n"/>
      <c r="M189" s="674" t="n"/>
      <c r="N189" s="675" t="inlineStr">
        <is>
          <t>Итого</t>
        </is>
      </c>
      <c r="O189" s="645" t="n"/>
      <c r="P189" s="645" t="n"/>
      <c r="Q189" s="645" t="n"/>
      <c r="R189" s="645" t="n"/>
      <c r="S189" s="645" t="n"/>
      <c r="T189" s="646" t="n"/>
      <c r="U189" s="43" t="inlineStr">
        <is>
          <t>кг</t>
        </is>
      </c>
      <c r="V189" s="676">
        <f>IFERROR(SUM(V186:V187),"0")</f>
        <v/>
      </c>
      <c r="W189" s="676">
        <f>IFERROR(SUM(W186:W187),"0")</f>
        <v/>
      </c>
      <c r="X189" s="43" t="n"/>
      <c r="Y189" s="677" t="n"/>
      <c r="Z189" s="677" t="n"/>
    </row>
    <row r="190" ht="16.5" customHeight="1">
      <c r="A190" s="329" t="inlineStr">
        <is>
          <t>Бордо</t>
        </is>
      </c>
      <c r="B190" s="313" t="n"/>
      <c r="C190" s="313" t="n"/>
      <c r="D190" s="313" t="n"/>
      <c r="E190" s="313" t="n"/>
      <c r="F190" s="313" t="n"/>
      <c r="G190" s="313" t="n"/>
      <c r="H190" s="313" t="n"/>
      <c r="I190" s="313" t="n"/>
      <c r="J190" s="313" t="n"/>
      <c r="K190" s="313" t="n"/>
      <c r="L190" s="313" t="n"/>
      <c r="M190" s="313" t="n"/>
      <c r="N190" s="313" t="n"/>
      <c r="O190" s="313" t="n"/>
      <c r="P190" s="313" t="n"/>
      <c r="Q190" s="313" t="n"/>
      <c r="R190" s="313" t="n"/>
      <c r="S190" s="313" t="n"/>
      <c r="T190" s="313" t="n"/>
      <c r="U190" s="313" t="n"/>
      <c r="V190" s="313" t="n"/>
      <c r="W190" s="313" t="n"/>
      <c r="X190" s="313" t="n"/>
      <c r="Y190" s="329" t="n"/>
      <c r="Z190" s="329" t="n"/>
    </row>
    <row r="191" ht="14.25" customHeight="1">
      <c r="A191" s="330" t="inlineStr">
        <is>
          <t>Вареные колбасы</t>
        </is>
      </c>
      <c r="B191" s="313" t="n"/>
      <c r="C191" s="313" t="n"/>
      <c r="D191" s="313" t="n"/>
      <c r="E191" s="313" t="n"/>
      <c r="F191" s="313" t="n"/>
      <c r="G191" s="313" t="n"/>
      <c r="H191" s="313" t="n"/>
      <c r="I191" s="313" t="n"/>
      <c r="J191" s="313" t="n"/>
      <c r="K191" s="313" t="n"/>
      <c r="L191" s="313" t="n"/>
      <c r="M191" s="313" t="n"/>
      <c r="N191" s="313" t="n"/>
      <c r="O191" s="313" t="n"/>
      <c r="P191" s="313" t="n"/>
      <c r="Q191" s="313" t="n"/>
      <c r="R191" s="313" t="n"/>
      <c r="S191" s="313" t="n"/>
      <c r="T191" s="313" t="n"/>
      <c r="U191" s="313" t="n"/>
      <c r="V191" s="313" t="n"/>
      <c r="W191" s="313" t="n"/>
      <c r="X191" s="313" t="n"/>
      <c r="Y191" s="330" t="n"/>
      <c r="Z191" s="330" t="n"/>
    </row>
    <row r="192" ht="27" customHeight="1">
      <c r="A192" s="64" t="inlineStr">
        <is>
          <t>SU000057</t>
        </is>
      </c>
      <c r="B192" s="64" t="inlineStr">
        <is>
          <t>P002047</t>
        </is>
      </c>
      <c r="C192" s="37" t="n">
        <v>4301011346</v>
      </c>
      <c r="D192" s="325" t="n">
        <v>4607091387445</v>
      </c>
      <c r="E192" s="637" t="n"/>
      <c r="F192" s="669" t="n">
        <v>0.9</v>
      </c>
      <c r="G192" s="38" t="n">
        <v>10</v>
      </c>
      <c r="H192" s="669" t="n">
        <v>9</v>
      </c>
      <c r="I192" s="669" t="n">
        <v>9.630000000000001</v>
      </c>
      <c r="J192" s="38" t="n">
        <v>56</v>
      </c>
      <c r="K192" s="38" t="inlineStr">
        <is>
          <t>8</t>
        </is>
      </c>
      <c r="L192" s="39" t="inlineStr">
        <is>
          <t>СК1</t>
        </is>
      </c>
      <c r="M192" s="38" t="n">
        <v>31</v>
      </c>
      <c r="N192" s="777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O192" s="671" t="n"/>
      <c r="P192" s="671" t="n"/>
      <c r="Q192" s="671" t="n"/>
      <c r="R192" s="637" t="n"/>
      <c r="S192" s="40" t="inlineStr"/>
      <c r="T192" s="40" t="inlineStr"/>
      <c r="U192" s="41" t="inlineStr">
        <is>
          <t>кг</t>
        </is>
      </c>
      <c r="V192" s="672" t="n">
        <v>0</v>
      </c>
      <c r="W192" s="673">
        <f>IFERROR(IF(V192="",0,CEILING((V192/$H192),1)*$H192),"")</f>
        <v/>
      </c>
      <c r="X192" s="42">
        <f>IFERROR(IF(W192=0,"",ROUNDUP(W192/H192,0)*0.02175),"")</f>
        <v/>
      </c>
      <c r="Y192" s="69" t="inlineStr"/>
      <c r="Z192" s="70" t="inlineStr"/>
      <c r="AD192" s="71" t="n"/>
      <c r="BA192" s="173" t="inlineStr">
        <is>
          <t>КИ</t>
        </is>
      </c>
    </row>
    <row r="193" ht="27" customHeight="1">
      <c r="A193" s="64" t="inlineStr">
        <is>
          <t>SU001777</t>
        </is>
      </c>
      <c r="B193" s="64" t="inlineStr">
        <is>
          <t>P002226</t>
        </is>
      </c>
      <c r="C193" s="37" t="n">
        <v>4301011362</v>
      </c>
      <c r="D193" s="325" t="n">
        <v>4607091386004</v>
      </c>
      <c r="E193" s="637" t="n"/>
      <c r="F193" s="669" t="n">
        <v>1.35</v>
      </c>
      <c r="G193" s="38" t="n">
        <v>8</v>
      </c>
      <c r="H193" s="669" t="n">
        <v>10.8</v>
      </c>
      <c r="I193" s="669" t="n">
        <v>11.28</v>
      </c>
      <c r="J193" s="38" t="n">
        <v>48</v>
      </c>
      <c r="K193" s="38" t="inlineStr">
        <is>
          <t>8</t>
        </is>
      </c>
      <c r="L193" s="39" t="inlineStr">
        <is>
          <t>ВЗ</t>
        </is>
      </c>
      <c r="M193" s="38" t="n">
        <v>55</v>
      </c>
      <c r="N193" s="778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O193" s="671" t="n"/>
      <c r="P193" s="671" t="n"/>
      <c r="Q193" s="671" t="n"/>
      <c r="R193" s="637" t="n"/>
      <c r="S193" s="40" t="inlineStr"/>
      <c r="T193" s="40" t="inlineStr"/>
      <c r="U193" s="41" t="inlineStr">
        <is>
          <t>кг</t>
        </is>
      </c>
      <c r="V193" s="672" t="n">
        <v>0</v>
      </c>
      <c r="W193" s="673">
        <f>IFERROR(IF(V193="",0,CEILING((V193/$H193),1)*$H193),"")</f>
        <v/>
      </c>
      <c r="X193" s="42">
        <f>IFERROR(IF(W193=0,"",ROUNDUP(W193/H193,0)*0.02039),"")</f>
        <v/>
      </c>
      <c r="Y193" s="69" t="inlineStr"/>
      <c r="Z193" s="70" t="inlineStr"/>
      <c r="AD193" s="71" t="n"/>
      <c r="BA193" s="174" t="inlineStr">
        <is>
          <t>КИ</t>
        </is>
      </c>
    </row>
    <row r="194" ht="27" customHeight="1">
      <c r="A194" s="64" t="inlineStr">
        <is>
          <t>SU001777</t>
        </is>
      </c>
      <c r="B194" s="64" t="inlineStr">
        <is>
          <t>P001777</t>
        </is>
      </c>
      <c r="C194" s="37" t="n">
        <v>4301011308</v>
      </c>
      <c r="D194" s="325" t="n">
        <v>4607091386004</v>
      </c>
      <c r="E194" s="637" t="n"/>
      <c r="F194" s="669" t="n">
        <v>1.35</v>
      </c>
      <c r="G194" s="38" t="n">
        <v>8</v>
      </c>
      <c r="H194" s="669" t="n">
        <v>10.8</v>
      </c>
      <c r="I194" s="669" t="n">
        <v>11.28</v>
      </c>
      <c r="J194" s="38" t="n">
        <v>56</v>
      </c>
      <c r="K194" s="38" t="inlineStr">
        <is>
          <t>8</t>
        </is>
      </c>
      <c r="L194" s="39" t="inlineStr">
        <is>
          <t>СК1</t>
        </is>
      </c>
      <c r="M194" s="38" t="n">
        <v>55</v>
      </c>
      <c r="N194" s="779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O194" s="671" t="n"/>
      <c r="P194" s="671" t="n"/>
      <c r="Q194" s="671" t="n"/>
      <c r="R194" s="637" t="n"/>
      <c r="S194" s="40" t="inlineStr"/>
      <c r="T194" s="40" t="inlineStr"/>
      <c r="U194" s="41" t="inlineStr">
        <is>
          <t>кг</t>
        </is>
      </c>
      <c r="V194" s="672" t="n">
        <v>0</v>
      </c>
      <c r="W194" s="673">
        <f>IFERROR(IF(V194="",0,CEILING((V194/$H194),1)*$H194),"")</f>
        <v/>
      </c>
      <c r="X194" s="42">
        <f>IFERROR(IF(W194=0,"",ROUNDUP(W194/H194,0)*0.02175),"")</f>
        <v/>
      </c>
      <c r="Y194" s="69" t="inlineStr"/>
      <c r="Z194" s="70" t="inlineStr"/>
      <c r="AD194" s="71" t="n"/>
      <c r="BA194" s="175" t="inlineStr">
        <is>
          <t>КИ</t>
        </is>
      </c>
    </row>
    <row r="195" ht="27" customHeight="1">
      <c r="A195" s="64" t="inlineStr">
        <is>
          <t>SU000058</t>
        </is>
      </c>
      <c r="B195" s="64" t="inlineStr">
        <is>
          <t>P002048</t>
        </is>
      </c>
      <c r="C195" s="37" t="n">
        <v>4301011347</v>
      </c>
      <c r="D195" s="325" t="n">
        <v>4607091386073</v>
      </c>
      <c r="E195" s="637" t="n"/>
      <c r="F195" s="669" t="n">
        <v>0.9</v>
      </c>
      <c r="G195" s="38" t="n">
        <v>10</v>
      </c>
      <c r="H195" s="669" t="n">
        <v>9</v>
      </c>
      <c r="I195" s="669" t="n">
        <v>9.630000000000001</v>
      </c>
      <c r="J195" s="38" t="n">
        <v>56</v>
      </c>
      <c r="K195" s="38" t="inlineStr">
        <is>
          <t>8</t>
        </is>
      </c>
      <c r="L195" s="39" t="inlineStr">
        <is>
          <t>СК1</t>
        </is>
      </c>
      <c r="M195" s="38" t="n">
        <v>31</v>
      </c>
      <c r="N195" s="780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O195" s="671" t="n"/>
      <c r="P195" s="671" t="n"/>
      <c r="Q195" s="671" t="n"/>
      <c r="R195" s="637" t="n"/>
      <c r="S195" s="40" t="inlineStr"/>
      <c r="T195" s="40" t="inlineStr"/>
      <c r="U195" s="41" t="inlineStr">
        <is>
          <t>кг</t>
        </is>
      </c>
      <c r="V195" s="672" t="n">
        <v>0</v>
      </c>
      <c r="W195" s="673">
        <f>IFERROR(IF(V195="",0,CEILING((V195/$H195),1)*$H195),"")</f>
        <v/>
      </c>
      <c r="X195" s="42">
        <f>IFERROR(IF(W195=0,"",ROUNDUP(W195/H195,0)*0.02175),"")</f>
        <v/>
      </c>
      <c r="Y195" s="69" t="inlineStr"/>
      <c r="Z195" s="70" t="inlineStr"/>
      <c r="AD195" s="71" t="n"/>
      <c r="BA195" s="176" t="inlineStr">
        <is>
          <t>КИ</t>
        </is>
      </c>
    </row>
    <row r="196" ht="27" customHeight="1">
      <c r="A196" s="64" t="inlineStr">
        <is>
          <t>SU001780</t>
        </is>
      </c>
      <c r="B196" s="64" t="inlineStr">
        <is>
          <t>P001780</t>
        </is>
      </c>
      <c r="C196" s="37" t="n">
        <v>4301010928</v>
      </c>
      <c r="D196" s="325" t="n">
        <v>4607091387322</v>
      </c>
      <c r="E196" s="637" t="n"/>
      <c r="F196" s="669" t="n">
        <v>1.35</v>
      </c>
      <c r="G196" s="38" t="n">
        <v>8</v>
      </c>
      <c r="H196" s="669" t="n">
        <v>10.8</v>
      </c>
      <c r="I196" s="669" t="n">
        <v>11.28</v>
      </c>
      <c r="J196" s="38" t="n">
        <v>56</v>
      </c>
      <c r="K196" s="38" t="inlineStr">
        <is>
          <t>8</t>
        </is>
      </c>
      <c r="L196" s="39" t="inlineStr">
        <is>
          <t>СК1</t>
        </is>
      </c>
      <c r="M196" s="38" t="n">
        <v>55</v>
      </c>
      <c r="N196" s="781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O196" s="671" t="n"/>
      <c r="P196" s="671" t="n"/>
      <c r="Q196" s="671" t="n"/>
      <c r="R196" s="637" t="n"/>
      <c r="S196" s="40" t="inlineStr"/>
      <c r="T196" s="40" t="inlineStr"/>
      <c r="U196" s="41" t="inlineStr">
        <is>
          <t>кг</t>
        </is>
      </c>
      <c r="V196" s="672" t="n">
        <v>0</v>
      </c>
      <c r="W196" s="673">
        <f>IFERROR(IF(V196="",0,CEILING((V196/$H196),1)*$H196),"")</f>
        <v/>
      </c>
      <c r="X196" s="42">
        <f>IFERROR(IF(W196=0,"",ROUNDUP(W196/H196,0)*0.02175),"")</f>
        <v/>
      </c>
      <c r="Y196" s="69" t="inlineStr"/>
      <c r="Z196" s="70" t="inlineStr"/>
      <c r="AD196" s="71" t="n"/>
      <c r="BA196" s="177" t="inlineStr">
        <is>
          <t>КИ</t>
        </is>
      </c>
    </row>
    <row r="197" ht="27" customHeight="1">
      <c r="A197" s="64" t="inlineStr">
        <is>
          <t>SU001780</t>
        </is>
      </c>
      <c r="B197" s="64" t="inlineStr">
        <is>
          <t>P003075</t>
        </is>
      </c>
      <c r="C197" s="37" t="n">
        <v>4301011395</v>
      </c>
      <c r="D197" s="325" t="n">
        <v>4607091387322</v>
      </c>
      <c r="E197" s="637" t="n"/>
      <c r="F197" s="669" t="n">
        <v>1.35</v>
      </c>
      <c r="G197" s="38" t="n">
        <v>8</v>
      </c>
      <c r="H197" s="669" t="n">
        <v>10.8</v>
      </c>
      <c r="I197" s="669" t="n">
        <v>11.28</v>
      </c>
      <c r="J197" s="38" t="n">
        <v>48</v>
      </c>
      <c r="K197" s="38" t="inlineStr">
        <is>
          <t>8</t>
        </is>
      </c>
      <c r="L197" s="39" t="inlineStr">
        <is>
          <t>ВЗ</t>
        </is>
      </c>
      <c r="M197" s="38" t="n">
        <v>55</v>
      </c>
      <c r="N197" s="782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O197" s="671" t="n"/>
      <c r="P197" s="671" t="n"/>
      <c r="Q197" s="671" t="n"/>
      <c r="R197" s="637" t="n"/>
      <c r="S197" s="40" t="inlineStr"/>
      <c r="T197" s="40" t="inlineStr"/>
      <c r="U197" s="41" t="inlineStr">
        <is>
          <t>кг</t>
        </is>
      </c>
      <c r="V197" s="672" t="n">
        <v>0</v>
      </c>
      <c r="W197" s="673">
        <f>IFERROR(IF(V197="",0,CEILING((V197/$H197),1)*$H197),"")</f>
        <v/>
      </c>
      <c r="X197" s="42">
        <f>IFERROR(IF(W197=0,"",ROUNDUP(W197/H197,0)*0.02039),"")</f>
        <v/>
      </c>
      <c r="Y197" s="69" t="inlineStr"/>
      <c r="Z197" s="70" t="inlineStr"/>
      <c r="AD197" s="71" t="n"/>
      <c r="BA197" s="178" t="inlineStr">
        <is>
          <t>КИ</t>
        </is>
      </c>
    </row>
    <row r="198" ht="27" customHeight="1">
      <c r="A198" s="64" t="inlineStr">
        <is>
          <t>SU001778</t>
        </is>
      </c>
      <c r="B198" s="64" t="inlineStr">
        <is>
          <t>P001778</t>
        </is>
      </c>
      <c r="C198" s="37" t="n">
        <v>4301011311</v>
      </c>
      <c r="D198" s="325" t="n">
        <v>4607091387377</v>
      </c>
      <c r="E198" s="637" t="n"/>
      <c r="F198" s="669" t="n">
        <v>1.35</v>
      </c>
      <c r="G198" s="38" t="n">
        <v>8</v>
      </c>
      <c r="H198" s="669" t="n">
        <v>10.8</v>
      </c>
      <c r="I198" s="669" t="n">
        <v>11.28</v>
      </c>
      <c r="J198" s="38" t="n">
        <v>56</v>
      </c>
      <c r="K198" s="38" t="inlineStr">
        <is>
          <t>8</t>
        </is>
      </c>
      <c r="L198" s="39" t="inlineStr">
        <is>
          <t>СК1</t>
        </is>
      </c>
      <c r="M198" s="38" t="n">
        <v>55</v>
      </c>
      <c r="N198" s="783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O198" s="671" t="n"/>
      <c r="P198" s="671" t="n"/>
      <c r="Q198" s="671" t="n"/>
      <c r="R198" s="637" t="n"/>
      <c r="S198" s="40" t="inlineStr"/>
      <c r="T198" s="40" t="inlineStr"/>
      <c r="U198" s="41" t="inlineStr">
        <is>
          <t>кг</t>
        </is>
      </c>
      <c r="V198" s="672" t="n">
        <v>0</v>
      </c>
      <c r="W198" s="673">
        <f>IFERROR(IF(V198="",0,CEILING((V198/$H198),1)*$H198),"")</f>
        <v/>
      </c>
      <c r="X198" s="42">
        <f>IFERROR(IF(W198=0,"",ROUNDUP(W198/H198,0)*0.02175),"")</f>
        <v/>
      </c>
      <c r="Y198" s="69" t="inlineStr"/>
      <c r="Z198" s="70" t="inlineStr"/>
      <c r="AD198" s="71" t="n"/>
      <c r="BA198" s="179" t="inlineStr">
        <is>
          <t>КИ</t>
        </is>
      </c>
    </row>
    <row r="199" ht="27" customHeight="1">
      <c r="A199" s="64" t="inlineStr">
        <is>
          <t>SU000043</t>
        </is>
      </c>
      <c r="B199" s="64" t="inlineStr">
        <is>
          <t>P001807</t>
        </is>
      </c>
      <c r="C199" s="37" t="n">
        <v>4301010945</v>
      </c>
      <c r="D199" s="325" t="n">
        <v>4607091387353</v>
      </c>
      <c r="E199" s="637" t="n"/>
      <c r="F199" s="669" t="n">
        <v>1.35</v>
      </c>
      <c r="G199" s="38" t="n">
        <v>8</v>
      </c>
      <c r="H199" s="669" t="n">
        <v>10.8</v>
      </c>
      <c r="I199" s="669" t="n">
        <v>11.28</v>
      </c>
      <c r="J199" s="38" t="n">
        <v>56</v>
      </c>
      <c r="K199" s="38" t="inlineStr">
        <is>
          <t>8</t>
        </is>
      </c>
      <c r="L199" s="39" t="inlineStr">
        <is>
          <t>СК1</t>
        </is>
      </c>
      <c r="M199" s="38" t="n">
        <v>55</v>
      </c>
      <c r="N199" s="784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O199" s="671" t="n"/>
      <c r="P199" s="671" t="n"/>
      <c r="Q199" s="671" t="n"/>
      <c r="R199" s="637" t="n"/>
      <c r="S199" s="40" t="inlineStr"/>
      <c r="T199" s="40" t="inlineStr"/>
      <c r="U199" s="41" t="inlineStr">
        <is>
          <t>кг</t>
        </is>
      </c>
      <c r="V199" s="672" t="n">
        <v>0</v>
      </c>
      <c r="W199" s="673">
        <f>IFERROR(IF(V199="",0,CEILING((V199/$H199),1)*$H199),"")</f>
        <v/>
      </c>
      <c r="X199" s="42">
        <f>IFERROR(IF(W199=0,"",ROUNDUP(W199/H199,0)*0.02175),"")</f>
        <v/>
      </c>
      <c r="Y199" s="69" t="inlineStr"/>
      <c r="Z199" s="70" t="inlineStr"/>
      <c r="AD199" s="71" t="n"/>
      <c r="BA199" s="180" t="inlineStr">
        <is>
          <t>КИ</t>
        </is>
      </c>
    </row>
    <row r="200" ht="27" customHeight="1">
      <c r="A200" s="64" t="inlineStr">
        <is>
          <t>SU001800</t>
        </is>
      </c>
      <c r="B200" s="64" t="inlineStr">
        <is>
          <t>P001800</t>
        </is>
      </c>
      <c r="C200" s="37" t="n">
        <v>4301011328</v>
      </c>
      <c r="D200" s="325" t="n">
        <v>4607091386011</v>
      </c>
      <c r="E200" s="637" t="n"/>
      <c r="F200" s="669" t="n">
        <v>0.5</v>
      </c>
      <c r="G200" s="38" t="n">
        <v>10</v>
      </c>
      <c r="H200" s="669" t="n">
        <v>5</v>
      </c>
      <c r="I200" s="669" t="n">
        <v>5.21</v>
      </c>
      <c r="J200" s="38" t="n">
        <v>120</v>
      </c>
      <c r="K200" s="38" t="inlineStr">
        <is>
          <t>12</t>
        </is>
      </c>
      <c r="L200" s="39" t="inlineStr">
        <is>
          <t>СК2</t>
        </is>
      </c>
      <c r="M200" s="38" t="n">
        <v>55</v>
      </c>
      <c r="N200" s="785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O200" s="671" t="n"/>
      <c r="P200" s="671" t="n"/>
      <c r="Q200" s="671" t="n"/>
      <c r="R200" s="637" t="n"/>
      <c r="S200" s="40" t="inlineStr"/>
      <c r="T200" s="40" t="inlineStr"/>
      <c r="U200" s="41" t="inlineStr">
        <is>
          <t>кг</t>
        </is>
      </c>
      <c r="V200" s="672" t="n">
        <v>0</v>
      </c>
      <c r="W200" s="673">
        <f>IFERROR(IF(V200="",0,CEILING((V200/$H200),1)*$H200),"")</f>
        <v/>
      </c>
      <c r="X200" s="42">
        <f>IFERROR(IF(W200=0,"",ROUNDUP(W200/H200,0)*0.00937),"")</f>
        <v/>
      </c>
      <c r="Y200" s="69" t="inlineStr"/>
      <c r="Z200" s="70" t="inlineStr"/>
      <c r="AD200" s="71" t="n"/>
      <c r="BA200" s="181" t="inlineStr">
        <is>
          <t>КИ</t>
        </is>
      </c>
    </row>
    <row r="201" ht="27" customHeight="1">
      <c r="A201" s="64" t="inlineStr">
        <is>
          <t>SU001805</t>
        </is>
      </c>
      <c r="B201" s="64" t="inlineStr">
        <is>
          <t>P001805</t>
        </is>
      </c>
      <c r="C201" s="37" t="n">
        <v>4301011329</v>
      </c>
      <c r="D201" s="325" t="n">
        <v>4607091387308</v>
      </c>
      <c r="E201" s="637" t="n"/>
      <c r="F201" s="669" t="n">
        <v>0.5</v>
      </c>
      <c r="G201" s="38" t="n">
        <v>10</v>
      </c>
      <c r="H201" s="669" t="n">
        <v>5</v>
      </c>
      <c r="I201" s="669" t="n">
        <v>5.21</v>
      </c>
      <c r="J201" s="38" t="n">
        <v>120</v>
      </c>
      <c r="K201" s="38" t="inlineStr">
        <is>
          <t>12</t>
        </is>
      </c>
      <c r="L201" s="39" t="inlineStr">
        <is>
          <t>СК2</t>
        </is>
      </c>
      <c r="M201" s="38" t="n">
        <v>55</v>
      </c>
      <c r="N201" s="786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O201" s="671" t="n"/>
      <c r="P201" s="671" t="n"/>
      <c r="Q201" s="671" t="n"/>
      <c r="R201" s="637" t="n"/>
      <c r="S201" s="40" t="inlineStr"/>
      <c r="T201" s="40" t="inlineStr"/>
      <c r="U201" s="41" t="inlineStr">
        <is>
          <t>кг</t>
        </is>
      </c>
      <c r="V201" s="672" t="n">
        <v>0</v>
      </c>
      <c r="W201" s="673">
        <f>IFERROR(IF(V201="",0,CEILING((V201/$H201),1)*$H201),"")</f>
        <v/>
      </c>
      <c r="X201" s="42">
        <f>IFERROR(IF(W201=0,"",ROUNDUP(W201/H201,0)*0.00937),"")</f>
        <v/>
      </c>
      <c r="Y201" s="69" t="inlineStr"/>
      <c r="Z201" s="70" t="inlineStr"/>
      <c r="AD201" s="71" t="n"/>
      <c r="BA201" s="182" t="inlineStr">
        <is>
          <t>КИ</t>
        </is>
      </c>
    </row>
    <row r="202" ht="27" customHeight="1">
      <c r="A202" s="64" t="inlineStr">
        <is>
          <t>SU001829</t>
        </is>
      </c>
      <c r="B202" s="64" t="inlineStr">
        <is>
          <t>P001829</t>
        </is>
      </c>
      <c r="C202" s="37" t="n">
        <v>4301011049</v>
      </c>
      <c r="D202" s="325" t="n">
        <v>4607091387339</v>
      </c>
      <c r="E202" s="637" t="n"/>
      <c r="F202" s="669" t="n">
        <v>0.5</v>
      </c>
      <c r="G202" s="38" t="n">
        <v>10</v>
      </c>
      <c r="H202" s="669" t="n">
        <v>5</v>
      </c>
      <c r="I202" s="669" t="n">
        <v>5.24</v>
      </c>
      <c r="J202" s="38" t="n">
        <v>120</v>
      </c>
      <c r="K202" s="38" t="inlineStr">
        <is>
          <t>12</t>
        </is>
      </c>
      <c r="L202" s="39" t="inlineStr">
        <is>
          <t>СК1</t>
        </is>
      </c>
      <c r="M202" s="38" t="n">
        <v>55</v>
      </c>
      <c r="N202" s="787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O202" s="671" t="n"/>
      <c r="P202" s="671" t="n"/>
      <c r="Q202" s="671" t="n"/>
      <c r="R202" s="637" t="n"/>
      <c r="S202" s="40" t="inlineStr"/>
      <c r="T202" s="40" t="inlineStr"/>
      <c r="U202" s="41" t="inlineStr">
        <is>
          <t>кг</t>
        </is>
      </c>
      <c r="V202" s="672" t="n">
        <v>0</v>
      </c>
      <c r="W202" s="673">
        <f>IFERROR(IF(V202="",0,CEILING((V202/$H202),1)*$H202),"")</f>
        <v/>
      </c>
      <c r="X202" s="42">
        <f>IFERROR(IF(W202=0,"",ROUNDUP(W202/H202,0)*0.00937),"")</f>
        <v/>
      </c>
      <c r="Y202" s="69" t="inlineStr"/>
      <c r="Z202" s="70" t="inlineStr"/>
      <c r="AD202" s="71" t="n"/>
      <c r="BA202" s="183" t="inlineStr">
        <is>
          <t>КИ</t>
        </is>
      </c>
    </row>
    <row r="203" ht="27" customHeight="1">
      <c r="A203" s="64" t="inlineStr">
        <is>
          <t>SU002787</t>
        </is>
      </c>
      <c r="B203" s="64" t="inlineStr">
        <is>
          <t>P003189</t>
        </is>
      </c>
      <c r="C203" s="37" t="n">
        <v>4301011433</v>
      </c>
      <c r="D203" s="325" t="n">
        <v>4680115882638</v>
      </c>
      <c r="E203" s="637" t="n"/>
      <c r="F203" s="669" t="n">
        <v>0.4</v>
      </c>
      <c r="G203" s="38" t="n">
        <v>10</v>
      </c>
      <c r="H203" s="669" t="n">
        <v>4</v>
      </c>
      <c r="I203" s="669" t="n">
        <v>4.24</v>
      </c>
      <c r="J203" s="38" t="n">
        <v>120</v>
      </c>
      <c r="K203" s="38" t="inlineStr">
        <is>
          <t>12</t>
        </is>
      </c>
      <c r="L203" s="39" t="inlineStr">
        <is>
          <t>СК1</t>
        </is>
      </c>
      <c r="M203" s="38" t="n">
        <v>90</v>
      </c>
      <c r="N203" s="788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O203" s="671" t="n"/>
      <c r="P203" s="671" t="n"/>
      <c r="Q203" s="671" t="n"/>
      <c r="R203" s="637" t="n"/>
      <c r="S203" s="40" t="inlineStr"/>
      <c r="T203" s="40" t="inlineStr"/>
      <c r="U203" s="41" t="inlineStr">
        <is>
          <t>кг</t>
        </is>
      </c>
      <c r="V203" s="672" t="n">
        <v>0</v>
      </c>
      <c r="W203" s="673">
        <f>IFERROR(IF(V203="",0,CEILING((V203/$H203),1)*$H203),"")</f>
        <v/>
      </c>
      <c r="X203" s="42">
        <f>IFERROR(IF(W203=0,"",ROUNDUP(W203/H203,0)*0.00937),"")</f>
        <v/>
      </c>
      <c r="Y203" s="69" t="inlineStr"/>
      <c r="Z203" s="70" t="inlineStr"/>
      <c r="AD203" s="71" t="n"/>
      <c r="BA203" s="184" t="inlineStr">
        <is>
          <t>КИ</t>
        </is>
      </c>
    </row>
    <row r="204" ht="27" customHeight="1">
      <c r="A204" s="64" t="inlineStr">
        <is>
          <t>SU002894</t>
        </is>
      </c>
      <c r="B204" s="64" t="inlineStr">
        <is>
          <t>P003314</t>
        </is>
      </c>
      <c r="C204" s="37" t="n">
        <v>4301011573</v>
      </c>
      <c r="D204" s="325" t="n">
        <v>4680115881938</v>
      </c>
      <c r="E204" s="637" t="n"/>
      <c r="F204" s="669" t="n">
        <v>0.4</v>
      </c>
      <c r="G204" s="38" t="n">
        <v>10</v>
      </c>
      <c r="H204" s="669" t="n">
        <v>4</v>
      </c>
      <c r="I204" s="669" t="n">
        <v>4.24</v>
      </c>
      <c r="J204" s="38" t="n">
        <v>120</v>
      </c>
      <c r="K204" s="38" t="inlineStr">
        <is>
          <t>12</t>
        </is>
      </c>
      <c r="L204" s="39" t="inlineStr">
        <is>
          <t>СК1</t>
        </is>
      </c>
      <c r="M204" s="38" t="n">
        <v>90</v>
      </c>
      <c r="N204" s="789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O204" s="671" t="n"/>
      <c r="P204" s="671" t="n"/>
      <c r="Q204" s="671" t="n"/>
      <c r="R204" s="637" t="n"/>
      <c r="S204" s="40" t="inlineStr"/>
      <c r="T204" s="40" t="inlineStr"/>
      <c r="U204" s="41" t="inlineStr">
        <is>
          <t>кг</t>
        </is>
      </c>
      <c r="V204" s="672" t="n">
        <v>0</v>
      </c>
      <c r="W204" s="673">
        <f>IFERROR(IF(V204="",0,CEILING((V204/$H204),1)*$H204),"")</f>
        <v/>
      </c>
      <c r="X204" s="42">
        <f>IFERROR(IF(W204=0,"",ROUNDUP(W204/H204,0)*0.00937),"")</f>
        <v/>
      </c>
      <c r="Y204" s="69" t="inlineStr"/>
      <c r="Z204" s="70" t="inlineStr"/>
      <c r="AD204" s="71" t="n"/>
      <c r="BA204" s="185" t="inlineStr">
        <is>
          <t>КИ</t>
        </is>
      </c>
    </row>
    <row r="205" ht="27" customHeight="1">
      <c r="A205" s="64" t="inlineStr">
        <is>
          <t>SU000078</t>
        </is>
      </c>
      <c r="B205" s="64" t="inlineStr">
        <is>
          <t>P001806</t>
        </is>
      </c>
      <c r="C205" s="37" t="n">
        <v>4301010944</v>
      </c>
      <c r="D205" s="325" t="n">
        <v>4607091387346</v>
      </c>
      <c r="E205" s="637" t="n"/>
      <c r="F205" s="669" t="n">
        <v>0.4</v>
      </c>
      <c r="G205" s="38" t="n">
        <v>10</v>
      </c>
      <c r="H205" s="669" t="n">
        <v>4</v>
      </c>
      <c r="I205" s="669" t="n">
        <v>4.24</v>
      </c>
      <c r="J205" s="38" t="n">
        <v>120</v>
      </c>
      <c r="K205" s="38" t="inlineStr">
        <is>
          <t>12</t>
        </is>
      </c>
      <c r="L205" s="39" t="inlineStr">
        <is>
          <t>СК1</t>
        </is>
      </c>
      <c r="M205" s="38" t="n">
        <v>55</v>
      </c>
      <c r="N205" s="790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O205" s="671" t="n"/>
      <c r="P205" s="671" t="n"/>
      <c r="Q205" s="671" t="n"/>
      <c r="R205" s="637" t="n"/>
      <c r="S205" s="40" t="inlineStr"/>
      <c r="T205" s="40" t="inlineStr"/>
      <c r="U205" s="41" t="inlineStr">
        <is>
          <t>кг</t>
        </is>
      </c>
      <c r="V205" s="672" t="n">
        <v>0</v>
      </c>
      <c r="W205" s="673">
        <f>IFERROR(IF(V205="",0,CEILING((V205/$H205),1)*$H205),"")</f>
        <v/>
      </c>
      <c r="X205" s="42">
        <f>IFERROR(IF(W205=0,"",ROUNDUP(W205/H205,0)*0.00937),"")</f>
        <v/>
      </c>
      <c r="Y205" s="69" t="inlineStr"/>
      <c r="Z205" s="70" t="inlineStr"/>
      <c r="AD205" s="71" t="n"/>
      <c r="BA205" s="186" t="inlineStr">
        <is>
          <t>КИ</t>
        </is>
      </c>
    </row>
    <row r="206">
      <c r="A206" s="320" t="n"/>
      <c r="B206" s="313" t="n"/>
      <c r="C206" s="313" t="n"/>
      <c r="D206" s="313" t="n"/>
      <c r="E206" s="313" t="n"/>
      <c r="F206" s="313" t="n"/>
      <c r="G206" s="313" t="n"/>
      <c r="H206" s="313" t="n"/>
      <c r="I206" s="313" t="n"/>
      <c r="J206" s="313" t="n"/>
      <c r="K206" s="313" t="n"/>
      <c r="L206" s="313" t="n"/>
      <c r="M206" s="674" t="n"/>
      <c r="N206" s="675" t="inlineStr">
        <is>
          <t>Итого</t>
        </is>
      </c>
      <c r="O206" s="645" t="n"/>
      <c r="P206" s="645" t="n"/>
      <c r="Q206" s="645" t="n"/>
      <c r="R206" s="645" t="n"/>
      <c r="S206" s="645" t="n"/>
      <c r="T206" s="646" t="n"/>
      <c r="U206" s="43" t="inlineStr">
        <is>
          <t>кор</t>
        </is>
      </c>
      <c r="V206" s="676">
        <f>IFERROR(V192/H192,"0")+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</f>
        <v/>
      </c>
      <c r="W206" s="676">
        <f>IFERROR(W192/H192,"0")+IFERROR(W193/H193,"0")+IFERROR(W194/H194,"0")+IFERROR(W195/H195,"0")+IFERROR(W196/H196,"0")+IFERROR(W197/H197,"0")+IFERROR(W198/H198,"0")+IFERROR(W199/H199,"0")+IFERROR(W200/H200,"0")+IFERROR(W201/H201,"0")+IFERROR(W202/H202,"0")+IFERROR(W203/H203,"0")+IFERROR(W204/H204,"0")+IFERROR(W205/H205,"0")</f>
        <v/>
      </c>
      <c r="X206" s="676">
        <f>IFERROR(IF(X192="",0,X192),"0")+IFERROR(IF(X193="",0,X193),"0")+IFERROR(IF(X194="",0,X194),"0")+IFERROR(IF(X195="",0,X195),"0")+IFERROR(IF(X196="",0,X196),"0")+IFERROR(IF(X197="",0,X197),"0")+IFERROR(IF(X198="",0,X198),"0")+IFERROR(IF(X199="",0,X199),"0")+IFERROR(IF(X200="",0,X200),"0")+IFERROR(IF(X201="",0,X201),"0")+IFERROR(IF(X202="",0,X202),"0")+IFERROR(IF(X203="",0,X203),"0")+IFERROR(IF(X204="",0,X204),"0")+IFERROR(IF(X205="",0,X205),"0")</f>
        <v/>
      </c>
      <c r="Y206" s="677" t="n"/>
      <c r="Z206" s="677" t="n"/>
    </row>
    <row r="207">
      <c r="A207" s="313" t="n"/>
      <c r="B207" s="313" t="n"/>
      <c r="C207" s="313" t="n"/>
      <c r="D207" s="313" t="n"/>
      <c r="E207" s="313" t="n"/>
      <c r="F207" s="313" t="n"/>
      <c r="G207" s="313" t="n"/>
      <c r="H207" s="313" t="n"/>
      <c r="I207" s="313" t="n"/>
      <c r="J207" s="313" t="n"/>
      <c r="K207" s="313" t="n"/>
      <c r="L207" s="313" t="n"/>
      <c r="M207" s="674" t="n"/>
      <c r="N207" s="675" t="inlineStr">
        <is>
          <t>Итого</t>
        </is>
      </c>
      <c r="O207" s="645" t="n"/>
      <c r="P207" s="645" t="n"/>
      <c r="Q207" s="645" t="n"/>
      <c r="R207" s="645" t="n"/>
      <c r="S207" s="645" t="n"/>
      <c r="T207" s="646" t="n"/>
      <c r="U207" s="43" t="inlineStr">
        <is>
          <t>кг</t>
        </is>
      </c>
      <c r="V207" s="676">
        <f>IFERROR(SUM(V192:V205),"0")</f>
        <v/>
      </c>
      <c r="W207" s="676">
        <f>IFERROR(SUM(W192:W205),"0")</f>
        <v/>
      </c>
      <c r="X207" s="43" t="n"/>
      <c r="Y207" s="677" t="n"/>
      <c r="Z207" s="677" t="n"/>
    </row>
    <row r="208" ht="14.25" customHeight="1">
      <c r="A208" s="330" t="inlineStr">
        <is>
          <t>Ветчины</t>
        </is>
      </c>
      <c r="B208" s="313" t="n"/>
      <c r="C208" s="313" t="n"/>
      <c r="D208" s="313" t="n"/>
      <c r="E208" s="313" t="n"/>
      <c r="F208" s="313" t="n"/>
      <c r="G208" s="313" t="n"/>
      <c r="H208" s="313" t="n"/>
      <c r="I208" s="313" t="n"/>
      <c r="J208" s="313" t="n"/>
      <c r="K208" s="313" t="n"/>
      <c r="L208" s="313" t="n"/>
      <c r="M208" s="313" t="n"/>
      <c r="N208" s="313" t="n"/>
      <c r="O208" s="313" t="n"/>
      <c r="P208" s="313" t="n"/>
      <c r="Q208" s="313" t="n"/>
      <c r="R208" s="313" t="n"/>
      <c r="S208" s="313" t="n"/>
      <c r="T208" s="313" t="n"/>
      <c r="U208" s="313" t="n"/>
      <c r="V208" s="313" t="n"/>
      <c r="W208" s="313" t="n"/>
      <c r="X208" s="313" t="n"/>
      <c r="Y208" s="330" t="n"/>
      <c r="Z208" s="330" t="n"/>
    </row>
    <row r="209" ht="27" customHeight="1">
      <c r="A209" s="64" t="inlineStr">
        <is>
          <t>SU002788</t>
        </is>
      </c>
      <c r="B209" s="64" t="inlineStr">
        <is>
          <t>P003190</t>
        </is>
      </c>
      <c r="C209" s="37" t="n">
        <v>4301020254</v>
      </c>
      <c r="D209" s="325" t="n">
        <v>4680115881914</v>
      </c>
      <c r="E209" s="637" t="n"/>
      <c r="F209" s="669" t="n">
        <v>0.4</v>
      </c>
      <c r="G209" s="38" t="n">
        <v>10</v>
      </c>
      <c r="H209" s="669" t="n">
        <v>4</v>
      </c>
      <c r="I209" s="669" t="n">
        <v>4.24</v>
      </c>
      <c r="J209" s="38" t="n">
        <v>120</v>
      </c>
      <c r="K209" s="38" t="inlineStr">
        <is>
          <t>12</t>
        </is>
      </c>
      <c r="L209" s="39" t="inlineStr">
        <is>
          <t>СК1</t>
        </is>
      </c>
      <c r="M209" s="38" t="n">
        <v>90</v>
      </c>
      <c r="N209" s="791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O209" s="671" t="n"/>
      <c r="P209" s="671" t="n"/>
      <c r="Q209" s="671" t="n"/>
      <c r="R209" s="637" t="n"/>
      <c r="S209" s="40" t="inlineStr"/>
      <c r="T209" s="40" t="inlineStr"/>
      <c r="U209" s="41" t="inlineStr">
        <is>
          <t>кг</t>
        </is>
      </c>
      <c r="V209" s="672" t="n">
        <v>12</v>
      </c>
      <c r="W209" s="673">
        <f>IFERROR(IF(V209="",0,CEILING((V209/$H209),1)*$H209),"")</f>
        <v/>
      </c>
      <c r="X209" s="42">
        <f>IFERROR(IF(W209=0,"",ROUNDUP(W209/H209,0)*0.00937),"")</f>
        <v/>
      </c>
      <c r="Y209" s="69" t="inlineStr"/>
      <c r="Z209" s="70" t="inlineStr"/>
      <c r="AD209" s="71" t="n"/>
      <c r="BA209" s="187" t="inlineStr">
        <is>
          <t>КИ</t>
        </is>
      </c>
    </row>
    <row r="210">
      <c r="A210" s="320" t="n"/>
      <c r="B210" s="313" t="n"/>
      <c r="C210" s="313" t="n"/>
      <c r="D210" s="313" t="n"/>
      <c r="E210" s="313" t="n"/>
      <c r="F210" s="313" t="n"/>
      <c r="G210" s="313" t="n"/>
      <c r="H210" s="313" t="n"/>
      <c r="I210" s="313" t="n"/>
      <c r="J210" s="313" t="n"/>
      <c r="K210" s="313" t="n"/>
      <c r="L210" s="313" t="n"/>
      <c r="M210" s="674" t="n"/>
      <c r="N210" s="675" t="inlineStr">
        <is>
          <t>Итого</t>
        </is>
      </c>
      <c r="O210" s="645" t="n"/>
      <c r="P210" s="645" t="n"/>
      <c r="Q210" s="645" t="n"/>
      <c r="R210" s="645" t="n"/>
      <c r="S210" s="645" t="n"/>
      <c r="T210" s="646" t="n"/>
      <c r="U210" s="43" t="inlineStr">
        <is>
          <t>кор</t>
        </is>
      </c>
      <c r="V210" s="676">
        <f>IFERROR(V209/H209,"0")</f>
        <v/>
      </c>
      <c r="W210" s="676">
        <f>IFERROR(W209/H209,"0")</f>
        <v/>
      </c>
      <c r="X210" s="676">
        <f>IFERROR(IF(X209="",0,X209),"0")</f>
        <v/>
      </c>
      <c r="Y210" s="677" t="n"/>
      <c r="Z210" s="677" t="n"/>
    </row>
    <row r="211">
      <c r="A211" s="313" t="n"/>
      <c r="B211" s="313" t="n"/>
      <c r="C211" s="313" t="n"/>
      <c r="D211" s="313" t="n"/>
      <c r="E211" s="313" t="n"/>
      <c r="F211" s="313" t="n"/>
      <c r="G211" s="313" t="n"/>
      <c r="H211" s="313" t="n"/>
      <c r="I211" s="313" t="n"/>
      <c r="J211" s="313" t="n"/>
      <c r="K211" s="313" t="n"/>
      <c r="L211" s="313" t="n"/>
      <c r="M211" s="674" t="n"/>
      <c r="N211" s="675" t="inlineStr">
        <is>
          <t>Итого</t>
        </is>
      </c>
      <c r="O211" s="645" t="n"/>
      <c r="P211" s="645" t="n"/>
      <c r="Q211" s="645" t="n"/>
      <c r="R211" s="645" t="n"/>
      <c r="S211" s="645" t="n"/>
      <c r="T211" s="646" t="n"/>
      <c r="U211" s="43" t="inlineStr">
        <is>
          <t>кг</t>
        </is>
      </c>
      <c r="V211" s="676">
        <f>IFERROR(SUM(V209:V209),"0")</f>
        <v/>
      </c>
      <c r="W211" s="676">
        <f>IFERROR(SUM(W209:W209),"0")</f>
        <v/>
      </c>
      <c r="X211" s="43" t="n"/>
      <c r="Y211" s="677" t="n"/>
      <c r="Z211" s="677" t="n"/>
    </row>
    <row r="212" ht="14.25" customHeight="1">
      <c r="A212" s="330" t="inlineStr">
        <is>
          <t>Копченые колбасы</t>
        </is>
      </c>
      <c r="B212" s="313" t="n"/>
      <c r="C212" s="313" t="n"/>
      <c r="D212" s="313" t="n"/>
      <c r="E212" s="313" t="n"/>
      <c r="F212" s="313" t="n"/>
      <c r="G212" s="313" t="n"/>
      <c r="H212" s="313" t="n"/>
      <c r="I212" s="313" t="n"/>
      <c r="J212" s="313" t="n"/>
      <c r="K212" s="313" t="n"/>
      <c r="L212" s="313" t="n"/>
      <c r="M212" s="313" t="n"/>
      <c r="N212" s="313" t="n"/>
      <c r="O212" s="313" t="n"/>
      <c r="P212" s="313" t="n"/>
      <c r="Q212" s="313" t="n"/>
      <c r="R212" s="313" t="n"/>
      <c r="S212" s="313" t="n"/>
      <c r="T212" s="313" t="n"/>
      <c r="U212" s="313" t="n"/>
      <c r="V212" s="313" t="n"/>
      <c r="W212" s="313" t="n"/>
      <c r="X212" s="313" t="n"/>
      <c r="Y212" s="330" t="n"/>
      <c r="Z212" s="330" t="n"/>
    </row>
    <row r="213" ht="27" customHeight="1">
      <c r="A213" s="64" t="inlineStr">
        <is>
          <t>SU001820</t>
        </is>
      </c>
      <c r="B213" s="64" t="inlineStr">
        <is>
          <t>P001820</t>
        </is>
      </c>
      <c r="C213" s="37" t="n">
        <v>4301030878</v>
      </c>
      <c r="D213" s="325" t="n">
        <v>4607091387193</v>
      </c>
      <c r="E213" s="637" t="n"/>
      <c r="F213" s="669" t="n">
        <v>0.7</v>
      </c>
      <c r="G213" s="38" t="n">
        <v>6</v>
      </c>
      <c r="H213" s="669" t="n">
        <v>4.2</v>
      </c>
      <c r="I213" s="669" t="n">
        <v>4.46</v>
      </c>
      <c r="J213" s="38" t="n">
        <v>156</v>
      </c>
      <c r="K213" s="38" t="inlineStr">
        <is>
          <t>12</t>
        </is>
      </c>
      <c r="L213" s="39" t="inlineStr">
        <is>
          <t>СК2</t>
        </is>
      </c>
      <c r="M213" s="38" t="n">
        <v>35</v>
      </c>
      <c r="N213" s="792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O213" s="671" t="n"/>
      <c r="P213" s="671" t="n"/>
      <c r="Q213" s="671" t="n"/>
      <c r="R213" s="637" t="n"/>
      <c r="S213" s="40" t="inlineStr"/>
      <c r="T213" s="40" t="inlineStr"/>
      <c r="U213" s="41" t="inlineStr">
        <is>
          <t>кг</t>
        </is>
      </c>
      <c r="V213" s="672" t="n">
        <v>0</v>
      </c>
      <c r="W213" s="673">
        <f>IFERROR(IF(V213="",0,CEILING((V213/$H213),1)*$H213),"")</f>
        <v/>
      </c>
      <c r="X213" s="42">
        <f>IFERROR(IF(W213=0,"",ROUNDUP(W213/H213,0)*0.00753),"")</f>
        <v/>
      </c>
      <c r="Y213" s="69" t="inlineStr"/>
      <c r="Z213" s="70" t="inlineStr"/>
      <c r="AD213" s="71" t="n"/>
      <c r="BA213" s="188" t="inlineStr">
        <is>
          <t>КИ</t>
        </is>
      </c>
    </row>
    <row r="214" ht="27" customHeight="1">
      <c r="A214" s="64" t="inlineStr">
        <is>
          <t>SU001822</t>
        </is>
      </c>
      <c r="B214" s="64" t="inlineStr">
        <is>
          <t>P003013</t>
        </is>
      </c>
      <c r="C214" s="37" t="n">
        <v>4301031153</v>
      </c>
      <c r="D214" s="325" t="n">
        <v>4607091387230</v>
      </c>
      <c r="E214" s="637" t="n"/>
      <c r="F214" s="669" t="n">
        <v>0.7</v>
      </c>
      <c r="G214" s="38" t="n">
        <v>6</v>
      </c>
      <c r="H214" s="669" t="n">
        <v>4.2</v>
      </c>
      <c r="I214" s="669" t="n">
        <v>4.46</v>
      </c>
      <c r="J214" s="38" t="n">
        <v>156</v>
      </c>
      <c r="K214" s="38" t="inlineStr">
        <is>
          <t>12</t>
        </is>
      </c>
      <c r="L214" s="39" t="inlineStr">
        <is>
          <t>СК2</t>
        </is>
      </c>
      <c r="M214" s="38" t="n">
        <v>40</v>
      </c>
      <c r="N214" s="793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O214" s="671" t="n"/>
      <c r="P214" s="671" t="n"/>
      <c r="Q214" s="671" t="n"/>
      <c r="R214" s="637" t="n"/>
      <c r="S214" s="40" t="inlineStr"/>
      <c r="T214" s="40" t="inlineStr"/>
      <c r="U214" s="41" t="inlineStr">
        <is>
          <t>кг</t>
        </is>
      </c>
      <c r="V214" s="672" t="n">
        <v>0</v>
      </c>
      <c r="W214" s="673">
        <f>IFERROR(IF(V214="",0,CEILING((V214/$H214),1)*$H214),"")</f>
        <v/>
      </c>
      <c r="X214" s="42">
        <f>IFERROR(IF(W214=0,"",ROUNDUP(W214/H214,0)*0.00753),"")</f>
        <v/>
      </c>
      <c r="Y214" s="69" t="inlineStr"/>
      <c r="Z214" s="70" t="inlineStr"/>
      <c r="AD214" s="71" t="n"/>
      <c r="BA214" s="189" t="inlineStr">
        <is>
          <t>КИ</t>
        </is>
      </c>
    </row>
    <row r="215" ht="27" customHeight="1">
      <c r="A215" s="64" t="inlineStr">
        <is>
          <t>SU002579</t>
        </is>
      </c>
      <c r="B215" s="64" t="inlineStr">
        <is>
          <t>P003012</t>
        </is>
      </c>
      <c r="C215" s="37" t="n">
        <v>4301031152</v>
      </c>
      <c r="D215" s="325" t="n">
        <v>4607091387285</v>
      </c>
      <c r="E215" s="637" t="n"/>
      <c r="F215" s="669" t="n">
        <v>0.35</v>
      </c>
      <c r="G215" s="38" t="n">
        <v>6</v>
      </c>
      <c r="H215" s="669" t="n">
        <v>2.1</v>
      </c>
      <c r="I215" s="669" t="n">
        <v>2.23</v>
      </c>
      <c r="J215" s="38" t="n">
        <v>234</v>
      </c>
      <c r="K215" s="38" t="inlineStr">
        <is>
          <t>18</t>
        </is>
      </c>
      <c r="L215" s="39" t="inlineStr">
        <is>
          <t>СК2</t>
        </is>
      </c>
      <c r="M215" s="38" t="n">
        <v>40</v>
      </c>
      <c r="N215" s="794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O215" s="671" t="n"/>
      <c r="P215" s="671" t="n"/>
      <c r="Q215" s="671" t="n"/>
      <c r="R215" s="637" t="n"/>
      <c r="S215" s="40" t="inlineStr"/>
      <c r="T215" s="40" t="inlineStr"/>
      <c r="U215" s="41" t="inlineStr">
        <is>
          <t>кг</t>
        </is>
      </c>
      <c r="V215" s="672" t="n">
        <v>0</v>
      </c>
      <c r="W215" s="673">
        <f>IFERROR(IF(V215="",0,CEILING((V215/$H215),1)*$H215),"")</f>
        <v/>
      </c>
      <c r="X215" s="42">
        <f>IFERROR(IF(W215=0,"",ROUNDUP(W215/H215,0)*0.00502),"")</f>
        <v/>
      </c>
      <c r="Y215" s="69" t="inlineStr"/>
      <c r="Z215" s="70" t="inlineStr"/>
      <c r="AD215" s="71" t="n"/>
      <c r="BA215" s="190" t="inlineStr">
        <is>
          <t>КИ</t>
        </is>
      </c>
    </row>
    <row r="216" ht="27" customHeight="1">
      <c r="A216" s="64" t="inlineStr">
        <is>
          <t>SU002617</t>
        </is>
      </c>
      <c r="B216" s="64" t="inlineStr">
        <is>
          <t>P002951</t>
        </is>
      </c>
      <c r="C216" s="37" t="n">
        <v>4301031151</v>
      </c>
      <c r="D216" s="325" t="n">
        <v>4607091389845</v>
      </c>
      <c r="E216" s="637" t="n"/>
      <c r="F216" s="669" t="n">
        <v>0.35</v>
      </c>
      <c r="G216" s="38" t="n">
        <v>6</v>
      </c>
      <c r="H216" s="669" t="n">
        <v>2.1</v>
      </c>
      <c r="I216" s="669" t="n">
        <v>2.2</v>
      </c>
      <c r="J216" s="38" t="n">
        <v>234</v>
      </c>
      <c r="K216" s="38" t="inlineStr">
        <is>
          <t>18</t>
        </is>
      </c>
      <c r="L216" s="39" t="inlineStr">
        <is>
          <t>СК2</t>
        </is>
      </c>
      <c r="M216" s="38" t="n">
        <v>40</v>
      </c>
      <c r="N216" s="795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O216" s="671" t="n"/>
      <c r="P216" s="671" t="n"/>
      <c r="Q216" s="671" t="n"/>
      <c r="R216" s="637" t="n"/>
      <c r="S216" s="40" t="inlineStr"/>
      <c r="T216" s="40" t="inlineStr"/>
      <c r="U216" s="41" t="inlineStr">
        <is>
          <t>кг</t>
        </is>
      </c>
      <c r="V216" s="672" t="n">
        <v>0</v>
      </c>
      <c r="W216" s="673">
        <f>IFERROR(IF(V216="",0,CEILING((V216/$H216),1)*$H216),"")</f>
        <v/>
      </c>
      <c r="X216" s="42">
        <f>IFERROR(IF(W216=0,"",ROUNDUP(W216/H216,0)*0.00502),"")</f>
        <v/>
      </c>
      <c r="Y216" s="69" t="inlineStr"/>
      <c r="Z216" s="70" t="inlineStr"/>
      <c r="AD216" s="71" t="n"/>
      <c r="BA216" s="191" t="inlineStr">
        <is>
          <t>КИ</t>
        </is>
      </c>
    </row>
    <row r="217">
      <c r="A217" s="320" t="n"/>
      <c r="B217" s="313" t="n"/>
      <c r="C217" s="313" t="n"/>
      <c r="D217" s="313" t="n"/>
      <c r="E217" s="313" t="n"/>
      <c r="F217" s="313" t="n"/>
      <c r="G217" s="313" t="n"/>
      <c r="H217" s="313" t="n"/>
      <c r="I217" s="313" t="n"/>
      <c r="J217" s="313" t="n"/>
      <c r="K217" s="313" t="n"/>
      <c r="L217" s="313" t="n"/>
      <c r="M217" s="674" t="n"/>
      <c r="N217" s="675" t="inlineStr">
        <is>
          <t>Итого</t>
        </is>
      </c>
      <c r="O217" s="645" t="n"/>
      <c r="P217" s="645" t="n"/>
      <c r="Q217" s="645" t="n"/>
      <c r="R217" s="645" t="n"/>
      <c r="S217" s="645" t="n"/>
      <c r="T217" s="646" t="n"/>
      <c r="U217" s="43" t="inlineStr">
        <is>
          <t>кор</t>
        </is>
      </c>
      <c r="V217" s="676">
        <f>IFERROR(V213/H213,"0")+IFERROR(V214/H214,"0")+IFERROR(V215/H215,"0")+IFERROR(V216/H216,"0")</f>
        <v/>
      </c>
      <c r="W217" s="676">
        <f>IFERROR(W213/H213,"0")+IFERROR(W214/H214,"0")+IFERROR(W215/H215,"0")+IFERROR(W216/H216,"0")</f>
        <v/>
      </c>
      <c r="X217" s="676">
        <f>IFERROR(IF(X213="",0,X213),"0")+IFERROR(IF(X214="",0,X214),"0")+IFERROR(IF(X215="",0,X215),"0")+IFERROR(IF(X216="",0,X216),"0")</f>
        <v/>
      </c>
      <c r="Y217" s="677" t="n"/>
      <c r="Z217" s="677" t="n"/>
    </row>
    <row r="218">
      <c r="A218" s="313" t="n"/>
      <c r="B218" s="313" t="n"/>
      <c r="C218" s="313" t="n"/>
      <c r="D218" s="313" t="n"/>
      <c r="E218" s="313" t="n"/>
      <c r="F218" s="313" t="n"/>
      <c r="G218" s="313" t="n"/>
      <c r="H218" s="313" t="n"/>
      <c r="I218" s="313" t="n"/>
      <c r="J218" s="313" t="n"/>
      <c r="K218" s="313" t="n"/>
      <c r="L218" s="313" t="n"/>
      <c r="M218" s="674" t="n"/>
      <c r="N218" s="675" t="inlineStr">
        <is>
          <t>Итого</t>
        </is>
      </c>
      <c r="O218" s="645" t="n"/>
      <c r="P218" s="645" t="n"/>
      <c r="Q218" s="645" t="n"/>
      <c r="R218" s="645" t="n"/>
      <c r="S218" s="645" t="n"/>
      <c r="T218" s="646" t="n"/>
      <c r="U218" s="43" t="inlineStr">
        <is>
          <t>кг</t>
        </is>
      </c>
      <c r="V218" s="676">
        <f>IFERROR(SUM(V213:V216),"0")</f>
        <v/>
      </c>
      <c r="W218" s="676">
        <f>IFERROR(SUM(W213:W216),"0")</f>
        <v/>
      </c>
      <c r="X218" s="43" t="n"/>
      <c r="Y218" s="677" t="n"/>
      <c r="Z218" s="677" t="n"/>
    </row>
    <row r="219" ht="14.25" customHeight="1">
      <c r="A219" s="330" t="inlineStr">
        <is>
          <t>Сосиски</t>
        </is>
      </c>
      <c r="B219" s="313" t="n"/>
      <c r="C219" s="313" t="n"/>
      <c r="D219" s="313" t="n"/>
      <c r="E219" s="313" t="n"/>
      <c r="F219" s="313" t="n"/>
      <c r="G219" s="313" t="n"/>
      <c r="H219" s="313" t="n"/>
      <c r="I219" s="313" t="n"/>
      <c r="J219" s="313" t="n"/>
      <c r="K219" s="313" t="n"/>
      <c r="L219" s="313" t="n"/>
      <c r="M219" s="313" t="n"/>
      <c r="N219" s="313" t="n"/>
      <c r="O219" s="313" t="n"/>
      <c r="P219" s="313" t="n"/>
      <c r="Q219" s="313" t="n"/>
      <c r="R219" s="313" t="n"/>
      <c r="S219" s="313" t="n"/>
      <c r="T219" s="313" t="n"/>
      <c r="U219" s="313" t="n"/>
      <c r="V219" s="313" t="n"/>
      <c r="W219" s="313" t="n"/>
      <c r="X219" s="313" t="n"/>
      <c r="Y219" s="330" t="n"/>
      <c r="Z219" s="330" t="n"/>
    </row>
    <row r="220" ht="16.5" customHeight="1">
      <c r="A220" s="64" t="inlineStr">
        <is>
          <t>SU001340</t>
        </is>
      </c>
      <c r="B220" s="64" t="inlineStr">
        <is>
          <t>P002209</t>
        </is>
      </c>
      <c r="C220" s="37" t="n">
        <v>4301051100</v>
      </c>
      <c r="D220" s="325" t="n">
        <v>4607091387766</v>
      </c>
      <c r="E220" s="637" t="n"/>
      <c r="F220" s="669" t="n">
        <v>1.35</v>
      </c>
      <c r="G220" s="38" t="n">
        <v>6</v>
      </c>
      <c r="H220" s="669" t="n">
        <v>8.1</v>
      </c>
      <c r="I220" s="669" t="n">
        <v>8.657999999999999</v>
      </c>
      <c r="J220" s="38" t="n">
        <v>56</v>
      </c>
      <c r="K220" s="38" t="inlineStr">
        <is>
          <t>8</t>
        </is>
      </c>
      <c r="L220" s="39" t="inlineStr">
        <is>
          <t>СК3</t>
        </is>
      </c>
      <c r="M220" s="38" t="n">
        <v>40</v>
      </c>
      <c r="N220" s="796">
        <f>HYPERLINK("https://abi.ru/products/Охлажденные/Стародворье/Бордо/Сосиски/P002209/","Сосиски Ганноверские Бордо Весовые П/а мгс Баварушка")</f>
        <v/>
      </c>
      <c r="O220" s="671" t="n"/>
      <c r="P220" s="671" t="n"/>
      <c r="Q220" s="671" t="n"/>
      <c r="R220" s="637" t="n"/>
      <c r="S220" s="40" t="inlineStr"/>
      <c r="T220" s="40" t="inlineStr"/>
      <c r="U220" s="41" t="inlineStr">
        <is>
          <t>кг</t>
        </is>
      </c>
      <c r="V220" s="672" t="n">
        <v>0</v>
      </c>
      <c r="W220" s="673">
        <f>IFERROR(IF(V220="",0,CEILING((V220/$H220),1)*$H220),"")</f>
        <v/>
      </c>
      <c r="X220" s="42">
        <f>IFERROR(IF(W220=0,"",ROUNDUP(W220/H220,0)*0.02175),"")</f>
        <v/>
      </c>
      <c r="Y220" s="69" t="inlineStr"/>
      <c r="Z220" s="70" t="inlineStr"/>
      <c r="AD220" s="71" t="n"/>
      <c r="BA220" s="192" t="inlineStr">
        <is>
          <t>КИ</t>
        </is>
      </c>
    </row>
    <row r="221" ht="27" customHeight="1">
      <c r="A221" s="64" t="inlineStr">
        <is>
          <t>SU001727</t>
        </is>
      </c>
      <c r="B221" s="64" t="inlineStr">
        <is>
          <t>P002205</t>
        </is>
      </c>
      <c r="C221" s="37" t="n">
        <v>4301051116</v>
      </c>
      <c r="D221" s="325" t="n">
        <v>4607091387957</v>
      </c>
      <c r="E221" s="637" t="n"/>
      <c r="F221" s="669" t="n">
        <v>1.3</v>
      </c>
      <c r="G221" s="38" t="n">
        <v>6</v>
      </c>
      <c r="H221" s="669" t="n">
        <v>7.8</v>
      </c>
      <c r="I221" s="669" t="n">
        <v>8.364000000000001</v>
      </c>
      <c r="J221" s="38" t="n">
        <v>56</v>
      </c>
      <c r="K221" s="38" t="inlineStr">
        <is>
          <t>8</t>
        </is>
      </c>
      <c r="L221" s="39" t="inlineStr">
        <is>
          <t>СК2</t>
        </is>
      </c>
      <c r="M221" s="38" t="n">
        <v>40</v>
      </c>
      <c r="N221" s="797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O221" s="671" t="n"/>
      <c r="P221" s="671" t="n"/>
      <c r="Q221" s="671" t="n"/>
      <c r="R221" s="637" t="n"/>
      <c r="S221" s="40" t="inlineStr"/>
      <c r="T221" s="40" t="inlineStr"/>
      <c r="U221" s="41" t="inlineStr">
        <is>
          <t>кг</t>
        </is>
      </c>
      <c r="V221" s="672" t="n">
        <v>0</v>
      </c>
      <c r="W221" s="673">
        <f>IFERROR(IF(V221="",0,CEILING((V221/$H221),1)*$H221),"")</f>
        <v/>
      </c>
      <c r="X221" s="42">
        <f>IFERROR(IF(W221=0,"",ROUNDUP(W221/H221,0)*0.02175),"")</f>
        <v/>
      </c>
      <c r="Y221" s="69" t="inlineStr"/>
      <c r="Z221" s="70" t="inlineStr"/>
      <c r="AD221" s="71" t="n"/>
      <c r="BA221" s="193" t="inlineStr">
        <is>
          <t>КИ</t>
        </is>
      </c>
    </row>
    <row r="222" ht="27" customHeight="1">
      <c r="A222" s="64" t="inlineStr">
        <is>
          <t>SU001728</t>
        </is>
      </c>
      <c r="B222" s="64" t="inlineStr">
        <is>
          <t>P002207</t>
        </is>
      </c>
      <c r="C222" s="37" t="n">
        <v>4301051115</v>
      </c>
      <c r="D222" s="325" t="n">
        <v>4607091387964</v>
      </c>
      <c r="E222" s="637" t="n"/>
      <c r="F222" s="669" t="n">
        <v>1.35</v>
      </c>
      <c r="G222" s="38" t="n">
        <v>6</v>
      </c>
      <c r="H222" s="669" t="n">
        <v>8.1</v>
      </c>
      <c r="I222" s="669" t="n">
        <v>8.646000000000001</v>
      </c>
      <c r="J222" s="38" t="n">
        <v>56</v>
      </c>
      <c r="K222" s="38" t="inlineStr">
        <is>
          <t>8</t>
        </is>
      </c>
      <c r="L222" s="39" t="inlineStr">
        <is>
          <t>СК2</t>
        </is>
      </c>
      <c r="M222" s="38" t="n">
        <v>40</v>
      </c>
      <c r="N222" s="798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O222" s="671" t="n"/>
      <c r="P222" s="671" t="n"/>
      <c r="Q222" s="671" t="n"/>
      <c r="R222" s="637" t="n"/>
      <c r="S222" s="40" t="inlineStr"/>
      <c r="T222" s="40" t="inlineStr"/>
      <c r="U222" s="41" t="inlineStr">
        <is>
          <t>кг</t>
        </is>
      </c>
      <c r="V222" s="672" t="n">
        <v>0</v>
      </c>
      <c r="W222" s="673">
        <f>IFERROR(IF(V222="",0,CEILING((V222/$H222),1)*$H222),"")</f>
        <v/>
      </c>
      <c r="X222" s="42">
        <f>IFERROR(IF(W222=0,"",ROUNDUP(W222/H222,0)*0.02175),"")</f>
        <v/>
      </c>
      <c r="Y222" s="69" t="inlineStr"/>
      <c r="Z222" s="70" t="inlineStr"/>
      <c r="AD222" s="71" t="n"/>
      <c r="BA222" s="194" t="inlineStr">
        <is>
          <t>КИ</t>
        </is>
      </c>
    </row>
    <row r="223" ht="27" customHeight="1">
      <c r="A223" s="64" t="inlineStr">
        <is>
          <t>SU003167</t>
        </is>
      </c>
      <c r="B223" s="64" t="inlineStr">
        <is>
          <t>P003363</t>
        </is>
      </c>
      <c r="C223" s="37" t="n">
        <v>4301051461</v>
      </c>
      <c r="D223" s="325" t="n">
        <v>4680115883604</v>
      </c>
      <c r="E223" s="637" t="n"/>
      <c r="F223" s="669" t="n">
        <v>0.35</v>
      </c>
      <c r="G223" s="38" t="n">
        <v>6</v>
      </c>
      <c r="H223" s="669" t="n">
        <v>2.1</v>
      </c>
      <c r="I223" s="669" t="n">
        <v>2.372</v>
      </c>
      <c r="J223" s="38" t="n">
        <v>156</v>
      </c>
      <c r="K223" s="38" t="inlineStr">
        <is>
          <t>12</t>
        </is>
      </c>
      <c r="L223" s="39" t="inlineStr">
        <is>
          <t>СК3</t>
        </is>
      </c>
      <c r="M223" s="38" t="n">
        <v>45</v>
      </c>
      <c r="N223" s="799" t="inlineStr">
        <is>
          <t>Сосиски «Баварские» Фикс.вес 0,35 П/а ТМ «Стародворье»</t>
        </is>
      </c>
      <c r="O223" s="671" t="n"/>
      <c r="P223" s="671" t="n"/>
      <c r="Q223" s="671" t="n"/>
      <c r="R223" s="637" t="n"/>
      <c r="S223" s="40" t="inlineStr"/>
      <c r="T223" s="40" t="inlineStr"/>
      <c r="U223" s="41" t="inlineStr">
        <is>
          <t>кг</t>
        </is>
      </c>
      <c r="V223" s="672" t="n">
        <v>0</v>
      </c>
      <c r="W223" s="673">
        <f>IFERROR(IF(V223="",0,CEILING((V223/$H223),1)*$H223),"")</f>
        <v/>
      </c>
      <c r="X223" s="42">
        <f>IFERROR(IF(W223=0,"",ROUNDUP(W223/H223,0)*0.00753),"")</f>
        <v/>
      </c>
      <c r="Y223" s="69" t="inlineStr"/>
      <c r="Z223" s="70" t="inlineStr"/>
      <c r="AD223" s="71" t="n"/>
      <c r="BA223" s="195" t="inlineStr">
        <is>
          <t>КИ</t>
        </is>
      </c>
    </row>
    <row r="224" ht="27" customHeight="1">
      <c r="A224" s="64" t="inlineStr">
        <is>
          <t>SU003168</t>
        </is>
      </c>
      <c r="B224" s="64" t="inlineStr">
        <is>
          <t>P003364</t>
        </is>
      </c>
      <c r="C224" s="37" t="n">
        <v>4301051485</v>
      </c>
      <c r="D224" s="325" t="n">
        <v>4680115883567</v>
      </c>
      <c r="E224" s="637" t="n"/>
      <c r="F224" s="669" t="n">
        <v>0.35</v>
      </c>
      <c r="G224" s="38" t="n">
        <v>6</v>
      </c>
      <c r="H224" s="669" t="n">
        <v>2.1</v>
      </c>
      <c r="I224" s="669" t="n">
        <v>2.36</v>
      </c>
      <c r="J224" s="38" t="n">
        <v>156</v>
      </c>
      <c r="K224" s="38" t="inlineStr">
        <is>
          <t>12</t>
        </is>
      </c>
      <c r="L224" s="39" t="inlineStr">
        <is>
          <t>СК2</t>
        </is>
      </c>
      <c r="M224" s="38" t="n">
        <v>40</v>
      </c>
      <c r="N224" s="800" t="inlineStr">
        <is>
          <t>Сосиски «Баварские с сыром» Фикс.вес 0,35 п/а ТМ «Стародворье»</t>
        </is>
      </c>
      <c r="O224" s="671" t="n"/>
      <c r="P224" s="671" t="n"/>
      <c r="Q224" s="671" t="n"/>
      <c r="R224" s="637" t="n"/>
      <c r="S224" s="40" t="inlineStr"/>
      <c r="T224" s="40" t="inlineStr"/>
      <c r="U224" s="41" t="inlineStr">
        <is>
          <t>кг</t>
        </is>
      </c>
      <c r="V224" s="672" t="n">
        <v>0</v>
      </c>
      <c r="W224" s="673">
        <f>IFERROR(IF(V224="",0,CEILING((V224/$H224),1)*$H224),"")</f>
        <v/>
      </c>
      <c r="X224" s="42">
        <f>IFERROR(IF(W224=0,"",ROUNDUP(W224/H224,0)*0.00753),"")</f>
        <v/>
      </c>
      <c r="Y224" s="69" t="inlineStr"/>
      <c r="Z224" s="70" t="inlineStr"/>
      <c r="AD224" s="71" t="n"/>
      <c r="BA224" s="196" t="inlineStr">
        <is>
          <t>КИ</t>
        </is>
      </c>
    </row>
    <row r="225" ht="16.5" customHeight="1">
      <c r="A225" s="64" t="inlineStr">
        <is>
          <t>SU001341</t>
        </is>
      </c>
      <c r="B225" s="64" t="inlineStr">
        <is>
          <t>P002204</t>
        </is>
      </c>
      <c r="C225" s="37" t="n">
        <v>4301051134</v>
      </c>
      <c r="D225" s="325" t="n">
        <v>4607091381672</v>
      </c>
      <c r="E225" s="637" t="n"/>
      <c r="F225" s="669" t="n">
        <v>0.6</v>
      </c>
      <c r="G225" s="38" t="n">
        <v>6</v>
      </c>
      <c r="H225" s="669" t="n">
        <v>3.6</v>
      </c>
      <c r="I225" s="669" t="n">
        <v>3.876</v>
      </c>
      <c r="J225" s="38" t="n">
        <v>120</v>
      </c>
      <c r="K225" s="38" t="inlineStr">
        <is>
          <t>12</t>
        </is>
      </c>
      <c r="L225" s="39" t="inlineStr">
        <is>
          <t>СК2</t>
        </is>
      </c>
      <c r="M225" s="38" t="n">
        <v>40</v>
      </c>
      <c r="N225" s="801">
        <f>HYPERLINK("https://abi.ru/products/Охлажденные/Стародворье/Бордо/Сосиски/P002204/","Сосиски Ганноверские Бордо Фикс.вес 0,6 П/а мгс Баварушка")</f>
        <v/>
      </c>
      <c r="O225" s="671" t="n"/>
      <c r="P225" s="671" t="n"/>
      <c r="Q225" s="671" t="n"/>
      <c r="R225" s="637" t="n"/>
      <c r="S225" s="40" t="inlineStr"/>
      <c r="T225" s="40" t="inlineStr"/>
      <c r="U225" s="41" t="inlineStr">
        <is>
          <t>кг</t>
        </is>
      </c>
      <c r="V225" s="672" t="n">
        <v>0</v>
      </c>
      <c r="W225" s="673">
        <f>IFERROR(IF(V225="",0,CEILING((V225/$H225),1)*$H225),"")</f>
        <v/>
      </c>
      <c r="X225" s="42">
        <f>IFERROR(IF(W225=0,"",ROUNDUP(W225/H225,0)*0.00937),"")</f>
        <v/>
      </c>
      <c r="Y225" s="69" t="inlineStr"/>
      <c r="Z225" s="70" t="inlineStr"/>
      <c r="AD225" s="71" t="n"/>
      <c r="BA225" s="197" t="inlineStr">
        <is>
          <t>КИ</t>
        </is>
      </c>
    </row>
    <row r="226" ht="27" customHeight="1">
      <c r="A226" s="64" t="inlineStr">
        <is>
          <t>SU001763</t>
        </is>
      </c>
      <c r="B226" s="64" t="inlineStr">
        <is>
          <t>P002206</t>
        </is>
      </c>
      <c r="C226" s="37" t="n">
        <v>4301051130</v>
      </c>
      <c r="D226" s="325" t="n">
        <v>4607091387537</v>
      </c>
      <c r="E226" s="637" t="n"/>
      <c r="F226" s="669" t="n">
        <v>0.45</v>
      </c>
      <c r="G226" s="38" t="n">
        <v>6</v>
      </c>
      <c r="H226" s="669" t="n">
        <v>2.7</v>
      </c>
      <c r="I226" s="669" t="n">
        <v>2.99</v>
      </c>
      <c r="J226" s="38" t="n">
        <v>156</v>
      </c>
      <c r="K226" s="38" t="inlineStr">
        <is>
          <t>12</t>
        </is>
      </c>
      <c r="L226" s="39" t="inlineStr">
        <is>
          <t>СК2</t>
        </is>
      </c>
      <c r="M226" s="38" t="n">
        <v>40</v>
      </c>
      <c r="N226" s="802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O226" s="671" t="n"/>
      <c r="P226" s="671" t="n"/>
      <c r="Q226" s="671" t="n"/>
      <c r="R226" s="637" t="n"/>
      <c r="S226" s="40" t="inlineStr"/>
      <c r="T226" s="40" t="inlineStr"/>
      <c r="U226" s="41" t="inlineStr">
        <is>
          <t>кг</t>
        </is>
      </c>
      <c r="V226" s="672" t="n">
        <v>0</v>
      </c>
      <c r="W226" s="673">
        <f>IFERROR(IF(V226="",0,CEILING((V226/$H226),1)*$H226),"")</f>
        <v/>
      </c>
      <c r="X226" s="42">
        <f>IFERROR(IF(W226=0,"",ROUNDUP(W226/H226,0)*0.00753),"")</f>
        <v/>
      </c>
      <c r="Y226" s="69" t="inlineStr"/>
      <c r="Z226" s="70" t="inlineStr"/>
      <c r="AD226" s="71" t="n"/>
      <c r="BA226" s="198" t="inlineStr">
        <is>
          <t>КИ</t>
        </is>
      </c>
    </row>
    <row r="227" ht="27" customHeight="1">
      <c r="A227" s="64" t="inlineStr">
        <is>
          <t>SU001762</t>
        </is>
      </c>
      <c r="B227" s="64" t="inlineStr">
        <is>
          <t>P002208</t>
        </is>
      </c>
      <c r="C227" s="37" t="n">
        <v>4301051132</v>
      </c>
      <c r="D227" s="325" t="n">
        <v>4607091387513</v>
      </c>
      <c r="E227" s="637" t="n"/>
      <c r="F227" s="669" t="n">
        <v>0.45</v>
      </c>
      <c r="G227" s="38" t="n">
        <v>6</v>
      </c>
      <c r="H227" s="669" t="n">
        <v>2.7</v>
      </c>
      <c r="I227" s="669" t="n">
        <v>2.978</v>
      </c>
      <c r="J227" s="38" t="n">
        <v>156</v>
      </c>
      <c r="K227" s="38" t="inlineStr">
        <is>
          <t>12</t>
        </is>
      </c>
      <c r="L227" s="39" t="inlineStr">
        <is>
          <t>СК2</t>
        </is>
      </c>
      <c r="M227" s="38" t="n">
        <v>40</v>
      </c>
      <c r="N227" s="803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O227" s="671" t="n"/>
      <c r="P227" s="671" t="n"/>
      <c r="Q227" s="671" t="n"/>
      <c r="R227" s="637" t="n"/>
      <c r="S227" s="40" t="inlineStr"/>
      <c r="T227" s="40" t="inlineStr"/>
      <c r="U227" s="41" t="inlineStr">
        <is>
          <t>кг</t>
        </is>
      </c>
      <c r="V227" s="672" t="n">
        <v>0</v>
      </c>
      <c r="W227" s="673">
        <f>IFERROR(IF(V227="",0,CEILING((V227/$H227),1)*$H227),"")</f>
        <v/>
      </c>
      <c r="X227" s="42">
        <f>IFERROR(IF(W227=0,"",ROUNDUP(W227/H227,0)*0.00753),"")</f>
        <v/>
      </c>
      <c r="Y227" s="69" t="inlineStr"/>
      <c r="Z227" s="70" t="inlineStr"/>
      <c r="AD227" s="71" t="n"/>
      <c r="BA227" s="199" t="inlineStr">
        <is>
          <t>КИ</t>
        </is>
      </c>
    </row>
    <row r="228" ht="27" customHeight="1">
      <c r="A228" s="64" t="inlineStr">
        <is>
          <t>SU002619</t>
        </is>
      </c>
      <c r="B228" s="64" t="inlineStr">
        <is>
          <t>P002953</t>
        </is>
      </c>
      <c r="C228" s="37" t="n">
        <v>4301051277</v>
      </c>
      <c r="D228" s="325" t="n">
        <v>4680115880511</v>
      </c>
      <c r="E228" s="637" t="n"/>
      <c r="F228" s="669" t="n">
        <v>0.33</v>
      </c>
      <c r="G228" s="38" t="n">
        <v>6</v>
      </c>
      <c r="H228" s="669" t="n">
        <v>1.98</v>
      </c>
      <c r="I228" s="669" t="n">
        <v>2.18</v>
      </c>
      <c r="J228" s="38" t="n">
        <v>156</v>
      </c>
      <c r="K228" s="38" t="inlineStr">
        <is>
          <t>12</t>
        </is>
      </c>
      <c r="L228" s="39" t="inlineStr">
        <is>
          <t>СК3</t>
        </is>
      </c>
      <c r="M228" s="38" t="n">
        <v>40</v>
      </c>
      <c r="N228" s="804">
        <f>HYPERLINK("https://abi.ru/products/Охлажденные/Стародворье/Бордо/Сосиски/P002953/","Сосиски Царедворские Бордо Фикс.вес 0,33 П/а мгс Стародворье")</f>
        <v/>
      </c>
      <c r="O228" s="671" t="n"/>
      <c r="P228" s="671" t="n"/>
      <c r="Q228" s="671" t="n"/>
      <c r="R228" s="637" t="n"/>
      <c r="S228" s="40" t="inlineStr"/>
      <c r="T228" s="40" t="inlineStr"/>
      <c r="U228" s="41" t="inlineStr">
        <is>
          <t>кг</t>
        </is>
      </c>
      <c r="V228" s="672" t="n">
        <v>0</v>
      </c>
      <c r="W228" s="673">
        <f>IFERROR(IF(V228="",0,CEILING((V228/$H228),1)*$H228),"")</f>
        <v/>
      </c>
      <c r="X228" s="42">
        <f>IFERROR(IF(W228=0,"",ROUNDUP(W228/H228,0)*0.00753),"")</f>
        <v/>
      </c>
      <c r="Y228" s="69" t="inlineStr"/>
      <c r="Z228" s="70" t="inlineStr"/>
      <c r="AD228" s="71" t="n"/>
      <c r="BA228" s="200" t="inlineStr">
        <is>
          <t>КИ</t>
        </is>
      </c>
    </row>
    <row r="229">
      <c r="A229" s="320" t="n"/>
      <c r="B229" s="313" t="n"/>
      <c r="C229" s="313" t="n"/>
      <c r="D229" s="313" t="n"/>
      <c r="E229" s="313" t="n"/>
      <c r="F229" s="313" t="n"/>
      <c r="G229" s="313" t="n"/>
      <c r="H229" s="313" t="n"/>
      <c r="I229" s="313" t="n"/>
      <c r="J229" s="313" t="n"/>
      <c r="K229" s="313" t="n"/>
      <c r="L229" s="313" t="n"/>
      <c r="M229" s="674" t="n"/>
      <c r="N229" s="675" t="inlineStr">
        <is>
          <t>Итого</t>
        </is>
      </c>
      <c r="O229" s="645" t="n"/>
      <c r="P229" s="645" t="n"/>
      <c r="Q229" s="645" t="n"/>
      <c r="R229" s="645" t="n"/>
      <c r="S229" s="645" t="n"/>
      <c r="T229" s="646" t="n"/>
      <c r="U229" s="43" t="inlineStr">
        <is>
          <t>кор</t>
        </is>
      </c>
      <c r="V229" s="676">
        <f>IFERROR(V220/H220,"0")+IFERROR(V221/H221,"0")+IFERROR(V222/H222,"0")+IFERROR(V223/H223,"0")+IFERROR(V224/H224,"0")+IFERROR(V225/H225,"0")+IFERROR(V226/H226,"0")+IFERROR(V227/H227,"0")+IFERROR(V228/H228,"0")</f>
        <v/>
      </c>
      <c r="W229" s="676">
        <f>IFERROR(W220/H220,"0")+IFERROR(W221/H221,"0")+IFERROR(W222/H222,"0")+IFERROR(W223/H223,"0")+IFERROR(W224/H224,"0")+IFERROR(W225/H225,"0")+IFERROR(W226/H226,"0")+IFERROR(W227/H227,"0")+IFERROR(W228/H228,"0")</f>
        <v/>
      </c>
      <c r="X229" s="676">
        <f>IFERROR(IF(X220="",0,X220),"0")+IFERROR(IF(X221="",0,X221),"0")+IFERROR(IF(X222="",0,X222),"0")+IFERROR(IF(X223="",0,X223),"0")+IFERROR(IF(X224="",0,X224),"0")+IFERROR(IF(X225="",0,X225),"0")+IFERROR(IF(X226="",0,X226),"0")+IFERROR(IF(X227="",0,X227),"0")+IFERROR(IF(X228="",0,X228),"0")</f>
        <v/>
      </c>
      <c r="Y229" s="677" t="n"/>
      <c r="Z229" s="677" t="n"/>
    </row>
    <row r="230">
      <c r="A230" s="313" t="n"/>
      <c r="B230" s="313" t="n"/>
      <c r="C230" s="313" t="n"/>
      <c r="D230" s="313" t="n"/>
      <c r="E230" s="313" t="n"/>
      <c r="F230" s="313" t="n"/>
      <c r="G230" s="313" t="n"/>
      <c r="H230" s="313" t="n"/>
      <c r="I230" s="313" t="n"/>
      <c r="J230" s="313" t="n"/>
      <c r="K230" s="313" t="n"/>
      <c r="L230" s="313" t="n"/>
      <c r="M230" s="674" t="n"/>
      <c r="N230" s="675" t="inlineStr">
        <is>
          <t>Итого</t>
        </is>
      </c>
      <c r="O230" s="645" t="n"/>
      <c r="P230" s="645" t="n"/>
      <c r="Q230" s="645" t="n"/>
      <c r="R230" s="645" t="n"/>
      <c r="S230" s="645" t="n"/>
      <c r="T230" s="646" t="n"/>
      <c r="U230" s="43" t="inlineStr">
        <is>
          <t>кг</t>
        </is>
      </c>
      <c r="V230" s="676">
        <f>IFERROR(SUM(V220:V228),"0")</f>
        <v/>
      </c>
      <c r="W230" s="676">
        <f>IFERROR(SUM(W220:W228),"0")</f>
        <v/>
      </c>
      <c r="X230" s="43" t="n"/>
      <c r="Y230" s="677" t="n"/>
      <c r="Z230" s="677" t="n"/>
    </row>
    <row r="231" ht="14.25" customHeight="1">
      <c r="A231" s="330" t="inlineStr">
        <is>
          <t>Сардельки</t>
        </is>
      </c>
      <c r="B231" s="313" t="n"/>
      <c r="C231" s="313" t="n"/>
      <c r="D231" s="313" t="n"/>
      <c r="E231" s="313" t="n"/>
      <c r="F231" s="313" t="n"/>
      <c r="G231" s="313" t="n"/>
      <c r="H231" s="313" t="n"/>
      <c r="I231" s="313" t="n"/>
      <c r="J231" s="313" t="n"/>
      <c r="K231" s="313" t="n"/>
      <c r="L231" s="313" t="n"/>
      <c r="M231" s="313" t="n"/>
      <c r="N231" s="313" t="n"/>
      <c r="O231" s="313" t="n"/>
      <c r="P231" s="313" t="n"/>
      <c r="Q231" s="313" t="n"/>
      <c r="R231" s="313" t="n"/>
      <c r="S231" s="313" t="n"/>
      <c r="T231" s="313" t="n"/>
      <c r="U231" s="313" t="n"/>
      <c r="V231" s="313" t="n"/>
      <c r="W231" s="313" t="n"/>
      <c r="X231" s="313" t="n"/>
      <c r="Y231" s="330" t="n"/>
      <c r="Z231" s="330" t="n"/>
    </row>
    <row r="232" ht="16.5" customHeight="1">
      <c r="A232" s="64" t="inlineStr">
        <is>
          <t>SU001051</t>
        </is>
      </c>
      <c r="B232" s="64" t="inlineStr">
        <is>
          <t>P002061</t>
        </is>
      </c>
      <c r="C232" s="37" t="n">
        <v>4301060326</v>
      </c>
      <c r="D232" s="325" t="n">
        <v>4607091380880</v>
      </c>
      <c r="E232" s="637" t="n"/>
      <c r="F232" s="669" t="n">
        <v>1.4</v>
      </c>
      <c r="G232" s="38" t="n">
        <v>6</v>
      </c>
      <c r="H232" s="669" t="n">
        <v>8.4</v>
      </c>
      <c r="I232" s="669" t="n">
        <v>8.964</v>
      </c>
      <c r="J232" s="38" t="n">
        <v>56</v>
      </c>
      <c r="K232" s="38" t="inlineStr">
        <is>
          <t>8</t>
        </is>
      </c>
      <c r="L232" s="39" t="inlineStr">
        <is>
          <t>СК2</t>
        </is>
      </c>
      <c r="M232" s="38" t="n">
        <v>30</v>
      </c>
      <c r="N232" s="805">
        <f>HYPERLINK("https://abi.ru/products/Охлажденные/Стародворье/Бордо/Сардельки/P002061/","Сардельки Нежные Бордо Весовые н/о мгс Стародворье")</f>
        <v/>
      </c>
      <c r="O232" s="671" t="n"/>
      <c r="P232" s="671" t="n"/>
      <c r="Q232" s="671" t="n"/>
      <c r="R232" s="637" t="n"/>
      <c r="S232" s="40" t="inlineStr"/>
      <c r="T232" s="40" t="inlineStr"/>
      <c r="U232" s="41" t="inlineStr">
        <is>
          <t>кг</t>
        </is>
      </c>
      <c r="V232" s="672" t="n">
        <v>0</v>
      </c>
      <c r="W232" s="673">
        <f>IFERROR(IF(V232="",0,CEILING((V232/$H232),1)*$H232),"")</f>
        <v/>
      </c>
      <c r="X232" s="42">
        <f>IFERROR(IF(W232=0,"",ROUNDUP(W232/H232,0)*0.02175),"")</f>
        <v/>
      </c>
      <c r="Y232" s="69" t="inlineStr"/>
      <c r="Z232" s="70" t="inlineStr"/>
      <c r="AD232" s="71" t="n"/>
      <c r="BA232" s="201" t="inlineStr">
        <is>
          <t>КИ</t>
        </is>
      </c>
    </row>
    <row r="233" ht="27" customHeight="1">
      <c r="A233" s="64" t="inlineStr">
        <is>
          <t>SU000227</t>
        </is>
      </c>
      <c r="B233" s="64" t="inlineStr">
        <is>
          <t>P002536</t>
        </is>
      </c>
      <c r="C233" s="37" t="n">
        <v>4301060308</v>
      </c>
      <c r="D233" s="325" t="n">
        <v>4607091384482</v>
      </c>
      <c r="E233" s="637" t="n"/>
      <c r="F233" s="669" t="n">
        <v>1.3</v>
      </c>
      <c r="G233" s="38" t="n">
        <v>6</v>
      </c>
      <c r="H233" s="669" t="n">
        <v>7.8</v>
      </c>
      <c r="I233" s="669" t="n">
        <v>8.364000000000001</v>
      </c>
      <c r="J233" s="38" t="n">
        <v>56</v>
      </c>
      <c r="K233" s="38" t="inlineStr">
        <is>
          <t>8</t>
        </is>
      </c>
      <c r="L233" s="39" t="inlineStr">
        <is>
          <t>СК2</t>
        </is>
      </c>
      <c r="M233" s="38" t="n">
        <v>30</v>
      </c>
      <c r="N233" s="806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O233" s="671" t="n"/>
      <c r="P233" s="671" t="n"/>
      <c r="Q233" s="671" t="n"/>
      <c r="R233" s="637" t="n"/>
      <c r="S233" s="40" t="inlineStr"/>
      <c r="T233" s="40" t="inlineStr"/>
      <c r="U233" s="41" t="inlineStr">
        <is>
          <t>кг</t>
        </is>
      </c>
      <c r="V233" s="672" t="n">
        <v>55</v>
      </c>
      <c r="W233" s="673">
        <f>IFERROR(IF(V233="",0,CEILING((V233/$H233),1)*$H233),"")</f>
        <v/>
      </c>
      <c r="X233" s="42">
        <f>IFERROR(IF(W233=0,"",ROUNDUP(W233/H233,0)*0.02175),"")</f>
        <v/>
      </c>
      <c r="Y233" s="69" t="inlineStr"/>
      <c r="Z233" s="70" t="inlineStr"/>
      <c r="AD233" s="71" t="n"/>
      <c r="BA233" s="202" t="inlineStr">
        <is>
          <t>КИ</t>
        </is>
      </c>
    </row>
    <row r="234" ht="16.5" customHeight="1">
      <c r="A234" s="64" t="inlineStr">
        <is>
          <t>SU001430</t>
        </is>
      </c>
      <c r="B234" s="64" t="inlineStr">
        <is>
          <t>P002036</t>
        </is>
      </c>
      <c r="C234" s="37" t="n">
        <v>4301060325</v>
      </c>
      <c r="D234" s="325" t="n">
        <v>4607091380897</v>
      </c>
      <c r="E234" s="637" t="n"/>
      <c r="F234" s="669" t="n">
        <v>1.4</v>
      </c>
      <c r="G234" s="38" t="n">
        <v>6</v>
      </c>
      <c r="H234" s="669" t="n">
        <v>8.4</v>
      </c>
      <c r="I234" s="669" t="n">
        <v>8.964</v>
      </c>
      <c r="J234" s="38" t="n">
        <v>56</v>
      </c>
      <c r="K234" s="38" t="inlineStr">
        <is>
          <t>8</t>
        </is>
      </c>
      <c r="L234" s="39" t="inlineStr">
        <is>
          <t>СК2</t>
        </is>
      </c>
      <c r="M234" s="38" t="n">
        <v>30</v>
      </c>
      <c r="N234" s="807">
        <f>HYPERLINK("https://abi.ru/products/Охлажденные/Стародворье/Бордо/Сардельки/P002036/","Сардельки Шпикачки Бордо Весовые NDX мгс Стародворье")</f>
        <v/>
      </c>
      <c r="O234" s="671" t="n"/>
      <c r="P234" s="671" t="n"/>
      <c r="Q234" s="671" t="n"/>
      <c r="R234" s="637" t="n"/>
      <c r="S234" s="40" t="inlineStr"/>
      <c r="T234" s="40" t="inlineStr"/>
      <c r="U234" s="41" t="inlineStr">
        <is>
          <t>кг</t>
        </is>
      </c>
      <c r="V234" s="672" t="n">
        <v>0</v>
      </c>
      <c r="W234" s="673">
        <f>IFERROR(IF(V234="",0,CEILING((V234/$H234),1)*$H234),"")</f>
        <v/>
      </c>
      <c r="X234" s="42">
        <f>IFERROR(IF(W234=0,"",ROUNDUP(W234/H234,0)*0.02175),"")</f>
        <v/>
      </c>
      <c r="Y234" s="69" t="inlineStr"/>
      <c r="Z234" s="70" t="inlineStr"/>
      <c r="AD234" s="71" t="n"/>
      <c r="BA234" s="203" t="inlineStr">
        <is>
          <t>КИ</t>
        </is>
      </c>
    </row>
    <row r="235">
      <c r="A235" s="320" t="n"/>
      <c r="B235" s="313" t="n"/>
      <c r="C235" s="313" t="n"/>
      <c r="D235" s="313" t="n"/>
      <c r="E235" s="313" t="n"/>
      <c r="F235" s="313" t="n"/>
      <c r="G235" s="313" t="n"/>
      <c r="H235" s="313" t="n"/>
      <c r="I235" s="313" t="n"/>
      <c r="J235" s="313" t="n"/>
      <c r="K235" s="313" t="n"/>
      <c r="L235" s="313" t="n"/>
      <c r="M235" s="674" t="n"/>
      <c r="N235" s="675" t="inlineStr">
        <is>
          <t>Итого</t>
        </is>
      </c>
      <c r="O235" s="645" t="n"/>
      <c r="P235" s="645" t="n"/>
      <c r="Q235" s="645" t="n"/>
      <c r="R235" s="645" t="n"/>
      <c r="S235" s="645" t="n"/>
      <c r="T235" s="646" t="n"/>
      <c r="U235" s="43" t="inlineStr">
        <is>
          <t>кор</t>
        </is>
      </c>
      <c r="V235" s="676">
        <f>IFERROR(V232/H232,"0")+IFERROR(V233/H233,"0")+IFERROR(V234/H234,"0")</f>
        <v/>
      </c>
      <c r="W235" s="676">
        <f>IFERROR(W232/H232,"0")+IFERROR(W233/H233,"0")+IFERROR(W234/H234,"0")</f>
        <v/>
      </c>
      <c r="X235" s="676">
        <f>IFERROR(IF(X232="",0,X232),"0")+IFERROR(IF(X233="",0,X233),"0")+IFERROR(IF(X234="",0,X234),"0")</f>
        <v/>
      </c>
      <c r="Y235" s="677" t="n"/>
      <c r="Z235" s="677" t="n"/>
    </row>
    <row r="236">
      <c r="A236" s="313" t="n"/>
      <c r="B236" s="313" t="n"/>
      <c r="C236" s="313" t="n"/>
      <c r="D236" s="313" t="n"/>
      <c r="E236" s="313" t="n"/>
      <c r="F236" s="313" t="n"/>
      <c r="G236" s="313" t="n"/>
      <c r="H236" s="313" t="n"/>
      <c r="I236" s="313" t="n"/>
      <c r="J236" s="313" t="n"/>
      <c r="K236" s="313" t="n"/>
      <c r="L236" s="313" t="n"/>
      <c r="M236" s="674" t="n"/>
      <c r="N236" s="675" t="inlineStr">
        <is>
          <t>Итого</t>
        </is>
      </c>
      <c r="O236" s="645" t="n"/>
      <c r="P236" s="645" t="n"/>
      <c r="Q236" s="645" t="n"/>
      <c r="R236" s="645" t="n"/>
      <c r="S236" s="645" t="n"/>
      <c r="T236" s="646" t="n"/>
      <c r="U236" s="43" t="inlineStr">
        <is>
          <t>кг</t>
        </is>
      </c>
      <c r="V236" s="676">
        <f>IFERROR(SUM(V232:V234),"0")</f>
        <v/>
      </c>
      <c r="W236" s="676">
        <f>IFERROR(SUM(W232:W234),"0")</f>
        <v/>
      </c>
      <c r="X236" s="43" t="n"/>
      <c r="Y236" s="677" t="n"/>
      <c r="Z236" s="677" t="n"/>
    </row>
    <row r="237" ht="14.25" customHeight="1">
      <c r="A237" s="330" t="inlineStr">
        <is>
          <t>Сырокопченые колбасы</t>
        </is>
      </c>
      <c r="B237" s="313" t="n"/>
      <c r="C237" s="313" t="n"/>
      <c r="D237" s="313" t="n"/>
      <c r="E237" s="313" t="n"/>
      <c r="F237" s="313" t="n"/>
      <c r="G237" s="313" t="n"/>
      <c r="H237" s="313" t="n"/>
      <c r="I237" s="313" t="n"/>
      <c r="J237" s="313" t="n"/>
      <c r="K237" s="313" t="n"/>
      <c r="L237" s="313" t="n"/>
      <c r="M237" s="313" t="n"/>
      <c r="N237" s="313" t="n"/>
      <c r="O237" s="313" t="n"/>
      <c r="P237" s="313" t="n"/>
      <c r="Q237" s="313" t="n"/>
      <c r="R237" s="313" t="n"/>
      <c r="S237" s="313" t="n"/>
      <c r="T237" s="313" t="n"/>
      <c r="U237" s="313" t="n"/>
      <c r="V237" s="313" t="n"/>
      <c r="W237" s="313" t="n"/>
      <c r="X237" s="313" t="n"/>
      <c r="Y237" s="330" t="n"/>
      <c r="Z237" s="330" t="n"/>
    </row>
    <row r="238" ht="16.5" customHeight="1">
      <c r="A238" s="64" t="inlineStr">
        <is>
          <t>SU001920</t>
        </is>
      </c>
      <c r="B238" s="64" t="inlineStr">
        <is>
          <t>P001900</t>
        </is>
      </c>
      <c r="C238" s="37" t="n">
        <v>4301030232</v>
      </c>
      <c r="D238" s="325" t="n">
        <v>4607091388374</v>
      </c>
      <c r="E238" s="637" t="n"/>
      <c r="F238" s="669" t="n">
        <v>0.38</v>
      </c>
      <c r="G238" s="38" t="n">
        <v>8</v>
      </c>
      <c r="H238" s="669" t="n">
        <v>3.04</v>
      </c>
      <c r="I238" s="669" t="n">
        <v>3.28</v>
      </c>
      <c r="J238" s="38" t="n">
        <v>156</v>
      </c>
      <c r="K238" s="38" t="inlineStr">
        <is>
          <t>12</t>
        </is>
      </c>
      <c r="L238" s="39" t="inlineStr">
        <is>
          <t>АК</t>
        </is>
      </c>
      <c r="M238" s="38" t="n">
        <v>180</v>
      </c>
      <c r="N238" s="808" t="inlineStr">
        <is>
          <t>С/к колбасы Княжеская Бордо Весовые б/о терм/п Стародворье</t>
        </is>
      </c>
      <c r="O238" s="671" t="n"/>
      <c r="P238" s="671" t="n"/>
      <c r="Q238" s="671" t="n"/>
      <c r="R238" s="637" t="n"/>
      <c r="S238" s="40" t="inlineStr"/>
      <c r="T238" s="40" t="inlineStr"/>
      <c r="U238" s="41" t="inlineStr">
        <is>
          <t>кг</t>
        </is>
      </c>
      <c r="V238" s="672" t="n">
        <v>0</v>
      </c>
      <c r="W238" s="673">
        <f>IFERROR(IF(V238="",0,CEILING((V238/$H238),1)*$H238),"")</f>
        <v/>
      </c>
      <c r="X238" s="42">
        <f>IFERROR(IF(W238=0,"",ROUNDUP(W238/H238,0)*0.00753),"")</f>
        <v/>
      </c>
      <c r="Y238" s="69" t="inlineStr"/>
      <c r="Z238" s="70" t="inlineStr"/>
      <c r="AD238" s="71" t="n"/>
      <c r="BA238" s="204" t="inlineStr">
        <is>
          <t>КИ</t>
        </is>
      </c>
    </row>
    <row r="239" ht="27" customHeight="1">
      <c r="A239" s="64" t="inlineStr">
        <is>
          <t>SU001921</t>
        </is>
      </c>
      <c r="B239" s="64" t="inlineStr">
        <is>
          <t>P001916</t>
        </is>
      </c>
      <c r="C239" s="37" t="n">
        <v>4301030235</v>
      </c>
      <c r="D239" s="325" t="n">
        <v>4607091388381</v>
      </c>
      <c r="E239" s="637" t="n"/>
      <c r="F239" s="669" t="n">
        <v>0.38</v>
      </c>
      <c r="G239" s="38" t="n">
        <v>8</v>
      </c>
      <c r="H239" s="669" t="n">
        <v>3.04</v>
      </c>
      <c r="I239" s="669" t="n">
        <v>3.32</v>
      </c>
      <c r="J239" s="38" t="n">
        <v>156</v>
      </c>
      <c r="K239" s="38" t="inlineStr">
        <is>
          <t>12</t>
        </is>
      </c>
      <c r="L239" s="39" t="inlineStr">
        <is>
          <t>АК</t>
        </is>
      </c>
      <c r="M239" s="38" t="n">
        <v>180</v>
      </c>
      <c r="N239" s="809" t="inlineStr">
        <is>
          <t>С/к колбасы Салями Охотничья Бордо Весовые б/о терм/п 180 Стародворье</t>
        </is>
      </c>
      <c r="O239" s="671" t="n"/>
      <c r="P239" s="671" t="n"/>
      <c r="Q239" s="671" t="n"/>
      <c r="R239" s="637" t="n"/>
      <c r="S239" s="40" t="inlineStr"/>
      <c r="T239" s="40" t="inlineStr"/>
      <c r="U239" s="41" t="inlineStr">
        <is>
          <t>кг</t>
        </is>
      </c>
      <c r="V239" s="672" t="n">
        <v>0</v>
      </c>
      <c r="W239" s="673">
        <f>IFERROR(IF(V239="",0,CEILING((V239/$H239),1)*$H239),"")</f>
        <v/>
      </c>
      <c r="X239" s="42">
        <f>IFERROR(IF(W239=0,"",ROUNDUP(W239/H239,0)*0.00753),"")</f>
        <v/>
      </c>
      <c r="Y239" s="69" t="inlineStr"/>
      <c r="Z239" s="70" t="inlineStr"/>
      <c r="AD239" s="71" t="n"/>
      <c r="BA239" s="205" t="inlineStr">
        <is>
          <t>КИ</t>
        </is>
      </c>
    </row>
    <row r="240" ht="27" customHeight="1">
      <c r="A240" s="64" t="inlineStr">
        <is>
          <t>SU001869</t>
        </is>
      </c>
      <c r="B240" s="64" t="inlineStr">
        <is>
          <t>P001909</t>
        </is>
      </c>
      <c r="C240" s="37" t="n">
        <v>4301030233</v>
      </c>
      <c r="D240" s="325" t="n">
        <v>4607091388404</v>
      </c>
      <c r="E240" s="637" t="n"/>
      <c r="F240" s="669" t="n">
        <v>0.17</v>
      </c>
      <c r="G240" s="38" t="n">
        <v>15</v>
      </c>
      <c r="H240" s="669" t="n">
        <v>2.55</v>
      </c>
      <c r="I240" s="669" t="n">
        <v>2.9</v>
      </c>
      <c r="J240" s="38" t="n">
        <v>156</v>
      </c>
      <c r="K240" s="38" t="inlineStr">
        <is>
          <t>12</t>
        </is>
      </c>
      <c r="L240" s="39" t="inlineStr">
        <is>
          <t>АК</t>
        </is>
      </c>
      <c r="M240" s="38" t="n">
        <v>180</v>
      </c>
      <c r="N240" s="810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O240" s="671" t="n"/>
      <c r="P240" s="671" t="n"/>
      <c r="Q240" s="671" t="n"/>
      <c r="R240" s="637" t="n"/>
      <c r="S240" s="40" t="inlineStr"/>
      <c r="T240" s="40" t="inlineStr"/>
      <c r="U240" s="41" t="inlineStr">
        <is>
          <t>кг</t>
        </is>
      </c>
      <c r="V240" s="672" t="n">
        <v>3.5</v>
      </c>
      <c r="W240" s="673">
        <f>IFERROR(IF(V240="",0,CEILING((V240/$H240),1)*$H240),"")</f>
        <v/>
      </c>
      <c r="X240" s="42">
        <f>IFERROR(IF(W240=0,"",ROUNDUP(W240/H240,0)*0.00753),"")</f>
        <v/>
      </c>
      <c r="Y240" s="69" t="inlineStr"/>
      <c r="Z240" s="70" t="inlineStr"/>
      <c r="AD240" s="71" t="n"/>
      <c r="BA240" s="206" t="inlineStr">
        <is>
          <t>КИ</t>
        </is>
      </c>
    </row>
    <row r="241">
      <c r="A241" s="320" t="n"/>
      <c r="B241" s="313" t="n"/>
      <c r="C241" s="313" t="n"/>
      <c r="D241" s="313" t="n"/>
      <c r="E241" s="313" t="n"/>
      <c r="F241" s="313" t="n"/>
      <c r="G241" s="313" t="n"/>
      <c r="H241" s="313" t="n"/>
      <c r="I241" s="313" t="n"/>
      <c r="J241" s="313" t="n"/>
      <c r="K241" s="313" t="n"/>
      <c r="L241" s="313" t="n"/>
      <c r="M241" s="674" t="n"/>
      <c r="N241" s="675" t="inlineStr">
        <is>
          <t>Итого</t>
        </is>
      </c>
      <c r="O241" s="645" t="n"/>
      <c r="P241" s="645" t="n"/>
      <c r="Q241" s="645" t="n"/>
      <c r="R241" s="645" t="n"/>
      <c r="S241" s="645" t="n"/>
      <c r="T241" s="646" t="n"/>
      <c r="U241" s="43" t="inlineStr">
        <is>
          <t>кор</t>
        </is>
      </c>
      <c r="V241" s="676">
        <f>IFERROR(V238/H238,"0")+IFERROR(V239/H239,"0")+IFERROR(V240/H240,"0")</f>
        <v/>
      </c>
      <c r="W241" s="676">
        <f>IFERROR(W238/H238,"0")+IFERROR(W239/H239,"0")+IFERROR(W240/H240,"0")</f>
        <v/>
      </c>
      <c r="X241" s="676">
        <f>IFERROR(IF(X238="",0,X238),"0")+IFERROR(IF(X239="",0,X239),"0")+IFERROR(IF(X240="",0,X240),"0")</f>
        <v/>
      </c>
      <c r="Y241" s="677" t="n"/>
      <c r="Z241" s="677" t="n"/>
    </row>
    <row r="242">
      <c r="A242" s="313" t="n"/>
      <c r="B242" s="313" t="n"/>
      <c r="C242" s="313" t="n"/>
      <c r="D242" s="313" t="n"/>
      <c r="E242" s="313" t="n"/>
      <c r="F242" s="313" t="n"/>
      <c r="G242" s="313" t="n"/>
      <c r="H242" s="313" t="n"/>
      <c r="I242" s="313" t="n"/>
      <c r="J242" s="313" t="n"/>
      <c r="K242" s="313" t="n"/>
      <c r="L242" s="313" t="n"/>
      <c r="M242" s="674" t="n"/>
      <c r="N242" s="675" t="inlineStr">
        <is>
          <t>Итого</t>
        </is>
      </c>
      <c r="O242" s="645" t="n"/>
      <c r="P242" s="645" t="n"/>
      <c r="Q242" s="645" t="n"/>
      <c r="R242" s="645" t="n"/>
      <c r="S242" s="645" t="n"/>
      <c r="T242" s="646" t="n"/>
      <c r="U242" s="43" t="inlineStr">
        <is>
          <t>кг</t>
        </is>
      </c>
      <c r="V242" s="676">
        <f>IFERROR(SUM(V238:V240),"0")</f>
        <v/>
      </c>
      <c r="W242" s="676">
        <f>IFERROR(SUM(W238:W240),"0")</f>
        <v/>
      </c>
      <c r="X242" s="43" t="n"/>
      <c r="Y242" s="677" t="n"/>
      <c r="Z242" s="677" t="n"/>
    </row>
    <row r="243" ht="14.25" customHeight="1">
      <c r="A243" s="330" t="inlineStr">
        <is>
          <t>Паштеты</t>
        </is>
      </c>
      <c r="B243" s="313" t="n"/>
      <c r="C243" s="313" t="n"/>
      <c r="D243" s="313" t="n"/>
      <c r="E243" s="313" t="n"/>
      <c r="F243" s="313" t="n"/>
      <c r="G243" s="313" t="n"/>
      <c r="H243" s="313" t="n"/>
      <c r="I243" s="313" t="n"/>
      <c r="J243" s="313" t="n"/>
      <c r="K243" s="313" t="n"/>
      <c r="L243" s="313" t="n"/>
      <c r="M243" s="313" t="n"/>
      <c r="N243" s="313" t="n"/>
      <c r="O243" s="313" t="n"/>
      <c r="P243" s="313" t="n"/>
      <c r="Q243" s="313" t="n"/>
      <c r="R243" s="313" t="n"/>
      <c r="S243" s="313" t="n"/>
      <c r="T243" s="313" t="n"/>
      <c r="U243" s="313" t="n"/>
      <c r="V243" s="313" t="n"/>
      <c r="W243" s="313" t="n"/>
      <c r="X243" s="313" t="n"/>
      <c r="Y243" s="330" t="n"/>
      <c r="Z243" s="330" t="n"/>
    </row>
    <row r="244" ht="16.5" customHeight="1">
      <c r="A244" s="64" t="inlineStr">
        <is>
          <t>SU002841</t>
        </is>
      </c>
      <c r="B244" s="64" t="inlineStr">
        <is>
          <t>P003253</t>
        </is>
      </c>
      <c r="C244" s="37" t="n">
        <v>4301180007</v>
      </c>
      <c r="D244" s="325" t="n">
        <v>4680115881808</v>
      </c>
      <c r="E244" s="637" t="n"/>
      <c r="F244" s="669" t="n">
        <v>0.1</v>
      </c>
      <c r="G244" s="38" t="n">
        <v>20</v>
      </c>
      <c r="H244" s="669" t="n">
        <v>2</v>
      </c>
      <c r="I244" s="669" t="n">
        <v>2.24</v>
      </c>
      <c r="J244" s="38" t="n">
        <v>238</v>
      </c>
      <c r="K244" s="38" t="inlineStr">
        <is>
          <t>14</t>
        </is>
      </c>
      <c r="L244" s="39" t="inlineStr">
        <is>
          <t>РК</t>
        </is>
      </c>
      <c r="M244" s="38" t="n">
        <v>730</v>
      </c>
      <c r="N244" s="811">
        <f>HYPERLINK("https://abi.ru/products/Охлажденные/Стародворье/Бордо/Паштеты/P003253/","Паштеты «Любительский ГОСТ» Фикс.вес 0,1 ТМ «Стародворье»")</f>
        <v/>
      </c>
      <c r="O244" s="671" t="n"/>
      <c r="P244" s="671" t="n"/>
      <c r="Q244" s="671" t="n"/>
      <c r="R244" s="637" t="n"/>
      <c r="S244" s="40" t="inlineStr"/>
      <c r="T244" s="40" t="inlineStr"/>
      <c r="U244" s="41" t="inlineStr">
        <is>
          <t>кг</t>
        </is>
      </c>
      <c r="V244" s="672" t="n">
        <v>0</v>
      </c>
      <c r="W244" s="673">
        <f>IFERROR(IF(V244="",0,CEILING((V244/$H244),1)*$H244),"")</f>
        <v/>
      </c>
      <c r="X244" s="42">
        <f>IFERROR(IF(W244=0,"",ROUNDUP(W244/H244,0)*0.00474),"")</f>
        <v/>
      </c>
      <c r="Y244" s="69" t="inlineStr"/>
      <c r="Z244" s="70" t="inlineStr"/>
      <c r="AD244" s="71" t="n"/>
      <c r="BA244" s="207" t="inlineStr">
        <is>
          <t>КИ</t>
        </is>
      </c>
    </row>
    <row r="245" ht="27" customHeight="1">
      <c r="A245" s="64" t="inlineStr">
        <is>
          <t>SU002840</t>
        </is>
      </c>
      <c r="B245" s="64" t="inlineStr">
        <is>
          <t>P003252</t>
        </is>
      </c>
      <c r="C245" s="37" t="n">
        <v>4301180006</v>
      </c>
      <c r="D245" s="325" t="n">
        <v>4680115881822</v>
      </c>
      <c r="E245" s="637" t="n"/>
      <c r="F245" s="669" t="n">
        <v>0.1</v>
      </c>
      <c r="G245" s="38" t="n">
        <v>20</v>
      </c>
      <c r="H245" s="669" t="n">
        <v>2</v>
      </c>
      <c r="I245" s="669" t="n">
        <v>2.24</v>
      </c>
      <c r="J245" s="38" t="n">
        <v>238</v>
      </c>
      <c r="K245" s="38" t="inlineStr">
        <is>
          <t>14</t>
        </is>
      </c>
      <c r="L245" s="39" t="inlineStr">
        <is>
          <t>РК</t>
        </is>
      </c>
      <c r="M245" s="38" t="n">
        <v>730</v>
      </c>
      <c r="N245" s="812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O245" s="671" t="n"/>
      <c r="P245" s="671" t="n"/>
      <c r="Q245" s="671" t="n"/>
      <c r="R245" s="637" t="n"/>
      <c r="S245" s="40" t="inlineStr"/>
      <c r="T245" s="40" t="inlineStr"/>
      <c r="U245" s="41" t="inlineStr">
        <is>
          <t>кг</t>
        </is>
      </c>
      <c r="V245" s="672" t="n">
        <v>0</v>
      </c>
      <c r="W245" s="673">
        <f>IFERROR(IF(V245="",0,CEILING((V245/$H245),1)*$H245),"")</f>
        <v/>
      </c>
      <c r="X245" s="42">
        <f>IFERROR(IF(W245=0,"",ROUNDUP(W245/H245,0)*0.00474),"")</f>
        <v/>
      </c>
      <c r="Y245" s="69" t="inlineStr"/>
      <c r="Z245" s="70" t="inlineStr"/>
      <c r="AD245" s="71" t="n"/>
      <c r="BA245" s="208" t="inlineStr">
        <is>
          <t>КИ</t>
        </is>
      </c>
    </row>
    <row r="246" ht="27" customHeight="1">
      <c r="A246" s="64" t="inlineStr">
        <is>
          <t>SU002368</t>
        </is>
      </c>
      <c r="B246" s="64" t="inlineStr">
        <is>
          <t>P002648</t>
        </is>
      </c>
      <c r="C246" s="37" t="n">
        <v>4301180001</v>
      </c>
      <c r="D246" s="325" t="n">
        <v>4680115880016</v>
      </c>
      <c r="E246" s="637" t="n"/>
      <c r="F246" s="669" t="n">
        <v>0.1</v>
      </c>
      <c r="G246" s="38" t="n">
        <v>20</v>
      </c>
      <c r="H246" s="669" t="n">
        <v>2</v>
      </c>
      <c r="I246" s="669" t="n">
        <v>2.24</v>
      </c>
      <c r="J246" s="38" t="n">
        <v>238</v>
      </c>
      <c r="K246" s="38" t="inlineStr">
        <is>
          <t>14</t>
        </is>
      </c>
      <c r="L246" s="39" t="inlineStr">
        <is>
          <t>РК</t>
        </is>
      </c>
      <c r="M246" s="38" t="n">
        <v>730</v>
      </c>
      <c r="N246" s="813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O246" s="671" t="n"/>
      <c r="P246" s="671" t="n"/>
      <c r="Q246" s="671" t="n"/>
      <c r="R246" s="637" t="n"/>
      <c r="S246" s="40" t="inlineStr"/>
      <c r="T246" s="40" t="inlineStr"/>
      <c r="U246" s="41" t="inlineStr">
        <is>
          <t>кг</t>
        </is>
      </c>
      <c r="V246" s="672" t="n">
        <v>4</v>
      </c>
      <c r="W246" s="673">
        <f>IFERROR(IF(V246="",0,CEILING((V246/$H246),1)*$H246),"")</f>
        <v/>
      </c>
      <c r="X246" s="42">
        <f>IFERROR(IF(W246=0,"",ROUNDUP(W246/H246,0)*0.00474),"")</f>
        <v/>
      </c>
      <c r="Y246" s="69" t="inlineStr"/>
      <c r="Z246" s="70" t="inlineStr"/>
      <c r="AD246" s="71" t="n"/>
      <c r="BA246" s="209" t="inlineStr">
        <is>
          <t>КИ</t>
        </is>
      </c>
    </row>
    <row r="247">
      <c r="A247" s="320" t="n"/>
      <c r="B247" s="313" t="n"/>
      <c r="C247" s="313" t="n"/>
      <c r="D247" s="313" t="n"/>
      <c r="E247" s="313" t="n"/>
      <c r="F247" s="313" t="n"/>
      <c r="G247" s="313" t="n"/>
      <c r="H247" s="313" t="n"/>
      <c r="I247" s="313" t="n"/>
      <c r="J247" s="313" t="n"/>
      <c r="K247" s="313" t="n"/>
      <c r="L247" s="313" t="n"/>
      <c r="M247" s="674" t="n"/>
      <c r="N247" s="675" t="inlineStr">
        <is>
          <t>Итого</t>
        </is>
      </c>
      <c r="O247" s="645" t="n"/>
      <c r="P247" s="645" t="n"/>
      <c r="Q247" s="645" t="n"/>
      <c r="R247" s="645" t="n"/>
      <c r="S247" s="645" t="n"/>
      <c r="T247" s="646" t="n"/>
      <c r="U247" s="43" t="inlineStr">
        <is>
          <t>кор</t>
        </is>
      </c>
      <c r="V247" s="676">
        <f>IFERROR(V244/H244,"0")+IFERROR(V245/H245,"0")+IFERROR(V246/H246,"0")</f>
        <v/>
      </c>
      <c r="W247" s="676">
        <f>IFERROR(W244/H244,"0")+IFERROR(W245/H245,"0")+IFERROR(W246/H246,"0")</f>
        <v/>
      </c>
      <c r="X247" s="676">
        <f>IFERROR(IF(X244="",0,X244),"0")+IFERROR(IF(X245="",0,X245),"0")+IFERROR(IF(X246="",0,X246),"0")</f>
        <v/>
      </c>
      <c r="Y247" s="677" t="n"/>
      <c r="Z247" s="677" t="n"/>
    </row>
    <row r="248">
      <c r="A248" s="313" t="n"/>
      <c r="B248" s="313" t="n"/>
      <c r="C248" s="313" t="n"/>
      <c r="D248" s="313" t="n"/>
      <c r="E248" s="313" t="n"/>
      <c r="F248" s="313" t="n"/>
      <c r="G248" s="313" t="n"/>
      <c r="H248" s="313" t="n"/>
      <c r="I248" s="313" t="n"/>
      <c r="J248" s="313" t="n"/>
      <c r="K248" s="313" t="n"/>
      <c r="L248" s="313" t="n"/>
      <c r="M248" s="674" t="n"/>
      <c r="N248" s="675" t="inlineStr">
        <is>
          <t>Итого</t>
        </is>
      </c>
      <c r="O248" s="645" t="n"/>
      <c r="P248" s="645" t="n"/>
      <c r="Q248" s="645" t="n"/>
      <c r="R248" s="645" t="n"/>
      <c r="S248" s="645" t="n"/>
      <c r="T248" s="646" t="n"/>
      <c r="U248" s="43" t="inlineStr">
        <is>
          <t>кг</t>
        </is>
      </c>
      <c r="V248" s="676">
        <f>IFERROR(SUM(V244:V246),"0")</f>
        <v/>
      </c>
      <c r="W248" s="676">
        <f>IFERROR(SUM(W244:W246),"0")</f>
        <v/>
      </c>
      <c r="X248" s="43" t="n"/>
      <c r="Y248" s="677" t="n"/>
      <c r="Z248" s="677" t="n"/>
    </row>
    <row r="249" ht="16.5" customHeight="1">
      <c r="A249" s="329" t="inlineStr">
        <is>
          <t>Фирменная</t>
        </is>
      </c>
      <c r="B249" s="313" t="n"/>
      <c r="C249" s="313" t="n"/>
      <c r="D249" s="313" t="n"/>
      <c r="E249" s="313" t="n"/>
      <c r="F249" s="313" t="n"/>
      <c r="G249" s="313" t="n"/>
      <c r="H249" s="313" t="n"/>
      <c r="I249" s="313" t="n"/>
      <c r="J249" s="313" t="n"/>
      <c r="K249" s="313" t="n"/>
      <c r="L249" s="313" t="n"/>
      <c r="M249" s="313" t="n"/>
      <c r="N249" s="313" t="n"/>
      <c r="O249" s="313" t="n"/>
      <c r="P249" s="313" t="n"/>
      <c r="Q249" s="313" t="n"/>
      <c r="R249" s="313" t="n"/>
      <c r="S249" s="313" t="n"/>
      <c r="T249" s="313" t="n"/>
      <c r="U249" s="313" t="n"/>
      <c r="V249" s="313" t="n"/>
      <c r="W249" s="313" t="n"/>
      <c r="X249" s="313" t="n"/>
      <c r="Y249" s="329" t="n"/>
      <c r="Z249" s="329" t="n"/>
    </row>
    <row r="250" ht="14.25" customHeight="1">
      <c r="A250" s="330" t="inlineStr">
        <is>
          <t>Вареные колбасы</t>
        </is>
      </c>
      <c r="B250" s="313" t="n"/>
      <c r="C250" s="313" t="n"/>
      <c r="D250" s="313" t="n"/>
      <c r="E250" s="313" t="n"/>
      <c r="F250" s="313" t="n"/>
      <c r="G250" s="313" t="n"/>
      <c r="H250" s="313" t="n"/>
      <c r="I250" s="313" t="n"/>
      <c r="J250" s="313" t="n"/>
      <c r="K250" s="313" t="n"/>
      <c r="L250" s="313" t="n"/>
      <c r="M250" s="313" t="n"/>
      <c r="N250" s="313" t="n"/>
      <c r="O250" s="313" t="n"/>
      <c r="P250" s="313" t="n"/>
      <c r="Q250" s="313" t="n"/>
      <c r="R250" s="313" t="n"/>
      <c r="S250" s="313" t="n"/>
      <c r="T250" s="313" t="n"/>
      <c r="U250" s="313" t="n"/>
      <c r="V250" s="313" t="n"/>
      <c r="W250" s="313" t="n"/>
      <c r="X250" s="313" t="n"/>
      <c r="Y250" s="330" t="n"/>
      <c r="Z250" s="330" t="n"/>
    </row>
    <row r="251" ht="27" customHeight="1">
      <c r="A251" s="64" t="inlineStr">
        <is>
          <t>SU001793</t>
        </is>
      </c>
      <c r="B251" s="64" t="inlineStr">
        <is>
          <t>P001793</t>
        </is>
      </c>
      <c r="C251" s="37" t="n">
        <v>4301011315</v>
      </c>
      <c r="D251" s="325" t="n">
        <v>4607091387421</v>
      </c>
      <c r="E251" s="637" t="n"/>
      <c r="F251" s="669" t="n">
        <v>1.35</v>
      </c>
      <c r="G251" s="38" t="n">
        <v>8</v>
      </c>
      <c r="H251" s="669" t="n">
        <v>10.8</v>
      </c>
      <c r="I251" s="669" t="n">
        <v>11.28</v>
      </c>
      <c r="J251" s="38" t="n">
        <v>56</v>
      </c>
      <c r="K251" s="38" t="inlineStr">
        <is>
          <t>8</t>
        </is>
      </c>
      <c r="L251" s="39" t="inlineStr">
        <is>
          <t>СК1</t>
        </is>
      </c>
      <c r="M251" s="38" t="n">
        <v>55</v>
      </c>
      <c r="N251" s="814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O251" s="671" t="n"/>
      <c r="P251" s="671" t="n"/>
      <c r="Q251" s="671" t="n"/>
      <c r="R251" s="637" t="n"/>
      <c r="S251" s="40" t="inlineStr"/>
      <c r="T251" s="40" t="inlineStr"/>
      <c r="U251" s="41" t="inlineStr">
        <is>
          <t>кг</t>
        </is>
      </c>
      <c r="V251" s="672" t="n">
        <v>0</v>
      </c>
      <c r="W251" s="673">
        <f>IFERROR(IF(V251="",0,CEILING((V251/$H251),1)*$H251),"")</f>
        <v/>
      </c>
      <c r="X251" s="42">
        <f>IFERROR(IF(W251=0,"",ROUNDUP(W251/H251,0)*0.02175),"")</f>
        <v/>
      </c>
      <c r="Y251" s="69" t="inlineStr"/>
      <c r="Z251" s="70" t="inlineStr"/>
      <c r="AD251" s="71" t="n"/>
      <c r="BA251" s="210" t="inlineStr">
        <is>
          <t>КИ</t>
        </is>
      </c>
    </row>
    <row r="252" ht="27" customHeight="1">
      <c r="A252" s="64" t="inlineStr">
        <is>
          <t>SU001793</t>
        </is>
      </c>
      <c r="B252" s="64" t="inlineStr">
        <is>
          <t>P002227</t>
        </is>
      </c>
      <c r="C252" s="37" t="n">
        <v>4301011121</v>
      </c>
      <c r="D252" s="325" t="n">
        <v>4607091387421</v>
      </c>
      <c r="E252" s="637" t="n"/>
      <c r="F252" s="669" t="n">
        <v>1.35</v>
      </c>
      <c r="G252" s="38" t="n">
        <v>8</v>
      </c>
      <c r="H252" s="669" t="n">
        <v>10.8</v>
      </c>
      <c r="I252" s="669" t="n">
        <v>11.28</v>
      </c>
      <c r="J252" s="38" t="n">
        <v>48</v>
      </c>
      <c r="K252" s="38" t="inlineStr">
        <is>
          <t>8</t>
        </is>
      </c>
      <c r="L252" s="39" t="inlineStr">
        <is>
          <t>ВЗ</t>
        </is>
      </c>
      <c r="M252" s="38" t="n">
        <v>55</v>
      </c>
      <c r="N252" s="815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O252" s="671" t="n"/>
      <c r="P252" s="671" t="n"/>
      <c r="Q252" s="671" t="n"/>
      <c r="R252" s="637" t="n"/>
      <c r="S252" s="40" t="inlineStr"/>
      <c r="T252" s="40" t="inlineStr"/>
      <c r="U252" s="41" t="inlineStr">
        <is>
          <t>кг</t>
        </is>
      </c>
      <c r="V252" s="672" t="n">
        <v>0</v>
      </c>
      <c r="W252" s="673">
        <f>IFERROR(IF(V252="",0,CEILING((V252/$H252),1)*$H252),"")</f>
        <v/>
      </c>
      <c r="X252" s="42">
        <f>IFERROR(IF(W252=0,"",ROUNDUP(W252/H252,0)*0.02039),"")</f>
        <v/>
      </c>
      <c r="Y252" s="69" t="inlineStr"/>
      <c r="Z252" s="70" t="inlineStr"/>
      <c r="AD252" s="71" t="n"/>
      <c r="BA252" s="211" t="inlineStr">
        <is>
          <t>КИ</t>
        </is>
      </c>
    </row>
    <row r="253" ht="27" customHeight="1">
      <c r="A253" s="64" t="inlineStr">
        <is>
          <t>SU001799</t>
        </is>
      </c>
      <c r="B253" s="64" t="inlineStr">
        <is>
          <t>P003673</t>
        </is>
      </c>
      <c r="C253" s="37" t="n">
        <v>4301011619</v>
      </c>
      <c r="D253" s="325" t="n">
        <v>4607091387452</v>
      </c>
      <c r="E253" s="637" t="n"/>
      <c r="F253" s="669" t="n">
        <v>1.45</v>
      </c>
      <c r="G253" s="38" t="n">
        <v>8</v>
      </c>
      <c r="H253" s="669" t="n">
        <v>11.6</v>
      </c>
      <c r="I253" s="669" t="n">
        <v>12.08</v>
      </c>
      <c r="J253" s="38" t="n">
        <v>56</v>
      </c>
      <c r="K253" s="38" t="inlineStr">
        <is>
          <t>8</t>
        </is>
      </c>
      <c r="L253" s="39" t="inlineStr">
        <is>
          <t>СК1</t>
        </is>
      </c>
      <c r="M253" s="38" t="n">
        <v>55</v>
      </c>
      <c r="N253" s="816" t="inlineStr">
        <is>
          <t>Вареные колбасы Молочная По-стародворски Фирменная Весовые П/а Стародворье</t>
        </is>
      </c>
      <c r="O253" s="671" t="n"/>
      <c r="P253" s="671" t="n"/>
      <c r="Q253" s="671" t="n"/>
      <c r="R253" s="637" t="n"/>
      <c r="S253" s="40" t="inlineStr"/>
      <c r="T253" s="40" t="inlineStr"/>
      <c r="U253" s="41" t="inlineStr">
        <is>
          <t>кг</t>
        </is>
      </c>
      <c r="V253" s="672" t="n">
        <v>0</v>
      </c>
      <c r="W253" s="673">
        <f>IFERROR(IF(V253="",0,CEILING((V253/$H253),1)*$H253),"")</f>
        <v/>
      </c>
      <c r="X253" s="42">
        <f>IFERROR(IF(W253=0,"",ROUNDUP(W253/H253,0)*0.02175),"")</f>
        <v/>
      </c>
      <c r="Y253" s="69" t="inlineStr"/>
      <c r="Z253" s="70" t="inlineStr"/>
      <c r="AD253" s="71" t="n"/>
      <c r="BA253" s="212" t="inlineStr">
        <is>
          <t>КИ</t>
        </is>
      </c>
    </row>
    <row r="254" ht="27" customHeight="1">
      <c r="A254" s="64" t="inlineStr">
        <is>
          <t>SU001799</t>
        </is>
      </c>
      <c r="B254" s="64" t="inlineStr">
        <is>
          <t>P003076</t>
        </is>
      </c>
      <c r="C254" s="37" t="n">
        <v>4301011396</v>
      </c>
      <c r="D254" s="325" t="n">
        <v>4607091387452</v>
      </c>
      <c r="E254" s="637" t="n"/>
      <c r="F254" s="669" t="n">
        <v>1.35</v>
      </c>
      <c r="G254" s="38" t="n">
        <v>8</v>
      </c>
      <c r="H254" s="669" t="n">
        <v>10.8</v>
      </c>
      <c r="I254" s="669" t="n">
        <v>11.28</v>
      </c>
      <c r="J254" s="38" t="n">
        <v>48</v>
      </c>
      <c r="K254" s="38" t="inlineStr">
        <is>
          <t>8</t>
        </is>
      </c>
      <c r="L254" s="39" t="inlineStr">
        <is>
          <t>ВЗ</t>
        </is>
      </c>
      <c r="M254" s="38" t="n">
        <v>55</v>
      </c>
      <c r="N254" s="817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O254" s="671" t="n"/>
      <c r="P254" s="671" t="n"/>
      <c r="Q254" s="671" t="n"/>
      <c r="R254" s="637" t="n"/>
      <c r="S254" s="40" t="inlineStr"/>
      <c r="T254" s="40" t="inlineStr"/>
      <c r="U254" s="41" t="inlineStr">
        <is>
          <t>кг</t>
        </is>
      </c>
      <c r="V254" s="672" t="n">
        <v>0</v>
      </c>
      <c r="W254" s="673">
        <f>IFERROR(IF(V254="",0,CEILING((V254/$H254),1)*$H254),"")</f>
        <v/>
      </c>
      <c r="X254" s="42">
        <f>IFERROR(IF(W254=0,"",ROUNDUP(W254/H254,0)*0.02039),"")</f>
        <v/>
      </c>
      <c r="Y254" s="69" t="inlineStr"/>
      <c r="Z254" s="70" t="inlineStr"/>
      <c r="AD254" s="71" t="n"/>
      <c r="BA254" s="213" t="inlineStr">
        <is>
          <t>КИ</t>
        </is>
      </c>
    </row>
    <row r="255" ht="27" customHeight="1">
      <c r="A255" s="64" t="inlineStr">
        <is>
          <t>SU001792</t>
        </is>
      </c>
      <c r="B255" s="64" t="inlineStr">
        <is>
          <t>P001792</t>
        </is>
      </c>
      <c r="C255" s="37" t="n">
        <v>4301011313</v>
      </c>
      <c r="D255" s="325" t="n">
        <v>4607091385984</v>
      </c>
      <c r="E255" s="637" t="n"/>
      <c r="F255" s="669" t="n">
        <v>1.35</v>
      </c>
      <c r="G255" s="38" t="n">
        <v>8</v>
      </c>
      <c r="H255" s="669" t="n">
        <v>10.8</v>
      </c>
      <c r="I255" s="669" t="n">
        <v>11.28</v>
      </c>
      <c r="J255" s="38" t="n">
        <v>56</v>
      </c>
      <c r="K255" s="38" t="inlineStr">
        <is>
          <t>8</t>
        </is>
      </c>
      <c r="L255" s="39" t="inlineStr">
        <is>
          <t>СК1</t>
        </is>
      </c>
      <c r="M255" s="38" t="n">
        <v>55</v>
      </c>
      <c r="N255" s="818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O255" s="671" t="n"/>
      <c r="P255" s="671" t="n"/>
      <c r="Q255" s="671" t="n"/>
      <c r="R255" s="637" t="n"/>
      <c r="S255" s="40" t="inlineStr"/>
      <c r="T255" s="40" t="inlineStr"/>
      <c r="U255" s="41" t="inlineStr">
        <is>
          <t>кг</t>
        </is>
      </c>
      <c r="V255" s="672" t="n">
        <v>0</v>
      </c>
      <c r="W255" s="673">
        <f>IFERROR(IF(V255="",0,CEILING((V255/$H255),1)*$H255),"")</f>
        <v/>
      </c>
      <c r="X255" s="42">
        <f>IFERROR(IF(W255=0,"",ROUNDUP(W255/H255,0)*0.02175),"")</f>
        <v/>
      </c>
      <c r="Y255" s="69" t="inlineStr"/>
      <c r="Z255" s="70" t="inlineStr"/>
      <c r="AD255" s="71" t="n"/>
      <c r="BA255" s="214" t="inlineStr">
        <is>
          <t>КИ</t>
        </is>
      </c>
    </row>
    <row r="256" ht="27" customHeight="1">
      <c r="A256" s="64" t="inlineStr">
        <is>
          <t>SU001794</t>
        </is>
      </c>
      <c r="B256" s="64" t="inlineStr">
        <is>
          <t>P001794</t>
        </is>
      </c>
      <c r="C256" s="37" t="n">
        <v>4301011316</v>
      </c>
      <c r="D256" s="325" t="n">
        <v>4607091387438</v>
      </c>
      <c r="E256" s="637" t="n"/>
      <c r="F256" s="669" t="n">
        <v>0.5</v>
      </c>
      <c r="G256" s="38" t="n">
        <v>10</v>
      </c>
      <c r="H256" s="669" t="n">
        <v>5</v>
      </c>
      <c r="I256" s="669" t="n">
        <v>5.24</v>
      </c>
      <c r="J256" s="38" t="n">
        <v>120</v>
      </c>
      <c r="K256" s="38" t="inlineStr">
        <is>
          <t>12</t>
        </is>
      </c>
      <c r="L256" s="39" t="inlineStr">
        <is>
          <t>СК1</t>
        </is>
      </c>
      <c r="M256" s="38" t="n">
        <v>55</v>
      </c>
      <c r="N256" s="819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O256" s="671" t="n"/>
      <c r="P256" s="671" t="n"/>
      <c r="Q256" s="671" t="n"/>
      <c r="R256" s="637" t="n"/>
      <c r="S256" s="40" t="inlineStr"/>
      <c r="T256" s="40" t="inlineStr"/>
      <c r="U256" s="41" t="inlineStr">
        <is>
          <t>кг</t>
        </is>
      </c>
      <c r="V256" s="672" t="n">
        <v>0</v>
      </c>
      <c r="W256" s="673">
        <f>IFERROR(IF(V256="",0,CEILING((V256/$H256),1)*$H256),"")</f>
        <v/>
      </c>
      <c r="X256" s="42">
        <f>IFERROR(IF(W256=0,"",ROUNDUP(W256/H256,0)*0.00937),"")</f>
        <v/>
      </c>
      <c r="Y256" s="69" t="inlineStr"/>
      <c r="Z256" s="70" t="inlineStr"/>
      <c r="AD256" s="71" t="n"/>
      <c r="BA256" s="215" t="inlineStr">
        <is>
          <t>КИ</t>
        </is>
      </c>
    </row>
    <row r="257" ht="27" customHeight="1">
      <c r="A257" s="64" t="inlineStr">
        <is>
          <t>SU001795</t>
        </is>
      </c>
      <c r="B257" s="64" t="inlineStr">
        <is>
          <t>P001795</t>
        </is>
      </c>
      <c r="C257" s="37" t="n">
        <v>4301011318</v>
      </c>
      <c r="D257" s="325" t="n">
        <v>4607091387469</v>
      </c>
      <c r="E257" s="637" t="n"/>
      <c r="F257" s="669" t="n">
        <v>0.5</v>
      </c>
      <c r="G257" s="38" t="n">
        <v>10</v>
      </c>
      <c r="H257" s="669" t="n">
        <v>5</v>
      </c>
      <c r="I257" s="669" t="n">
        <v>5.21</v>
      </c>
      <c r="J257" s="38" t="n">
        <v>120</v>
      </c>
      <c r="K257" s="38" t="inlineStr">
        <is>
          <t>12</t>
        </is>
      </c>
      <c r="L257" s="39" t="inlineStr">
        <is>
          <t>СК2</t>
        </is>
      </c>
      <c r="M257" s="38" t="n">
        <v>55</v>
      </c>
      <c r="N257" s="820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O257" s="671" t="n"/>
      <c r="P257" s="671" t="n"/>
      <c r="Q257" s="671" t="n"/>
      <c r="R257" s="637" t="n"/>
      <c r="S257" s="40" t="inlineStr"/>
      <c r="T257" s="40" t="inlineStr"/>
      <c r="U257" s="41" t="inlineStr">
        <is>
          <t>кг</t>
        </is>
      </c>
      <c r="V257" s="672" t="n">
        <v>0</v>
      </c>
      <c r="W257" s="673">
        <f>IFERROR(IF(V257="",0,CEILING((V257/$H257),1)*$H257),"")</f>
        <v/>
      </c>
      <c r="X257" s="42">
        <f>IFERROR(IF(W257=0,"",ROUNDUP(W257/H257,0)*0.00937),"")</f>
        <v/>
      </c>
      <c r="Y257" s="69" t="inlineStr"/>
      <c r="Z257" s="70" t="inlineStr"/>
      <c r="AD257" s="71" t="n"/>
      <c r="BA257" s="216" t="inlineStr">
        <is>
          <t>КИ</t>
        </is>
      </c>
    </row>
    <row r="258">
      <c r="A258" s="320" t="n"/>
      <c r="B258" s="313" t="n"/>
      <c r="C258" s="313" t="n"/>
      <c r="D258" s="313" t="n"/>
      <c r="E258" s="313" t="n"/>
      <c r="F258" s="313" t="n"/>
      <c r="G258" s="313" t="n"/>
      <c r="H258" s="313" t="n"/>
      <c r="I258" s="313" t="n"/>
      <c r="J258" s="313" t="n"/>
      <c r="K258" s="313" t="n"/>
      <c r="L258" s="313" t="n"/>
      <c r="M258" s="674" t="n"/>
      <c r="N258" s="675" t="inlineStr">
        <is>
          <t>Итого</t>
        </is>
      </c>
      <c r="O258" s="645" t="n"/>
      <c r="P258" s="645" t="n"/>
      <c r="Q258" s="645" t="n"/>
      <c r="R258" s="645" t="n"/>
      <c r="S258" s="645" t="n"/>
      <c r="T258" s="646" t="n"/>
      <c r="U258" s="43" t="inlineStr">
        <is>
          <t>кор</t>
        </is>
      </c>
      <c r="V258" s="676">
        <f>IFERROR(V251/H251,"0")+IFERROR(V252/H252,"0")+IFERROR(V253/H253,"0")+IFERROR(V254/H254,"0")+IFERROR(V255/H255,"0")+IFERROR(V256/H256,"0")+IFERROR(V257/H257,"0")</f>
        <v/>
      </c>
      <c r="W258" s="676">
        <f>IFERROR(W251/H251,"0")+IFERROR(W252/H252,"0")+IFERROR(W253/H253,"0")+IFERROR(W254/H254,"0")+IFERROR(W255/H255,"0")+IFERROR(W256/H256,"0")+IFERROR(W257/H257,"0")</f>
        <v/>
      </c>
      <c r="X258" s="676">
        <f>IFERROR(IF(X251="",0,X251),"0")+IFERROR(IF(X252="",0,X252),"0")+IFERROR(IF(X253="",0,X253),"0")+IFERROR(IF(X254="",0,X254),"0")+IFERROR(IF(X255="",0,X255),"0")+IFERROR(IF(X256="",0,X256),"0")+IFERROR(IF(X257="",0,X257),"0")</f>
        <v/>
      </c>
      <c r="Y258" s="677" t="n"/>
      <c r="Z258" s="677" t="n"/>
    </row>
    <row r="259">
      <c r="A259" s="313" t="n"/>
      <c r="B259" s="313" t="n"/>
      <c r="C259" s="313" t="n"/>
      <c r="D259" s="313" t="n"/>
      <c r="E259" s="313" t="n"/>
      <c r="F259" s="313" t="n"/>
      <c r="G259" s="313" t="n"/>
      <c r="H259" s="313" t="n"/>
      <c r="I259" s="313" t="n"/>
      <c r="J259" s="313" t="n"/>
      <c r="K259" s="313" t="n"/>
      <c r="L259" s="313" t="n"/>
      <c r="M259" s="674" t="n"/>
      <c r="N259" s="675" t="inlineStr">
        <is>
          <t>Итого</t>
        </is>
      </c>
      <c r="O259" s="645" t="n"/>
      <c r="P259" s="645" t="n"/>
      <c r="Q259" s="645" t="n"/>
      <c r="R259" s="645" t="n"/>
      <c r="S259" s="645" t="n"/>
      <c r="T259" s="646" t="n"/>
      <c r="U259" s="43" t="inlineStr">
        <is>
          <t>кг</t>
        </is>
      </c>
      <c r="V259" s="676">
        <f>IFERROR(SUM(V251:V257),"0")</f>
        <v/>
      </c>
      <c r="W259" s="676">
        <f>IFERROR(SUM(W251:W257),"0")</f>
        <v/>
      </c>
      <c r="X259" s="43" t="n"/>
      <c r="Y259" s="677" t="n"/>
      <c r="Z259" s="677" t="n"/>
    </row>
    <row r="260" ht="14.25" customHeight="1">
      <c r="A260" s="330" t="inlineStr">
        <is>
          <t>Копченые колбасы</t>
        </is>
      </c>
      <c r="B260" s="313" t="n"/>
      <c r="C260" s="313" t="n"/>
      <c r="D260" s="313" t="n"/>
      <c r="E260" s="313" t="n"/>
      <c r="F260" s="313" t="n"/>
      <c r="G260" s="313" t="n"/>
      <c r="H260" s="313" t="n"/>
      <c r="I260" s="313" t="n"/>
      <c r="J260" s="313" t="n"/>
      <c r="K260" s="313" t="n"/>
      <c r="L260" s="313" t="n"/>
      <c r="M260" s="313" t="n"/>
      <c r="N260" s="313" t="n"/>
      <c r="O260" s="313" t="n"/>
      <c r="P260" s="313" t="n"/>
      <c r="Q260" s="313" t="n"/>
      <c r="R260" s="313" t="n"/>
      <c r="S260" s="313" t="n"/>
      <c r="T260" s="313" t="n"/>
      <c r="U260" s="313" t="n"/>
      <c r="V260" s="313" t="n"/>
      <c r="W260" s="313" t="n"/>
      <c r="X260" s="313" t="n"/>
      <c r="Y260" s="330" t="n"/>
      <c r="Z260" s="330" t="n"/>
    </row>
    <row r="261" ht="27" customHeight="1">
      <c r="A261" s="64" t="inlineStr">
        <is>
          <t>SU001801</t>
        </is>
      </c>
      <c r="B261" s="64" t="inlineStr">
        <is>
          <t>P003014</t>
        </is>
      </c>
      <c r="C261" s="37" t="n">
        <v>4301031154</v>
      </c>
      <c r="D261" s="325" t="n">
        <v>4607091387292</v>
      </c>
      <c r="E261" s="637" t="n"/>
      <c r="F261" s="669" t="n">
        <v>0.73</v>
      </c>
      <c r="G261" s="38" t="n">
        <v>6</v>
      </c>
      <c r="H261" s="669" t="n">
        <v>4.38</v>
      </c>
      <c r="I261" s="669" t="n">
        <v>4.64</v>
      </c>
      <c r="J261" s="38" t="n">
        <v>156</v>
      </c>
      <c r="K261" s="38" t="inlineStr">
        <is>
          <t>12</t>
        </is>
      </c>
      <c r="L261" s="39" t="inlineStr">
        <is>
          <t>СК2</t>
        </is>
      </c>
      <c r="M261" s="38" t="n">
        <v>45</v>
      </c>
      <c r="N261" s="821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O261" s="671" t="n"/>
      <c r="P261" s="671" t="n"/>
      <c r="Q261" s="671" t="n"/>
      <c r="R261" s="637" t="n"/>
      <c r="S261" s="40" t="inlineStr"/>
      <c r="T261" s="40" t="inlineStr"/>
      <c r="U261" s="41" t="inlineStr">
        <is>
          <t>кг</t>
        </is>
      </c>
      <c r="V261" s="672" t="n">
        <v>0</v>
      </c>
      <c r="W261" s="673">
        <f>IFERROR(IF(V261="",0,CEILING((V261/$H261),1)*$H261),"")</f>
        <v/>
      </c>
      <c r="X261" s="42">
        <f>IFERROR(IF(W261=0,"",ROUNDUP(W261/H261,0)*0.00753),"")</f>
        <v/>
      </c>
      <c r="Y261" s="69" t="inlineStr"/>
      <c r="Z261" s="70" t="inlineStr"/>
      <c r="AD261" s="71" t="n"/>
      <c r="BA261" s="217" t="inlineStr">
        <is>
          <t>КИ</t>
        </is>
      </c>
    </row>
    <row r="262" ht="27" customHeight="1">
      <c r="A262" s="64" t="inlineStr">
        <is>
          <t>SU000231</t>
        </is>
      </c>
      <c r="B262" s="64" t="inlineStr">
        <is>
          <t>P003015</t>
        </is>
      </c>
      <c r="C262" s="37" t="n">
        <v>4301031155</v>
      </c>
      <c r="D262" s="325" t="n">
        <v>4607091387315</v>
      </c>
      <c r="E262" s="637" t="n"/>
      <c r="F262" s="669" t="n">
        <v>0.7</v>
      </c>
      <c r="G262" s="38" t="n">
        <v>4</v>
      </c>
      <c r="H262" s="669" t="n">
        <v>2.8</v>
      </c>
      <c r="I262" s="669" t="n">
        <v>3.048</v>
      </c>
      <c r="J262" s="38" t="n">
        <v>156</v>
      </c>
      <c r="K262" s="38" t="inlineStr">
        <is>
          <t>12</t>
        </is>
      </c>
      <c r="L262" s="39" t="inlineStr">
        <is>
          <t>СК2</t>
        </is>
      </c>
      <c r="M262" s="38" t="n">
        <v>45</v>
      </c>
      <c r="N262" s="822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O262" s="671" t="n"/>
      <c r="P262" s="671" t="n"/>
      <c r="Q262" s="671" t="n"/>
      <c r="R262" s="637" t="n"/>
      <c r="S262" s="40" t="inlineStr"/>
      <c r="T262" s="40" t="inlineStr"/>
      <c r="U262" s="41" t="inlineStr">
        <is>
          <t>кг</t>
        </is>
      </c>
      <c r="V262" s="672" t="n">
        <v>0</v>
      </c>
      <c r="W262" s="673">
        <f>IFERROR(IF(V262="",0,CEILING((V262/$H262),1)*$H262),"")</f>
        <v/>
      </c>
      <c r="X262" s="42">
        <f>IFERROR(IF(W262=0,"",ROUNDUP(W262/H262,0)*0.00753),"")</f>
        <v/>
      </c>
      <c r="Y262" s="69" t="inlineStr"/>
      <c r="Z262" s="70" t="inlineStr"/>
      <c r="AD262" s="71" t="n"/>
      <c r="BA262" s="218" t="inlineStr">
        <is>
          <t>КИ</t>
        </is>
      </c>
    </row>
    <row r="263">
      <c r="A263" s="320" t="n"/>
      <c r="B263" s="313" t="n"/>
      <c r="C263" s="313" t="n"/>
      <c r="D263" s="313" t="n"/>
      <c r="E263" s="313" t="n"/>
      <c r="F263" s="313" t="n"/>
      <c r="G263" s="313" t="n"/>
      <c r="H263" s="313" t="n"/>
      <c r="I263" s="313" t="n"/>
      <c r="J263" s="313" t="n"/>
      <c r="K263" s="313" t="n"/>
      <c r="L263" s="313" t="n"/>
      <c r="M263" s="674" t="n"/>
      <c r="N263" s="675" t="inlineStr">
        <is>
          <t>Итого</t>
        </is>
      </c>
      <c r="O263" s="645" t="n"/>
      <c r="P263" s="645" t="n"/>
      <c r="Q263" s="645" t="n"/>
      <c r="R263" s="645" t="n"/>
      <c r="S263" s="645" t="n"/>
      <c r="T263" s="646" t="n"/>
      <c r="U263" s="43" t="inlineStr">
        <is>
          <t>кор</t>
        </is>
      </c>
      <c r="V263" s="676">
        <f>IFERROR(V261/H261,"0")+IFERROR(V262/H262,"0")</f>
        <v/>
      </c>
      <c r="W263" s="676">
        <f>IFERROR(W261/H261,"0")+IFERROR(W262/H262,"0")</f>
        <v/>
      </c>
      <c r="X263" s="676">
        <f>IFERROR(IF(X261="",0,X261),"0")+IFERROR(IF(X262="",0,X262),"0")</f>
        <v/>
      </c>
      <c r="Y263" s="677" t="n"/>
      <c r="Z263" s="677" t="n"/>
    </row>
    <row r="264">
      <c r="A264" s="313" t="n"/>
      <c r="B264" s="313" t="n"/>
      <c r="C264" s="313" t="n"/>
      <c r="D264" s="313" t="n"/>
      <c r="E264" s="313" t="n"/>
      <c r="F264" s="313" t="n"/>
      <c r="G264" s="313" t="n"/>
      <c r="H264" s="313" t="n"/>
      <c r="I264" s="313" t="n"/>
      <c r="J264" s="313" t="n"/>
      <c r="K264" s="313" t="n"/>
      <c r="L264" s="313" t="n"/>
      <c r="M264" s="674" t="n"/>
      <c r="N264" s="675" t="inlineStr">
        <is>
          <t>Итого</t>
        </is>
      </c>
      <c r="O264" s="645" t="n"/>
      <c r="P264" s="645" t="n"/>
      <c r="Q264" s="645" t="n"/>
      <c r="R264" s="645" t="n"/>
      <c r="S264" s="645" t="n"/>
      <c r="T264" s="646" t="n"/>
      <c r="U264" s="43" t="inlineStr">
        <is>
          <t>кг</t>
        </is>
      </c>
      <c r="V264" s="676">
        <f>IFERROR(SUM(V261:V262),"0")</f>
        <v/>
      </c>
      <c r="W264" s="676">
        <f>IFERROR(SUM(W261:W262),"0")</f>
        <v/>
      </c>
      <c r="X264" s="43" t="n"/>
      <c r="Y264" s="677" t="n"/>
      <c r="Z264" s="677" t="n"/>
    </row>
    <row r="265" ht="16.5" customHeight="1">
      <c r="A265" s="329" t="inlineStr">
        <is>
          <t>Бавария</t>
        </is>
      </c>
      <c r="B265" s="313" t="n"/>
      <c r="C265" s="313" t="n"/>
      <c r="D265" s="313" t="n"/>
      <c r="E265" s="313" t="n"/>
      <c r="F265" s="313" t="n"/>
      <c r="G265" s="313" t="n"/>
      <c r="H265" s="313" t="n"/>
      <c r="I265" s="313" t="n"/>
      <c r="J265" s="313" t="n"/>
      <c r="K265" s="313" t="n"/>
      <c r="L265" s="313" t="n"/>
      <c r="M265" s="313" t="n"/>
      <c r="N265" s="313" t="n"/>
      <c r="O265" s="313" t="n"/>
      <c r="P265" s="313" t="n"/>
      <c r="Q265" s="313" t="n"/>
      <c r="R265" s="313" t="n"/>
      <c r="S265" s="313" t="n"/>
      <c r="T265" s="313" t="n"/>
      <c r="U265" s="313" t="n"/>
      <c r="V265" s="313" t="n"/>
      <c r="W265" s="313" t="n"/>
      <c r="X265" s="313" t="n"/>
      <c r="Y265" s="329" t="n"/>
      <c r="Z265" s="329" t="n"/>
    </row>
    <row r="266" ht="14.25" customHeight="1">
      <c r="A266" s="330" t="inlineStr">
        <is>
          <t>Копченые колбасы</t>
        </is>
      </c>
      <c r="B266" s="313" t="n"/>
      <c r="C266" s="313" t="n"/>
      <c r="D266" s="313" t="n"/>
      <c r="E266" s="313" t="n"/>
      <c r="F266" s="313" t="n"/>
      <c r="G266" s="313" t="n"/>
      <c r="H266" s="313" t="n"/>
      <c r="I266" s="313" t="n"/>
      <c r="J266" s="313" t="n"/>
      <c r="K266" s="313" t="n"/>
      <c r="L266" s="313" t="n"/>
      <c r="M266" s="313" t="n"/>
      <c r="N266" s="313" t="n"/>
      <c r="O266" s="313" t="n"/>
      <c r="P266" s="313" t="n"/>
      <c r="Q266" s="313" t="n"/>
      <c r="R266" s="313" t="n"/>
      <c r="S266" s="313" t="n"/>
      <c r="T266" s="313" t="n"/>
      <c r="U266" s="313" t="n"/>
      <c r="V266" s="313" t="n"/>
      <c r="W266" s="313" t="n"/>
      <c r="X266" s="313" t="n"/>
      <c r="Y266" s="330" t="n"/>
      <c r="Z266" s="330" t="n"/>
    </row>
    <row r="267" ht="27" customHeight="1">
      <c r="A267" s="64" t="inlineStr">
        <is>
          <t>SU002252</t>
        </is>
      </c>
      <c r="B267" s="64" t="inlineStr">
        <is>
          <t>P002461</t>
        </is>
      </c>
      <c r="C267" s="37" t="n">
        <v>4301031066</v>
      </c>
      <c r="D267" s="325" t="n">
        <v>4607091383836</v>
      </c>
      <c r="E267" s="637" t="n"/>
      <c r="F267" s="669" t="n">
        <v>0.3</v>
      </c>
      <c r="G267" s="38" t="n">
        <v>6</v>
      </c>
      <c r="H267" s="669" t="n">
        <v>1.8</v>
      </c>
      <c r="I267" s="669" t="n">
        <v>2.048</v>
      </c>
      <c r="J267" s="38" t="n">
        <v>156</v>
      </c>
      <c r="K267" s="38" t="inlineStr">
        <is>
          <t>12</t>
        </is>
      </c>
      <c r="L267" s="39" t="inlineStr">
        <is>
          <t>СК2</t>
        </is>
      </c>
      <c r="M267" s="38" t="n">
        <v>40</v>
      </c>
      <c r="N267" s="823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O267" s="671" t="n"/>
      <c r="P267" s="671" t="n"/>
      <c r="Q267" s="671" t="n"/>
      <c r="R267" s="637" t="n"/>
      <c r="S267" s="40" t="inlineStr"/>
      <c r="T267" s="40" t="inlineStr"/>
      <c r="U267" s="41" t="inlineStr">
        <is>
          <t>кг</t>
        </is>
      </c>
      <c r="V267" s="672" t="n">
        <v>3</v>
      </c>
      <c r="W267" s="673">
        <f>IFERROR(IF(V267="",0,CEILING((V267/$H267),1)*$H267),"")</f>
        <v/>
      </c>
      <c r="X267" s="42">
        <f>IFERROR(IF(W267=0,"",ROUNDUP(W267/H267,0)*0.00753),"")</f>
        <v/>
      </c>
      <c r="Y267" s="69" t="inlineStr"/>
      <c r="Z267" s="70" t="inlineStr"/>
      <c r="AD267" s="71" t="n"/>
      <c r="BA267" s="219" t="inlineStr">
        <is>
          <t>КИ</t>
        </is>
      </c>
    </row>
    <row r="268">
      <c r="A268" s="320" t="n"/>
      <c r="B268" s="313" t="n"/>
      <c r="C268" s="313" t="n"/>
      <c r="D268" s="313" t="n"/>
      <c r="E268" s="313" t="n"/>
      <c r="F268" s="313" t="n"/>
      <c r="G268" s="313" t="n"/>
      <c r="H268" s="313" t="n"/>
      <c r="I268" s="313" t="n"/>
      <c r="J268" s="313" t="n"/>
      <c r="K268" s="313" t="n"/>
      <c r="L268" s="313" t="n"/>
      <c r="M268" s="674" t="n"/>
      <c r="N268" s="675" t="inlineStr">
        <is>
          <t>Итого</t>
        </is>
      </c>
      <c r="O268" s="645" t="n"/>
      <c r="P268" s="645" t="n"/>
      <c r="Q268" s="645" t="n"/>
      <c r="R268" s="645" t="n"/>
      <c r="S268" s="645" t="n"/>
      <c r="T268" s="646" t="n"/>
      <c r="U268" s="43" t="inlineStr">
        <is>
          <t>кор</t>
        </is>
      </c>
      <c r="V268" s="676">
        <f>IFERROR(V267/H267,"0")</f>
        <v/>
      </c>
      <c r="W268" s="676">
        <f>IFERROR(W267/H267,"0")</f>
        <v/>
      </c>
      <c r="X268" s="676">
        <f>IFERROR(IF(X267="",0,X267),"0")</f>
        <v/>
      </c>
      <c r="Y268" s="677" t="n"/>
      <c r="Z268" s="677" t="n"/>
    </row>
    <row r="269">
      <c r="A269" s="313" t="n"/>
      <c r="B269" s="313" t="n"/>
      <c r="C269" s="313" t="n"/>
      <c r="D269" s="313" t="n"/>
      <c r="E269" s="313" t="n"/>
      <c r="F269" s="313" t="n"/>
      <c r="G269" s="313" t="n"/>
      <c r="H269" s="313" t="n"/>
      <c r="I269" s="313" t="n"/>
      <c r="J269" s="313" t="n"/>
      <c r="K269" s="313" t="n"/>
      <c r="L269" s="313" t="n"/>
      <c r="M269" s="674" t="n"/>
      <c r="N269" s="675" t="inlineStr">
        <is>
          <t>Итого</t>
        </is>
      </c>
      <c r="O269" s="645" t="n"/>
      <c r="P269" s="645" t="n"/>
      <c r="Q269" s="645" t="n"/>
      <c r="R269" s="645" t="n"/>
      <c r="S269" s="645" t="n"/>
      <c r="T269" s="646" t="n"/>
      <c r="U269" s="43" t="inlineStr">
        <is>
          <t>кг</t>
        </is>
      </c>
      <c r="V269" s="676">
        <f>IFERROR(SUM(V267:V267),"0")</f>
        <v/>
      </c>
      <c r="W269" s="676">
        <f>IFERROR(SUM(W267:W267),"0")</f>
        <v/>
      </c>
      <c r="X269" s="43" t="n"/>
      <c r="Y269" s="677" t="n"/>
      <c r="Z269" s="677" t="n"/>
    </row>
    <row r="270" ht="14.25" customHeight="1">
      <c r="A270" s="330" t="inlineStr">
        <is>
          <t>Сосиски</t>
        </is>
      </c>
      <c r="B270" s="313" t="n"/>
      <c r="C270" s="313" t="n"/>
      <c r="D270" s="313" t="n"/>
      <c r="E270" s="313" t="n"/>
      <c r="F270" s="313" t="n"/>
      <c r="G270" s="313" t="n"/>
      <c r="H270" s="313" t="n"/>
      <c r="I270" s="313" t="n"/>
      <c r="J270" s="313" t="n"/>
      <c r="K270" s="313" t="n"/>
      <c r="L270" s="313" t="n"/>
      <c r="M270" s="313" t="n"/>
      <c r="N270" s="313" t="n"/>
      <c r="O270" s="313" t="n"/>
      <c r="P270" s="313" t="n"/>
      <c r="Q270" s="313" t="n"/>
      <c r="R270" s="313" t="n"/>
      <c r="S270" s="313" t="n"/>
      <c r="T270" s="313" t="n"/>
      <c r="U270" s="313" t="n"/>
      <c r="V270" s="313" t="n"/>
      <c r="W270" s="313" t="n"/>
      <c r="X270" s="313" t="n"/>
      <c r="Y270" s="330" t="n"/>
      <c r="Z270" s="330" t="n"/>
    </row>
    <row r="271" ht="27" customHeight="1">
      <c r="A271" s="64" t="inlineStr">
        <is>
          <t>SU001835</t>
        </is>
      </c>
      <c r="B271" s="64" t="inlineStr">
        <is>
          <t>P002202</t>
        </is>
      </c>
      <c r="C271" s="37" t="n">
        <v>4301051142</v>
      </c>
      <c r="D271" s="325" t="n">
        <v>4607091387919</v>
      </c>
      <c r="E271" s="637" t="n"/>
      <c r="F271" s="669" t="n">
        <v>1.35</v>
      </c>
      <c r="G271" s="38" t="n">
        <v>6</v>
      </c>
      <c r="H271" s="669" t="n">
        <v>8.1</v>
      </c>
      <c r="I271" s="669" t="n">
        <v>8.664</v>
      </c>
      <c r="J271" s="38" t="n">
        <v>56</v>
      </c>
      <c r="K271" s="38" t="inlineStr">
        <is>
          <t>8</t>
        </is>
      </c>
      <c r="L271" s="39" t="inlineStr">
        <is>
          <t>СК2</t>
        </is>
      </c>
      <c r="M271" s="38" t="n">
        <v>45</v>
      </c>
      <c r="N271" s="824">
        <f>HYPERLINK("https://abi.ru/products/Охлажденные/Стародворье/Бавария/Сосиски/P002202/","Сосиски Баварские Бавария Весовые П/а мгс Стародворье")</f>
        <v/>
      </c>
      <c r="O271" s="671" t="n"/>
      <c r="P271" s="671" t="n"/>
      <c r="Q271" s="671" t="n"/>
      <c r="R271" s="637" t="n"/>
      <c r="S271" s="40" t="inlineStr"/>
      <c r="T271" s="40" t="inlineStr"/>
      <c r="U271" s="41" t="inlineStr">
        <is>
          <t>кг</t>
        </is>
      </c>
      <c r="V271" s="672" t="n">
        <v>0</v>
      </c>
      <c r="W271" s="673">
        <f>IFERROR(IF(V271="",0,CEILING((V271/$H271),1)*$H271),"")</f>
        <v/>
      </c>
      <c r="X271" s="42">
        <f>IFERROR(IF(W271=0,"",ROUNDUP(W271/H271,0)*0.02175),"")</f>
        <v/>
      </c>
      <c r="Y271" s="69" t="inlineStr"/>
      <c r="Z271" s="70" t="inlineStr"/>
      <c r="AD271" s="71" t="n"/>
      <c r="BA271" s="220" t="inlineStr">
        <is>
          <t>КИ</t>
        </is>
      </c>
    </row>
    <row r="272" ht="27" customHeight="1">
      <c r="A272" s="64" t="inlineStr">
        <is>
          <t>SU001836</t>
        </is>
      </c>
      <c r="B272" s="64" t="inlineStr">
        <is>
          <t>P002201</t>
        </is>
      </c>
      <c r="C272" s="37" t="n">
        <v>4301051109</v>
      </c>
      <c r="D272" s="325" t="n">
        <v>4607091383942</v>
      </c>
      <c r="E272" s="637" t="n"/>
      <c r="F272" s="669" t="n">
        <v>0.42</v>
      </c>
      <c r="G272" s="38" t="n">
        <v>6</v>
      </c>
      <c r="H272" s="669" t="n">
        <v>2.52</v>
      </c>
      <c r="I272" s="669" t="n">
        <v>2.792</v>
      </c>
      <c r="J272" s="38" t="n">
        <v>156</v>
      </c>
      <c r="K272" s="38" t="inlineStr">
        <is>
          <t>12</t>
        </is>
      </c>
      <c r="L272" s="39" t="inlineStr">
        <is>
          <t>СК3</t>
        </is>
      </c>
      <c r="M272" s="38" t="n">
        <v>45</v>
      </c>
      <c r="N272" s="825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O272" s="671" t="n"/>
      <c r="P272" s="671" t="n"/>
      <c r="Q272" s="671" t="n"/>
      <c r="R272" s="637" t="n"/>
      <c r="S272" s="40" t="inlineStr"/>
      <c r="T272" s="40" t="inlineStr"/>
      <c r="U272" s="41" t="inlineStr">
        <is>
          <t>кг</t>
        </is>
      </c>
      <c r="V272" s="672" t="n">
        <v>108</v>
      </c>
      <c r="W272" s="673">
        <f>IFERROR(IF(V272="",0,CEILING((V272/$H272),1)*$H272),"")</f>
        <v/>
      </c>
      <c r="X272" s="42">
        <f>IFERROR(IF(W272=0,"",ROUNDUP(W272/H272,0)*0.00753),"")</f>
        <v/>
      </c>
      <c r="Y272" s="69" t="inlineStr"/>
      <c r="Z272" s="70" t="inlineStr"/>
      <c r="AD272" s="71" t="n"/>
      <c r="BA272" s="221" t="inlineStr">
        <is>
          <t>КИ</t>
        </is>
      </c>
    </row>
    <row r="273">
      <c r="A273" s="320" t="n"/>
      <c r="B273" s="313" t="n"/>
      <c r="C273" s="313" t="n"/>
      <c r="D273" s="313" t="n"/>
      <c r="E273" s="313" t="n"/>
      <c r="F273" s="313" t="n"/>
      <c r="G273" s="313" t="n"/>
      <c r="H273" s="313" t="n"/>
      <c r="I273" s="313" t="n"/>
      <c r="J273" s="313" t="n"/>
      <c r="K273" s="313" t="n"/>
      <c r="L273" s="313" t="n"/>
      <c r="M273" s="674" t="n"/>
      <c r="N273" s="675" t="inlineStr">
        <is>
          <t>Итого</t>
        </is>
      </c>
      <c r="O273" s="645" t="n"/>
      <c r="P273" s="645" t="n"/>
      <c r="Q273" s="645" t="n"/>
      <c r="R273" s="645" t="n"/>
      <c r="S273" s="645" t="n"/>
      <c r="T273" s="646" t="n"/>
      <c r="U273" s="43" t="inlineStr">
        <is>
          <t>кор</t>
        </is>
      </c>
      <c r="V273" s="676">
        <f>IFERROR(V271/H271,"0")+IFERROR(V272/H272,"0")</f>
        <v/>
      </c>
      <c r="W273" s="676">
        <f>IFERROR(W271/H271,"0")+IFERROR(W272/H272,"0")</f>
        <v/>
      </c>
      <c r="X273" s="676">
        <f>IFERROR(IF(X271="",0,X271),"0")+IFERROR(IF(X272="",0,X272),"0")</f>
        <v/>
      </c>
      <c r="Y273" s="677" t="n"/>
      <c r="Z273" s="677" t="n"/>
    </row>
    <row r="274">
      <c r="A274" s="313" t="n"/>
      <c r="B274" s="313" t="n"/>
      <c r="C274" s="313" t="n"/>
      <c r="D274" s="313" t="n"/>
      <c r="E274" s="313" t="n"/>
      <c r="F274" s="313" t="n"/>
      <c r="G274" s="313" t="n"/>
      <c r="H274" s="313" t="n"/>
      <c r="I274" s="313" t="n"/>
      <c r="J274" s="313" t="n"/>
      <c r="K274" s="313" t="n"/>
      <c r="L274" s="313" t="n"/>
      <c r="M274" s="674" t="n"/>
      <c r="N274" s="675" t="inlineStr">
        <is>
          <t>Итого</t>
        </is>
      </c>
      <c r="O274" s="645" t="n"/>
      <c r="P274" s="645" t="n"/>
      <c r="Q274" s="645" t="n"/>
      <c r="R274" s="645" t="n"/>
      <c r="S274" s="645" t="n"/>
      <c r="T274" s="646" t="n"/>
      <c r="U274" s="43" t="inlineStr">
        <is>
          <t>кг</t>
        </is>
      </c>
      <c r="V274" s="676">
        <f>IFERROR(SUM(V271:V272),"0")</f>
        <v/>
      </c>
      <c r="W274" s="676">
        <f>IFERROR(SUM(W271:W272),"0")</f>
        <v/>
      </c>
      <c r="X274" s="43" t="n"/>
      <c r="Y274" s="677" t="n"/>
      <c r="Z274" s="677" t="n"/>
    </row>
    <row r="275" ht="14.25" customHeight="1">
      <c r="A275" s="330" t="inlineStr">
        <is>
          <t>Сардельки</t>
        </is>
      </c>
      <c r="B275" s="313" t="n"/>
      <c r="C275" s="313" t="n"/>
      <c r="D275" s="313" t="n"/>
      <c r="E275" s="313" t="n"/>
      <c r="F275" s="313" t="n"/>
      <c r="G275" s="313" t="n"/>
      <c r="H275" s="313" t="n"/>
      <c r="I275" s="313" t="n"/>
      <c r="J275" s="313" t="n"/>
      <c r="K275" s="313" t="n"/>
      <c r="L275" s="313" t="n"/>
      <c r="M275" s="313" t="n"/>
      <c r="N275" s="313" t="n"/>
      <c r="O275" s="313" t="n"/>
      <c r="P275" s="313" t="n"/>
      <c r="Q275" s="313" t="n"/>
      <c r="R275" s="313" t="n"/>
      <c r="S275" s="313" t="n"/>
      <c r="T275" s="313" t="n"/>
      <c r="U275" s="313" t="n"/>
      <c r="V275" s="313" t="n"/>
      <c r="W275" s="313" t="n"/>
      <c r="X275" s="313" t="n"/>
      <c r="Y275" s="330" t="n"/>
      <c r="Z275" s="330" t="n"/>
    </row>
    <row r="276" ht="27" customHeight="1">
      <c r="A276" s="64" t="inlineStr">
        <is>
          <t>SU002173</t>
        </is>
      </c>
      <c r="B276" s="64" t="inlineStr">
        <is>
          <t>P002361</t>
        </is>
      </c>
      <c r="C276" s="37" t="n">
        <v>4301060324</v>
      </c>
      <c r="D276" s="325" t="n">
        <v>4607091388831</v>
      </c>
      <c r="E276" s="637" t="n"/>
      <c r="F276" s="669" t="n">
        <v>0.38</v>
      </c>
      <c r="G276" s="38" t="n">
        <v>6</v>
      </c>
      <c r="H276" s="669" t="n">
        <v>2.28</v>
      </c>
      <c r="I276" s="669" t="n">
        <v>2.552</v>
      </c>
      <c r="J276" s="38" t="n">
        <v>156</v>
      </c>
      <c r="K276" s="38" t="inlineStr">
        <is>
          <t>12</t>
        </is>
      </c>
      <c r="L276" s="39" t="inlineStr">
        <is>
          <t>СК2</t>
        </is>
      </c>
      <c r="M276" s="38" t="n">
        <v>40</v>
      </c>
      <c r="N276" s="826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O276" s="671" t="n"/>
      <c r="P276" s="671" t="n"/>
      <c r="Q276" s="671" t="n"/>
      <c r="R276" s="637" t="n"/>
      <c r="S276" s="40" t="inlineStr"/>
      <c r="T276" s="40" t="inlineStr"/>
      <c r="U276" s="41" t="inlineStr">
        <is>
          <t>кг</t>
        </is>
      </c>
      <c r="V276" s="672" t="n">
        <v>0</v>
      </c>
      <c r="W276" s="673">
        <f>IFERROR(IF(V276="",0,CEILING((V276/$H276),1)*$H276),"")</f>
        <v/>
      </c>
      <c r="X276" s="42">
        <f>IFERROR(IF(W276=0,"",ROUNDUP(W276/H276,0)*0.00753),"")</f>
        <v/>
      </c>
      <c r="Y276" s="69" t="inlineStr"/>
      <c r="Z276" s="70" t="inlineStr"/>
      <c r="AD276" s="71" t="n"/>
      <c r="BA276" s="222" t="inlineStr">
        <is>
          <t>КИ</t>
        </is>
      </c>
    </row>
    <row r="277">
      <c r="A277" s="320" t="n"/>
      <c r="B277" s="313" t="n"/>
      <c r="C277" s="313" t="n"/>
      <c r="D277" s="313" t="n"/>
      <c r="E277" s="313" t="n"/>
      <c r="F277" s="313" t="n"/>
      <c r="G277" s="313" t="n"/>
      <c r="H277" s="313" t="n"/>
      <c r="I277" s="313" t="n"/>
      <c r="J277" s="313" t="n"/>
      <c r="K277" s="313" t="n"/>
      <c r="L277" s="313" t="n"/>
      <c r="M277" s="674" t="n"/>
      <c r="N277" s="675" t="inlineStr">
        <is>
          <t>Итого</t>
        </is>
      </c>
      <c r="O277" s="645" t="n"/>
      <c r="P277" s="645" t="n"/>
      <c r="Q277" s="645" t="n"/>
      <c r="R277" s="645" t="n"/>
      <c r="S277" s="645" t="n"/>
      <c r="T277" s="646" t="n"/>
      <c r="U277" s="43" t="inlineStr">
        <is>
          <t>кор</t>
        </is>
      </c>
      <c r="V277" s="676">
        <f>IFERROR(V276/H276,"0")</f>
        <v/>
      </c>
      <c r="W277" s="676">
        <f>IFERROR(W276/H276,"0")</f>
        <v/>
      </c>
      <c r="X277" s="676">
        <f>IFERROR(IF(X276="",0,X276),"0")</f>
        <v/>
      </c>
      <c r="Y277" s="677" t="n"/>
      <c r="Z277" s="677" t="n"/>
    </row>
    <row r="278">
      <c r="A278" s="313" t="n"/>
      <c r="B278" s="313" t="n"/>
      <c r="C278" s="313" t="n"/>
      <c r="D278" s="313" t="n"/>
      <c r="E278" s="313" t="n"/>
      <c r="F278" s="313" t="n"/>
      <c r="G278" s="313" t="n"/>
      <c r="H278" s="313" t="n"/>
      <c r="I278" s="313" t="n"/>
      <c r="J278" s="313" t="n"/>
      <c r="K278" s="313" t="n"/>
      <c r="L278" s="313" t="n"/>
      <c r="M278" s="674" t="n"/>
      <c r="N278" s="675" t="inlineStr">
        <is>
          <t>Итого</t>
        </is>
      </c>
      <c r="O278" s="645" t="n"/>
      <c r="P278" s="645" t="n"/>
      <c r="Q278" s="645" t="n"/>
      <c r="R278" s="645" t="n"/>
      <c r="S278" s="645" t="n"/>
      <c r="T278" s="646" t="n"/>
      <c r="U278" s="43" t="inlineStr">
        <is>
          <t>кг</t>
        </is>
      </c>
      <c r="V278" s="676">
        <f>IFERROR(SUM(V276:V276),"0")</f>
        <v/>
      </c>
      <c r="W278" s="676">
        <f>IFERROR(SUM(W276:W276),"0")</f>
        <v/>
      </c>
      <c r="X278" s="43" t="n"/>
      <c r="Y278" s="677" t="n"/>
      <c r="Z278" s="677" t="n"/>
    </row>
    <row r="279" ht="14.25" customHeight="1">
      <c r="A279" s="330" t="inlineStr">
        <is>
          <t>Сырокопченые колбасы</t>
        </is>
      </c>
      <c r="B279" s="313" t="n"/>
      <c r="C279" s="313" t="n"/>
      <c r="D279" s="313" t="n"/>
      <c r="E279" s="313" t="n"/>
      <c r="F279" s="313" t="n"/>
      <c r="G279" s="313" t="n"/>
      <c r="H279" s="313" t="n"/>
      <c r="I279" s="313" t="n"/>
      <c r="J279" s="313" t="n"/>
      <c r="K279" s="313" t="n"/>
      <c r="L279" s="313" t="n"/>
      <c r="M279" s="313" t="n"/>
      <c r="N279" s="313" t="n"/>
      <c r="O279" s="313" t="n"/>
      <c r="P279" s="313" t="n"/>
      <c r="Q279" s="313" t="n"/>
      <c r="R279" s="313" t="n"/>
      <c r="S279" s="313" t="n"/>
      <c r="T279" s="313" t="n"/>
      <c r="U279" s="313" t="n"/>
      <c r="V279" s="313" t="n"/>
      <c r="W279" s="313" t="n"/>
      <c r="X279" s="313" t="n"/>
      <c r="Y279" s="330" t="n"/>
      <c r="Z279" s="330" t="n"/>
    </row>
    <row r="280" ht="27" customHeight="1">
      <c r="A280" s="64" t="inlineStr">
        <is>
          <t>SU002092</t>
        </is>
      </c>
      <c r="B280" s="64" t="inlineStr">
        <is>
          <t>P002290</t>
        </is>
      </c>
      <c r="C280" s="37" t="n">
        <v>4301032015</v>
      </c>
      <c r="D280" s="325" t="n">
        <v>4607091383102</v>
      </c>
      <c r="E280" s="637" t="n"/>
      <c r="F280" s="669" t="n">
        <v>0.17</v>
      </c>
      <c r="G280" s="38" t="n">
        <v>15</v>
      </c>
      <c r="H280" s="669" t="n">
        <v>2.55</v>
      </c>
      <c r="I280" s="669" t="n">
        <v>2.975</v>
      </c>
      <c r="J280" s="38" t="n">
        <v>156</v>
      </c>
      <c r="K280" s="38" t="inlineStr">
        <is>
          <t>12</t>
        </is>
      </c>
      <c r="L280" s="39" t="inlineStr">
        <is>
          <t>АК</t>
        </is>
      </c>
      <c r="M280" s="38" t="n">
        <v>180</v>
      </c>
      <c r="N280" s="827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O280" s="671" t="n"/>
      <c r="P280" s="671" t="n"/>
      <c r="Q280" s="671" t="n"/>
      <c r="R280" s="637" t="n"/>
      <c r="S280" s="40" t="inlineStr"/>
      <c r="T280" s="40" t="inlineStr"/>
      <c r="U280" s="41" t="inlineStr">
        <is>
          <t>кг</t>
        </is>
      </c>
      <c r="V280" s="672" t="n">
        <v>0</v>
      </c>
      <c r="W280" s="673">
        <f>IFERROR(IF(V280="",0,CEILING((V280/$H280),1)*$H280),"")</f>
        <v/>
      </c>
      <c r="X280" s="42">
        <f>IFERROR(IF(W280=0,"",ROUNDUP(W280/H280,0)*0.00753),"")</f>
        <v/>
      </c>
      <c r="Y280" s="69" t="inlineStr"/>
      <c r="Z280" s="70" t="inlineStr"/>
      <c r="AD280" s="71" t="n"/>
      <c r="BA280" s="223" t="inlineStr">
        <is>
          <t>КИ</t>
        </is>
      </c>
    </row>
    <row r="281">
      <c r="A281" s="320" t="n"/>
      <c r="B281" s="313" t="n"/>
      <c r="C281" s="313" t="n"/>
      <c r="D281" s="313" t="n"/>
      <c r="E281" s="313" t="n"/>
      <c r="F281" s="313" t="n"/>
      <c r="G281" s="313" t="n"/>
      <c r="H281" s="313" t="n"/>
      <c r="I281" s="313" t="n"/>
      <c r="J281" s="313" t="n"/>
      <c r="K281" s="313" t="n"/>
      <c r="L281" s="313" t="n"/>
      <c r="M281" s="674" t="n"/>
      <c r="N281" s="675" t="inlineStr">
        <is>
          <t>Итого</t>
        </is>
      </c>
      <c r="O281" s="645" t="n"/>
      <c r="P281" s="645" t="n"/>
      <c r="Q281" s="645" t="n"/>
      <c r="R281" s="645" t="n"/>
      <c r="S281" s="645" t="n"/>
      <c r="T281" s="646" t="n"/>
      <c r="U281" s="43" t="inlineStr">
        <is>
          <t>кор</t>
        </is>
      </c>
      <c r="V281" s="676">
        <f>IFERROR(V280/H280,"0")</f>
        <v/>
      </c>
      <c r="W281" s="676">
        <f>IFERROR(W280/H280,"0")</f>
        <v/>
      </c>
      <c r="X281" s="676">
        <f>IFERROR(IF(X280="",0,X280),"0")</f>
        <v/>
      </c>
      <c r="Y281" s="677" t="n"/>
      <c r="Z281" s="677" t="n"/>
    </row>
    <row r="282">
      <c r="A282" s="313" t="n"/>
      <c r="B282" s="313" t="n"/>
      <c r="C282" s="313" t="n"/>
      <c r="D282" s="313" t="n"/>
      <c r="E282" s="313" t="n"/>
      <c r="F282" s="313" t="n"/>
      <c r="G282" s="313" t="n"/>
      <c r="H282" s="313" t="n"/>
      <c r="I282" s="313" t="n"/>
      <c r="J282" s="313" t="n"/>
      <c r="K282" s="313" t="n"/>
      <c r="L282" s="313" t="n"/>
      <c r="M282" s="674" t="n"/>
      <c r="N282" s="675" t="inlineStr">
        <is>
          <t>Итого</t>
        </is>
      </c>
      <c r="O282" s="645" t="n"/>
      <c r="P282" s="645" t="n"/>
      <c r="Q282" s="645" t="n"/>
      <c r="R282" s="645" t="n"/>
      <c r="S282" s="645" t="n"/>
      <c r="T282" s="646" t="n"/>
      <c r="U282" s="43" t="inlineStr">
        <is>
          <t>кг</t>
        </is>
      </c>
      <c r="V282" s="676">
        <f>IFERROR(SUM(V280:V280),"0")</f>
        <v/>
      </c>
      <c r="W282" s="676">
        <f>IFERROR(SUM(W280:W280),"0")</f>
        <v/>
      </c>
      <c r="X282" s="43" t="n"/>
      <c r="Y282" s="677" t="n"/>
      <c r="Z282" s="677" t="n"/>
    </row>
    <row r="283" ht="27.75" customHeight="1">
      <c r="A283" s="341" t="inlineStr">
        <is>
          <t>Особый рецепт</t>
        </is>
      </c>
      <c r="B283" s="668" t="n"/>
      <c r="C283" s="668" t="n"/>
      <c r="D283" s="668" t="n"/>
      <c r="E283" s="668" t="n"/>
      <c r="F283" s="668" t="n"/>
      <c r="G283" s="668" t="n"/>
      <c r="H283" s="668" t="n"/>
      <c r="I283" s="668" t="n"/>
      <c r="J283" s="668" t="n"/>
      <c r="K283" s="668" t="n"/>
      <c r="L283" s="668" t="n"/>
      <c r="M283" s="668" t="n"/>
      <c r="N283" s="668" t="n"/>
      <c r="O283" s="668" t="n"/>
      <c r="P283" s="668" t="n"/>
      <c r="Q283" s="668" t="n"/>
      <c r="R283" s="668" t="n"/>
      <c r="S283" s="668" t="n"/>
      <c r="T283" s="668" t="n"/>
      <c r="U283" s="668" t="n"/>
      <c r="V283" s="668" t="n"/>
      <c r="W283" s="668" t="n"/>
      <c r="X283" s="668" t="n"/>
      <c r="Y283" s="55" t="n"/>
      <c r="Z283" s="55" t="n"/>
    </row>
    <row r="284" ht="16.5" customHeight="1">
      <c r="A284" s="329" t="inlineStr">
        <is>
          <t>Особая</t>
        </is>
      </c>
      <c r="B284" s="313" t="n"/>
      <c r="C284" s="313" t="n"/>
      <c r="D284" s="313" t="n"/>
      <c r="E284" s="313" t="n"/>
      <c r="F284" s="313" t="n"/>
      <c r="G284" s="313" t="n"/>
      <c r="H284" s="313" t="n"/>
      <c r="I284" s="313" t="n"/>
      <c r="J284" s="313" t="n"/>
      <c r="K284" s="313" t="n"/>
      <c r="L284" s="313" t="n"/>
      <c r="M284" s="313" t="n"/>
      <c r="N284" s="313" t="n"/>
      <c r="O284" s="313" t="n"/>
      <c r="P284" s="313" t="n"/>
      <c r="Q284" s="313" t="n"/>
      <c r="R284" s="313" t="n"/>
      <c r="S284" s="313" t="n"/>
      <c r="T284" s="313" t="n"/>
      <c r="U284" s="313" t="n"/>
      <c r="V284" s="313" t="n"/>
      <c r="W284" s="313" t="n"/>
      <c r="X284" s="313" t="n"/>
      <c r="Y284" s="329" t="n"/>
      <c r="Z284" s="329" t="n"/>
    </row>
    <row r="285" ht="14.25" customHeight="1">
      <c r="A285" s="330" t="inlineStr">
        <is>
          <t>Вареные колбасы</t>
        </is>
      </c>
      <c r="B285" s="313" t="n"/>
      <c r="C285" s="313" t="n"/>
      <c r="D285" s="313" t="n"/>
      <c r="E285" s="313" t="n"/>
      <c r="F285" s="313" t="n"/>
      <c r="G285" s="313" t="n"/>
      <c r="H285" s="313" t="n"/>
      <c r="I285" s="313" t="n"/>
      <c r="J285" s="313" t="n"/>
      <c r="K285" s="313" t="n"/>
      <c r="L285" s="313" t="n"/>
      <c r="M285" s="313" t="n"/>
      <c r="N285" s="313" t="n"/>
      <c r="O285" s="313" t="n"/>
      <c r="P285" s="313" t="n"/>
      <c r="Q285" s="313" t="n"/>
      <c r="R285" s="313" t="n"/>
      <c r="S285" s="313" t="n"/>
      <c r="T285" s="313" t="n"/>
      <c r="U285" s="313" t="n"/>
      <c r="V285" s="313" t="n"/>
      <c r="W285" s="313" t="n"/>
      <c r="X285" s="313" t="n"/>
      <c r="Y285" s="330" t="n"/>
      <c r="Z285" s="330" t="n"/>
    </row>
    <row r="286" ht="27" customHeight="1">
      <c r="A286" s="64" t="inlineStr">
        <is>
          <t>SU000251</t>
        </is>
      </c>
      <c r="B286" s="64" t="inlineStr">
        <is>
          <t>P002584</t>
        </is>
      </c>
      <c r="C286" s="37" t="n">
        <v>4301011339</v>
      </c>
      <c r="D286" s="325" t="n">
        <v>4607091383997</v>
      </c>
      <c r="E286" s="637" t="n"/>
      <c r="F286" s="669" t="n">
        <v>2.5</v>
      </c>
      <c r="G286" s="38" t="n">
        <v>6</v>
      </c>
      <c r="H286" s="669" t="n">
        <v>15</v>
      </c>
      <c r="I286" s="669" t="n">
        <v>15.48</v>
      </c>
      <c r="J286" s="38" t="n">
        <v>48</v>
      </c>
      <c r="K286" s="38" t="inlineStr">
        <is>
          <t>8</t>
        </is>
      </c>
      <c r="L286" s="39" t="inlineStr">
        <is>
          <t>СК2</t>
        </is>
      </c>
      <c r="M286" s="38" t="n">
        <v>60</v>
      </c>
      <c r="N286" s="828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O286" s="671" t="n"/>
      <c r="P286" s="671" t="n"/>
      <c r="Q286" s="671" t="n"/>
      <c r="R286" s="637" t="n"/>
      <c r="S286" s="40" t="inlineStr"/>
      <c r="T286" s="40" t="inlineStr"/>
      <c r="U286" s="41" t="inlineStr">
        <is>
          <t>кг</t>
        </is>
      </c>
      <c r="V286" s="672" t="n">
        <v>585</v>
      </c>
      <c r="W286" s="673">
        <f>IFERROR(IF(V286="",0,CEILING((V286/$H286),1)*$H286),"")</f>
        <v/>
      </c>
      <c r="X286" s="42">
        <f>IFERROR(IF(W286=0,"",ROUNDUP(W286/H286,0)*0.02175),"")</f>
        <v/>
      </c>
      <c r="Y286" s="69" t="inlineStr"/>
      <c r="Z286" s="70" t="inlineStr"/>
      <c r="AD286" s="71" t="n"/>
      <c r="BA286" s="224" t="inlineStr">
        <is>
          <t>КИ</t>
        </is>
      </c>
    </row>
    <row r="287" ht="27" customHeight="1">
      <c r="A287" s="64" t="inlineStr">
        <is>
          <t>SU000251</t>
        </is>
      </c>
      <c r="B287" s="64" t="inlineStr">
        <is>
          <t>P002581</t>
        </is>
      </c>
      <c r="C287" s="37" t="n">
        <v>4301011239</v>
      </c>
      <c r="D287" s="325" t="n">
        <v>4607091383997</v>
      </c>
      <c r="E287" s="637" t="n"/>
      <c r="F287" s="669" t="n">
        <v>2.5</v>
      </c>
      <c r="G287" s="38" t="n">
        <v>6</v>
      </c>
      <c r="H287" s="669" t="n">
        <v>15</v>
      </c>
      <c r="I287" s="669" t="n">
        <v>15.48</v>
      </c>
      <c r="J287" s="38" t="n">
        <v>48</v>
      </c>
      <c r="K287" s="38" t="inlineStr">
        <is>
          <t>8</t>
        </is>
      </c>
      <c r="L287" s="39" t="inlineStr">
        <is>
          <t>ВЗ</t>
        </is>
      </c>
      <c r="M287" s="38" t="n">
        <v>60</v>
      </c>
      <c r="N287" s="829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O287" s="671" t="n"/>
      <c r="P287" s="671" t="n"/>
      <c r="Q287" s="671" t="n"/>
      <c r="R287" s="637" t="n"/>
      <c r="S287" s="40" t="inlineStr"/>
      <c r="T287" s="40" t="inlineStr"/>
      <c r="U287" s="41" t="inlineStr">
        <is>
          <t>кг</t>
        </is>
      </c>
      <c r="V287" s="672" t="n">
        <v>0</v>
      </c>
      <c r="W287" s="673">
        <f>IFERROR(IF(V287="",0,CEILING((V287/$H287),1)*$H287),"")</f>
        <v/>
      </c>
      <c r="X287" s="42">
        <f>IFERROR(IF(W287=0,"",ROUNDUP(W287/H287,0)*0.02039),"")</f>
        <v/>
      </c>
      <c r="Y287" s="69" t="inlineStr"/>
      <c r="Z287" s="70" t="inlineStr"/>
      <c r="AD287" s="71" t="n"/>
      <c r="BA287" s="225" t="inlineStr">
        <is>
          <t>КИ</t>
        </is>
      </c>
    </row>
    <row r="288" ht="27" customHeight="1">
      <c r="A288" s="64" t="inlineStr">
        <is>
          <t>SU001578</t>
        </is>
      </c>
      <c r="B288" s="64" t="inlineStr">
        <is>
          <t>P002562</t>
        </is>
      </c>
      <c r="C288" s="37" t="n">
        <v>4301011326</v>
      </c>
      <c r="D288" s="325" t="n">
        <v>4607091384130</v>
      </c>
      <c r="E288" s="637" t="n"/>
      <c r="F288" s="669" t="n">
        <v>2.5</v>
      </c>
      <c r="G288" s="38" t="n">
        <v>6</v>
      </c>
      <c r="H288" s="669" t="n">
        <v>15</v>
      </c>
      <c r="I288" s="669" t="n">
        <v>15.48</v>
      </c>
      <c r="J288" s="38" t="n">
        <v>48</v>
      </c>
      <c r="K288" s="38" t="inlineStr">
        <is>
          <t>8</t>
        </is>
      </c>
      <c r="L288" s="39" t="inlineStr">
        <is>
          <t>СК2</t>
        </is>
      </c>
      <c r="M288" s="38" t="n">
        <v>60</v>
      </c>
      <c r="N288" s="830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O288" s="671" t="n"/>
      <c r="P288" s="671" t="n"/>
      <c r="Q288" s="671" t="n"/>
      <c r="R288" s="637" t="n"/>
      <c r="S288" s="40" t="inlineStr"/>
      <c r="T288" s="40" t="inlineStr"/>
      <c r="U288" s="41" t="inlineStr">
        <is>
          <t>кг</t>
        </is>
      </c>
      <c r="V288" s="672" t="n">
        <v>776</v>
      </c>
      <c r="W288" s="673">
        <f>IFERROR(IF(V288="",0,CEILING((V288/$H288),1)*$H288),"")</f>
        <v/>
      </c>
      <c r="X288" s="42">
        <f>IFERROR(IF(W288=0,"",ROUNDUP(W288/H288,0)*0.02175),"")</f>
        <v/>
      </c>
      <c r="Y288" s="69" t="inlineStr"/>
      <c r="Z288" s="70" t="inlineStr"/>
      <c r="AD288" s="71" t="n"/>
      <c r="BA288" s="226" t="inlineStr">
        <is>
          <t>КИ</t>
        </is>
      </c>
    </row>
    <row r="289" ht="27" customHeight="1">
      <c r="A289" s="64" t="inlineStr">
        <is>
          <t>SU001578</t>
        </is>
      </c>
      <c r="B289" s="64" t="inlineStr">
        <is>
          <t>P002582</t>
        </is>
      </c>
      <c r="C289" s="37" t="n">
        <v>4301011240</v>
      </c>
      <c r="D289" s="325" t="n">
        <v>4607091384130</v>
      </c>
      <c r="E289" s="637" t="n"/>
      <c r="F289" s="669" t="n">
        <v>2.5</v>
      </c>
      <c r="G289" s="38" t="n">
        <v>6</v>
      </c>
      <c r="H289" s="669" t="n">
        <v>15</v>
      </c>
      <c r="I289" s="669" t="n">
        <v>15.48</v>
      </c>
      <c r="J289" s="38" t="n">
        <v>48</v>
      </c>
      <c r="K289" s="38" t="inlineStr">
        <is>
          <t>8</t>
        </is>
      </c>
      <c r="L289" s="39" t="inlineStr">
        <is>
          <t>ВЗ</t>
        </is>
      </c>
      <c r="M289" s="38" t="n">
        <v>60</v>
      </c>
      <c r="N289" s="831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O289" s="671" t="n"/>
      <c r="P289" s="671" t="n"/>
      <c r="Q289" s="671" t="n"/>
      <c r="R289" s="637" t="n"/>
      <c r="S289" s="40" t="inlineStr"/>
      <c r="T289" s="40" t="inlineStr"/>
      <c r="U289" s="41" t="inlineStr">
        <is>
          <t>кг</t>
        </is>
      </c>
      <c r="V289" s="672" t="n">
        <v>0</v>
      </c>
      <c r="W289" s="673">
        <f>IFERROR(IF(V289="",0,CEILING((V289/$H289),1)*$H289),"")</f>
        <v/>
      </c>
      <c r="X289" s="42">
        <f>IFERROR(IF(W289=0,"",ROUNDUP(W289/H289,0)*0.02039),"")</f>
        <v/>
      </c>
      <c r="Y289" s="69" t="inlineStr"/>
      <c r="Z289" s="70" t="inlineStr"/>
      <c r="AD289" s="71" t="n"/>
      <c r="BA289" s="227" t="inlineStr">
        <is>
          <t>КИ</t>
        </is>
      </c>
    </row>
    <row r="290" ht="16.5" customHeight="1">
      <c r="A290" s="64" t="inlineStr">
        <is>
          <t>SU000102</t>
        </is>
      </c>
      <c r="B290" s="64" t="inlineStr">
        <is>
          <t>P002564</t>
        </is>
      </c>
      <c r="C290" s="37" t="n">
        <v>4301011330</v>
      </c>
      <c r="D290" s="325" t="n">
        <v>4607091384147</v>
      </c>
      <c r="E290" s="637" t="n"/>
      <c r="F290" s="669" t="n">
        <v>2.5</v>
      </c>
      <c r="G290" s="38" t="n">
        <v>6</v>
      </c>
      <c r="H290" s="669" t="n">
        <v>15</v>
      </c>
      <c r="I290" s="669" t="n">
        <v>15.48</v>
      </c>
      <c r="J290" s="38" t="n">
        <v>48</v>
      </c>
      <c r="K290" s="38" t="inlineStr">
        <is>
          <t>8</t>
        </is>
      </c>
      <c r="L290" s="39" t="inlineStr">
        <is>
          <t>СК2</t>
        </is>
      </c>
      <c r="M290" s="38" t="n">
        <v>60</v>
      </c>
      <c r="N290" s="832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O290" s="671" t="n"/>
      <c r="P290" s="671" t="n"/>
      <c r="Q290" s="671" t="n"/>
      <c r="R290" s="637" t="n"/>
      <c r="S290" s="40" t="inlineStr"/>
      <c r="T290" s="40" t="inlineStr"/>
      <c r="U290" s="41" t="inlineStr">
        <is>
          <t>кг</t>
        </is>
      </c>
      <c r="V290" s="672" t="n">
        <v>592</v>
      </c>
      <c r="W290" s="673">
        <f>IFERROR(IF(V290="",0,CEILING((V290/$H290),1)*$H290),"")</f>
        <v/>
      </c>
      <c r="X290" s="42">
        <f>IFERROR(IF(W290=0,"",ROUNDUP(W290/H290,0)*0.02175),"")</f>
        <v/>
      </c>
      <c r="Y290" s="69" t="inlineStr"/>
      <c r="Z290" s="70" t="inlineStr"/>
      <c r="AD290" s="71" t="n"/>
      <c r="BA290" s="228" t="inlineStr">
        <is>
          <t>КИ</t>
        </is>
      </c>
    </row>
    <row r="291" ht="16.5" customHeight="1">
      <c r="A291" s="64" t="inlineStr">
        <is>
          <t>SU000102</t>
        </is>
      </c>
      <c r="B291" s="64" t="inlineStr">
        <is>
          <t>P002580</t>
        </is>
      </c>
      <c r="C291" s="37" t="n">
        <v>4301011238</v>
      </c>
      <c r="D291" s="325" t="n">
        <v>4607091384147</v>
      </c>
      <c r="E291" s="637" t="n"/>
      <c r="F291" s="669" t="n">
        <v>2.5</v>
      </c>
      <c r="G291" s="38" t="n">
        <v>6</v>
      </c>
      <c r="H291" s="669" t="n">
        <v>15</v>
      </c>
      <c r="I291" s="669" t="n">
        <v>15.48</v>
      </c>
      <c r="J291" s="38" t="n">
        <v>48</v>
      </c>
      <c r="K291" s="38" t="inlineStr">
        <is>
          <t>8</t>
        </is>
      </c>
      <c r="L291" s="39" t="inlineStr">
        <is>
          <t>ВЗ</t>
        </is>
      </c>
      <c r="M291" s="38" t="n">
        <v>60</v>
      </c>
      <c r="N291" s="833" t="inlineStr">
        <is>
          <t>Вареные колбасы Особая Особая Весовые П/а Особый рецепт</t>
        </is>
      </c>
      <c r="O291" s="671" t="n"/>
      <c r="P291" s="671" t="n"/>
      <c r="Q291" s="671" t="n"/>
      <c r="R291" s="637" t="n"/>
      <c r="S291" s="40" t="inlineStr"/>
      <c r="T291" s="40" t="inlineStr"/>
      <c r="U291" s="41" t="inlineStr">
        <is>
          <t>кг</t>
        </is>
      </c>
      <c r="V291" s="672" t="n">
        <v>0</v>
      </c>
      <c r="W291" s="673">
        <f>IFERROR(IF(V291="",0,CEILING((V291/$H291),1)*$H291),"")</f>
        <v/>
      </c>
      <c r="X291" s="42">
        <f>IFERROR(IF(W291=0,"",ROUNDUP(W291/H291,0)*0.02039),"")</f>
        <v/>
      </c>
      <c r="Y291" s="69" t="inlineStr"/>
      <c r="Z291" s="70" t="inlineStr"/>
      <c r="AD291" s="71" t="n"/>
      <c r="BA291" s="229" t="inlineStr">
        <is>
          <t>КИ</t>
        </is>
      </c>
    </row>
    <row r="292" ht="27" customHeight="1">
      <c r="A292" s="64" t="inlineStr">
        <is>
          <t>SU001989</t>
        </is>
      </c>
      <c r="B292" s="64" t="inlineStr">
        <is>
          <t>P002560</t>
        </is>
      </c>
      <c r="C292" s="37" t="n">
        <v>4301011327</v>
      </c>
      <c r="D292" s="325" t="n">
        <v>4607091384154</v>
      </c>
      <c r="E292" s="637" t="n"/>
      <c r="F292" s="669" t="n">
        <v>0.5</v>
      </c>
      <c r="G292" s="38" t="n">
        <v>10</v>
      </c>
      <c r="H292" s="669" t="n">
        <v>5</v>
      </c>
      <c r="I292" s="669" t="n">
        <v>5.21</v>
      </c>
      <c r="J292" s="38" t="n">
        <v>120</v>
      </c>
      <c r="K292" s="38" t="inlineStr">
        <is>
          <t>12</t>
        </is>
      </c>
      <c r="L292" s="39" t="inlineStr">
        <is>
          <t>СК2</t>
        </is>
      </c>
      <c r="M292" s="38" t="n">
        <v>60</v>
      </c>
      <c r="N292" s="834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O292" s="671" t="n"/>
      <c r="P292" s="671" t="n"/>
      <c r="Q292" s="671" t="n"/>
      <c r="R292" s="637" t="n"/>
      <c r="S292" s="40" t="inlineStr"/>
      <c r="T292" s="40" t="inlineStr"/>
      <c r="U292" s="41" t="inlineStr">
        <is>
          <t>кг</t>
        </is>
      </c>
      <c r="V292" s="672" t="n">
        <v>0</v>
      </c>
      <c r="W292" s="673">
        <f>IFERROR(IF(V292="",0,CEILING((V292/$H292),1)*$H292),"")</f>
        <v/>
      </c>
      <c r="X292" s="42">
        <f>IFERROR(IF(W292=0,"",ROUNDUP(W292/H292,0)*0.00937),"")</f>
        <v/>
      </c>
      <c r="Y292" s="69" t="inlineStr"/>
      <c r="Z292" s="70" t="inlineStr"/>
      <c r="AD292" s="71" t="n"/>
      <c r="BA292" s="230" t="inlineStr">
        <is>
          <t>КИ</t>
        </is>
      </c>
    </row>
    <row r="293" ht="27" customHeight="1">
      <c r="A293" s="64" t="inlineStr">
        <is>
          <t>SU000256</t>
        </is>
      </c>
      <c r="B293" s="64" t="inlineStr">
        <is>
          <t>P002565</t>
        </is>
      </c>
      <c r="C293" s="37" t="n">
        <v>4301011332</v>
      </c>
      <c r="D293" s="325" t="n">
        <v>4607091384161</v>
      </c>
      <c r="E293" s="637" t="n"/>
      <c r="F293" s="669" t="n">
        <v>0.5</v>
      </c>
      <c r="G293" s="38" t="n">
        <v>10</v>
      </c>
      <c r="H293" s="669" t="n">
        <v>5</v>
      </c>
      <c r="I293" s="669" t="n">
        <v>5.21</v>
      </c>
      <c r="J293" s="38" t="n">
        <v>120</v>
      </c>
      <c r="K293" s="38" t="inlineStr">
        <is>
          <t>12</t>
        </is>
      </c>
      <c r="L293" s="39" t="inlineStr">
        <is>
          <t>СК2</t>
        </is>
      </c>
      <c r="M293" s="38" t="n">
        <v>60</v>
      </c>
      <c r="N293" s="835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O293" s="671" t="n"/>
      <c r="P293" s="671" t="n"/>
      <c r="Q293" s="671" t="n"/>
      <c r="R293" s="637" t="n"/>
      <c r="S293" s="40" t="inlineStr"/>
      <c r="T293" s="40" t="inlineStr"/>
      <c r="U293" s="41" t="inlineStr">
        <is>
          <t>кг</t>
        </is>
      </c>
      <c r="V293" s="672" t="n">
        <v>0</v>
      </c>
      <c r="W293" s="673">
        <f>IFERROR(IF(V293="",0,CEILING((V293/$H293),1)*$H293),"")</f>
        <v/>
      </c>
      <c r="X293" s="42">
        <f>IFERROR(IF(W293=0,"",ROUNDUP(W293/H293,0)*0.00937),"")</f>
        <v/>
      </c>
      <c r="Y293" s="69" t="inlineStr"/>
      <c r="Z293" s="70" t="inlineStr"/>
      <c r="AD293" s="71" t="n"/>
      <c r="BA293" s="231" t="inlineStr">
        <is>
          <t>КИ</t>
        </is>
      </c>
    </row>
    <row r="294">
      <c r="A294" s="320" t="n"/>
      <c r="B294" s="313" t="n"/>
      <c r="C294" s="313" t="n"/>
      <c r="D294" s="313" t="n"/>
      <c r="E294" s="313" t="n"/>
      <c r="F294" s="313" t="n"/>
      <c r="G294" s="313" t="n"/>
      <c r="H294" s="313" t="n"/>
      <c r="I294" s="313" t="n"/>
      <c r="J294" s="313" t="n"/>
      <c r="K294" s="313" t="n"/>
      <c r="L294" s="313" t="n"/>
      <c r="M294" s="674" t="n"/>
      <c r="N294" s="675" t="inlineStr">
        <is>
          <t>Итого</t>
        </is>
      </c>
      <c r="O294" s="645" t="n"/>
      <c r="P294" s="645" t="n"/>
      <c r="Q294" s="645" t="n"/>
      <c r="R294" s="645" t="n"/>
      <c r="S294" s="645" t="n"/>
      <c r="T294" s="646" t="n"/>
      <c r="U294" s="43" t="inlineStr">
        <is>
          <t>кор</t>
        </is>
      </c>
      <c r="V294" s="676">
        <f>IFERROR(V286/H286,"0")+IFERROR(V287/H287,"0")+IFERROR(V288/H288,"0")+IFERROR(V289/H289,"0")+IFERROR(V290/H290,"0")+IFERROR(V291/H291,"0")+IFERROR(V292/H292,"0")+IFERROR(V293/H293,"0")</f>
        <v/>
      </c>
      <c r="W294" s="676">
        <f>IFERROR(W286/H286,"0")+IFERROR(W287/H287,"0")+IFERROR(W288/H288,"0")+IFERROR(W289/H289,"0")+IFERROR(W290/H290,"0")+IFERROR(W291/H291,"0")+IFERROR(W292/H292,"0")+IFERROR(W293/H293,"0")</f>
        <v/>
      </c>
      <c r="X294" s="676">
        <f>IFERROR(IF(X286="",0,X286),"0")+IFERROR(IF(X287="",0,X287),"0")+IFERROR(IF(X288="",0,X288),"0")+IFERROR(IF(X289="",0,X289),"0")+IFERROR(IF(X290="",0,X290),"0")+IFERROR(IF(X291="",0,X291),"0")+IFERROR(IF(X292="",0,X292),"0")+IFERROR(IF(X293="",0,X293),"0")</f>
        <v/>
      </c>
      <c r="Y294" s="677" t="n"/>
      <c r="Z294" s="677" t="n"/>
    </row>
    <row r="295">
      <c r="A295" s="313" t="n"/>
      <c r="B295" s="313" t="n"/>
      <c r="C295" s="313" t="n"/>
      <c r="D295" s="313" t="n"/>
      <c r="E295" s="313" t="n"/>
      <c r="F295" s="313" t="n"/>
      <c r="G295" s="313" t="n"/>
      <c r="H295" s="313" t="n"/>
      <c r="I295" s="313" t="n"/>
      <c r="J295" s="313" t="n"/>
      <c r="K295" s="313" t="n"/>
      <c r="L295" s="313" t="n"/>
      <c r="M295" s="674" t="n"/>
      <c r="N295" s="675" t="inlineStr">
        <is>
          <t>Итого</t>
        </is>
      </c>
      <c r="O295" s="645" t="n"/>
      <c r="P295" s="645" t="n"/>
      <c r="Q295" s="645" t="n"/>
      <c r="R295" s="645" t="n"/>
      <c r="S295" s="645" t="n"/>
      <c r="T295" s="646" t="n"/>
      <c r="U295" s="43" t="inlineStr">
        <is>
          <t>кг</t>
        </is>
      </c>
      <c r="V295" s="676">
        <f>IFERROR(SUM(V286:V293),"0")</f>
        <v/>
      </c>
      <c r="W295" s="676">
        <f>IFERROR(SUM(W286:W293),"0")</f>
        <v/>
      </c>
      <c r="X295" s="43" t="n"/>
      <c r="Y295" s="677" t="n"/>
      <c r="Z295" s="677" t="n"/>
    </row>
    <row r="296" ht="14.25" customHeight="1">
      <c r="A296" s="330" t="inlineStr">
        <is>
          <t>Ветчины</t>
        </is>
      </c>
      <c r="B296" s="313" t="n"/>
      <c r="C296" s="313" t="n"/>
      <c r="D296" s="313" t="n"/>
      <c r="E296" s="313" t="n"/>
      <c r="F296" s="313" t="n"/>
      <c r="G296" s="313" t="n"/>
      <c r="H296" s="313" t="n"/>
      <c r="I296" s="313" t="n"/>
      <c r="J296" s="313" t="n"/>
      <c r="K296" s="313" t="n"/>
      <c r="L296" s="313" t="n"/>
      <c r="M296" s="313" t="n"/>
      <c r="N296" s="313" t="n"/>
      <c r="O296" s="313" t="n"/>
      <c r="P296" s="313" t="n"/>
      <c r="Q296" s="313" t="n"/>
      <c r="R296" s="313" t="n"/>
      <c r="S296" s="313" t="n"/>
      <c r="T296" s="313" t="n"/>
      <c r="U296" s="313" t="n"/>
      <c r="V296" s="313" t="n"/>
      <c r="W296" s="313" t="n"/>
      <c r="X296" s="313" t="n"/>
      <c r="Y296" s="330" t="n"/>
      <c r="Z296" s="330" t="n"/>
    </row>
    <row r="297" ht="27" customHeight="1">
      <c r="A297" s="64" t="inlineStr">
        <is>
          <t>SU000126</t>
        </is>
      </c>
      <c r="B297" s="64" t="inlineStr">
        <is>
          <t>P002555</t>
        </is>
      </c>
      <c r="C297" s="37" t="n">
        <v>4301020178</v>
      </c>
      <c r="D297" s="325" t="n">
        <v>4607091383980</v>
      </c>
      <c r="E297" s="637" t="n"/>
      <c r="F297" s="669" t="n">
        <v>2.5</v>
      </c>
      <c r="G297" s="38" t="n">
        <v>6</v>
      </c>
      <c r="H297" s="669" t="n">
        <v>15</v>
      </c>
      <c r="I297" s="669" t="n">
        <v>15.48</v>
      </c>
      <c r="J297" s="38" t="n">
        <v>48</v>
      </c>
      <c r="K297" s="38" t="inlineStr">
        <is>
          <t>8</t>
        </is>
      </c>
      <c r="L297" s="39" t="inlineStr">
        <is>
          <t>СК1</t>
        </is>
      </c>
      <c r="M297" s="38" t="n">
        <v>50</v>
      </c>
      <c r="N297" s="836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O297" s="671" t="n"/>
      <c r="P297" s="671" t="n"/>
      <c r="Q297" s="671" t="n"/>
      <c r="R297" s="637" t="n"/>
      <c r="S297" s="40" t="inlineStr"/>
      <c r="T297" s="40" t="inlineStr"/>
      <c r="U297" s="41" t="inlineStr">
        <is>
          <t>кг</t>
        </is>
      </c>
      <c r="V297" s="672" t="n">
        <v>1012</v>
      </c>
      <c r="W297" s="673">
        <f>IFERROR(IF(V297="",0,CEILING((V297/$H297),1)*$H297),"")</f>
        <v/>
      </c>
      <c r="X297" s="42">
        <f>IFERROR(IF(W297=0,"",ROUNDUP(W297/H297,0)*0.02175),"")</f>
        <v/>
      </c>
      <c r="Y297" s="69" t="inlineStr"/>
      <c r="Z297" s="70" t="inlineStr"/>
      <c r="AD297" s="71" t="n"/>
      <c r="BA297" s="232" t="inlineStr">
        <is>
          <t>КИ</t>
        </is>
      </c>
    </row>
    <row r="298" ht="16.5" customHeight="1">
      <c r="A298" s="64" t="inlineStr">
        <is>
          <t>SU003121</t>
        </is>
      </c>
      <c r="B298" s="64" t="inlineStr">
        <is>
          <t>P003715</t>
        </is>
      </c>
      <c r="C298" s="37" t="n">
        <v>4301020270</v>
      </c>
      <c r="D298" s="325" t="n">
        <v>4680115883314</v>
      </c>
      <c r="E298" s="637" t="n"/>
      <c r="F298" s="669" t="n">
        <v>1.35</v>
      </c>
      <c r="G298" s="38" t="n">
        <v>8</v>
      </c>
      <c r="H298" s="669" t="n">
        <v>10.8</v>
      </c>
      <c r="I298" s="669" t="n">
        <v>11.28</v>
      </c>
      <c r="J298" s="38" t="n">
        <v>56</v>
      </c>
      <c r="K298" s="38" t="inlineStr">
        <is>
          <t>8</t>
        </is>
      </c>
      <c r="L298" s="39" t="inlineStr">
        <is>
          <t>СК3</t>
        </is>
      </c>
      <c r="M298" s="38" t="n">
        <v>50</v>
      </c>
      <c r="N298" s="837" t="inlineStr">
        <is>
          <t>Ветчины «Славница» Весовой п/а ТМ «Особый рецепт»</t>
        </is>
      </c>
      <c r="O298" s="671" t="n"/>
      <c r="P298" s="671" t="n"/>
      <c r="Q298" s="671" t="n"/>
      <c r="R298" s="637" t="n"/>
      <c r="S298" s="40" t="inlineStr"/>
      <c r="T298" s="40" t="inlineStr"/>
      <c r="U298" s="41" t="inlineStr">
        <is>
          <t>кг</t>
        </is>
      </c>
      <c r="V298" s="672" t="n">
        <v>0</v>
      </c>
      <c r="W298" s="673">
        <f>IFERROR(IF(V298="",0,CEILING((V298/$H298),1)*$H298),"")</f>
        <v/>
      </c>
      <c r="X298" s="42">
        <f>IFERROR(IF(W298=0,"",ROUNDUP(W298/H298,0)*0.02175),"")</f>
        <v/>
      </c>
      <c r="Y298" s="69" t="inlineStr"/>
      <c r="Z298" s="70" t="inlineStr"/>
      <c r="AD298" s="71" t="n"/>
      <c r="BA298" s="233" t="inlineStr">
        <is>
          <t>КИ</t>
        </is>
      </c>
    </row>
    <row r="299" ht="27" customHeight="1">
      <c r="A299" s="64" t="inlineStr">
        <is>
          <t>SU002027</t>
        </is>
      </c>
      <c r="B299" s="64" t="inlineStr">
        <is>
          <t>P002556</t>
        </is>
      </c>
      <c r="C299" s="37" t="n">
        <v>4301020179</v>
      </c>
      <c r="D299" s="325" t="n">
        <v>4607091384178</v>
      </c>
      <c r="E299" s="637" t="n"/>
      <c r="F299" s="669" t="n">
        <v>0.4</v>
      </c>
      <c r="G299" s="38" t="n">
        <v>10</v>
      </c>
      <c r="H299" s="669" t="n">
        <v>4</v>
      </c>
      <c r="I299" s="669" t="n">
        <v>4.24</v>
      </c>
      <c r="J299" s="38" t="n">
        <v>120</v>
      </c>
      <c r="K299" s="38" t="inlineStr">
        <is>
          <t>12</t>
        </is>
      </c>
      <c r="L299" s="39" t="inlineStr">
        <is>
          <t>СК1</t>
        </is>
      </c>
      <c r="M299" s="38" t="n">
        <v>50</v>
      </c>
      <c r="N299" s="838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O299" s="671" t="n"/>
      <c r="P299" s="671" t="n"/>
      <c r="Q299" s="671" t="n"/>
      <c r="R299" s="637" t="n"/>
      <c r="S299" s="40" t="inlineStr"/>
      <c r="T299" s="40" t="inlineStr"/>
      <c r="U299" s="41" t="inlineStr">
        <is>
          <t>кг</t>
        </is>
      </c>
      <c r="V299" s="672" t="n">
        <v>0</v>
      </c>
      <c r="W299" s="673">
        <f>IFERROR(IF(V299="",0,CEILING((V299/$H299),1)*$H299),"")</f>
        <v/>
      </c>
      <c r="X299" s="42">
        <f>IFERROR(IF(W299=0,"",ROUNDUP(W299/H299,0)*0.00937),"")</f>
        <v/>
      </c>
      <c r="Y299" s="69" t="inlineStr"/>
      <c r="Z299" s="70" t="inlineStr"/>
      <c r="AD299" s="71" t="n"/>
      <c r="BA299" s="234" t="inlineStr">
        <is>
          <t>КИ</t>
        </is>
      </c>
    </row>
    <row r="300">
      <c r="A300" s="320" t="n"/>
      <c r="B300" s="313" t="n"/>
      <c r="C300" s="313" t="n"/>
      <c r="D300" s="313" t="n"/>
      <c r="E300" s="313" t="n"/>
      <c r="F300" s="313" t="n"/>
      <c r="G300" s="313" t="n"/>
      <c r="H300" s="313" t="n"/>
      <c r="I300" s="313" t="n"/>
      <c r="J300" s="313" t="n"/>
      <c r="K300" s="313" t="n"/>
      <c r="L300" s="313" t="n"/>
      <c r="M300" s="674" t="n"/>
      <c r="N300" s="675" t="inlineStr">
        <is>
          <t>Итого</t>
        </is>
      </c>
      <c r="O300" s="645" t="n"/>
      <c r="P300" s="645" t="n"/>
      <c r="Q300" s="645" t="n"/>
      <c r="R300" s="645" t="n"/>
      <c r="S300" s="645" t="n"/>
      <c r="T300" s="646" t="n"/>
      <c r="U300" s="43" t="inlineStr">
        <is>
          <t>кор</t>
        </is>
      </c>
      <c r="V300" s="676">
        <f>IFERROR(V297/H297,"0")+IFERROR(V298/H298,"0")+IFERROR(V299/H299,"0")</f>
        <v/>
      </c>
      <c r="W300" s="676">
        <f>IFERROR(W297/H297,"0")+IFERROR(W298/H298,"0")+IFERROR(W299/H299,"0")</f>
        <v/>
      </c>
      <c r="X300" s="676">
        <f>IFERROR(IF(X297="",0,X297),"0")+IFERROR(IF(X298="",0,X298),"0")+IFERROR(IF(X299="",0,X299),"0")</f>
        <v/>
      </c>
      <c r="Y300" s="677" t="n"/>
      <c r="Z300" s="677" t="n"/>
    </row>
    <row r="301">
      <c r="A301" s="313" t="n"/>
      <c r="B301" s="313" t="n"/>
      <c r="C301" s="313" t="n"/>
      <c r="D301" s="313" t="n"/>
      <c r="E301" s="313" t="n"/>
      <c r="F301" s="313" t="n"/>
      <c r="G301" s="313" t="n"/>
      <c r="H301" s="313" t="n"/>
      <c r="I301" s="313" t="n"/>
      <c r="J301" s="313" t="n"/>
      <c r="K301" s="313" t="n"/>
      <c r="L301" s="313" t="n"/>
      <c r="M301" s="674" t="n"/>
      <c r="N301" s="675" t="inlineStr">
        <is>
          <t>Итого</t>
        </is>
      </c>
      <c r="O301" s="645" t="n"/>
      <c r="P301" s="645" t="n"/>
      <c r="Q301" s="645" t="n"/>
      <c r="R301" s="645" t="n"/>
      <c r="S301" s="645" t="n"/>
      <c r="T301" s="646" t="n"/>
      <c r="U301" s="43" t="inlineStr">
        <is>
          <t>кг</t>
        </is>
      </c>
      <c r="V301" s="676">
        <f>IFERROR(SUM(V297:V299),"0")</f>
        <v/>
      </c>
      <c r="W301" s="676">
        <f>IFERROR(SUM(W297:W299),"0")</f>
        <v/>
      </c>
      <c r="X301" s="43" t="n"/>
      <c r="Y301" s="677" t="n"/>
      <c r="Z301" s="677" t="n"/>
    </row>
    <row r="302" ht="14.25" customHeight="1">
      <c r="A302" s="330" t="inlineStr">
        <is>
          <t>Сосиски</t>
        </is>
      </c>
      <c r="B302" s="313" t="n"/>
      <c r="C302" s="313" t="n"/>
      <c r="D302" s="313" t="n"/>
      <c r="E302" s="313" t="n"/>
      <c r="F302" s="313" t="n"/>
      <c r="G302" s="313" t="n"/>
      <c r="H302" s="313" t="n"/>
      <c r="I302" s="313" t="n"/>
      <c r="J302" s="313" t="n"/>
      <c r="K302" s="313" t="n"/>
      <c r="L302" s="313" t="n"/>
      <c r="M302" s="313" t="n"/>
      <c r="N302" s="313" t="n"/>
      <c r="O302" s="313" t="n"/>
      <c r="P302" s="313" t="n"/>
      <c r="Q302" s="313" t="n"/>
      <c r="R302" s="313" t="n"/>
      <c r="S302" s="313" t="n"/>
      <c r="T302" s="313" t="n"/>
      <c r="U302" s="313" t="n"/>
      <c r="V302" s="313" t="n"/>
      <c r="W302" s="313" t="n"/>
      <c r="X302" s="313" t="n"/>
      <c r="Y302" s="330" t="n"/>
      <c r="Z302" s="330" t="n"/>
    </row>
    <row r="303" ht="27" customHeight="1">
      <c r="A303" s="64" t="inlineStr">
        <is>
          <t>SU000246</t>
        </is>
      </c>
      <c r="B303" s="64" t="inlineStr">
        <is>
          <t>P002690</t>
        </is>
      </c>
      <c r="C303" s="37" t="n">
        <v>4301051298</v>
      </c>
      <c r="D303" s="325" t="n">
        <v>4607091384260</v>
      </c>
      <c r="E303" s="637" t="n"/>
      <c r="F303" s="669" t="n">
        <v>1.3</v>
      </c>
      <c r="G303" s="38" t="n">
        <v>6</v>
      </c>
      <c r="H303" s="669" t="n">
        <v>7.8</v>
      </c>
      <c r="I303" s="669" t="n">
        <v>8.364000000000001</v>
      </c>
      <c r="J303" s="38" t="n">
        <v>56</v>
      </c>
      <c r="K303" s="38" t="inlineStr">
        <is>
          <t>8</t>
        </is>
      </c>
      <c r="L303" s="39" t="inlineStr">
        <is>
          <t>СК2</t>
        </is>
      </c>
      <c r="M303" s="38" t="n">
        <v>35</v>
      </c>
      <c r="N303" s="839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O303" s="671" t="n"/>
      <c r="P303" s="671" t="n"/>
      <c r="Q303" s="671" t="n"/>
      <c r="R303" s="637" t="n"/>
      <c r="S303" s="40" t="inlineStr"/>
      <c r="T303" s="40" t="inlineStr"/>
      <c r="U303" s="41" t="inlineStr">
        <is>
          <t>кг</t>
        </is>
      </c>
      <c r="V303" s="672" t="n">
        <v>0</v>
      </c>
      <c r="W303" s="673">
        <f>IFERROR(IF(V303="",0,CEILING((V303/$H303),1)*$H303),"")</f>
        <v/>
      </c>
      <c r="X303" s="42">
        <f>IFERROR(IF(W303=0,"",ROUNDUP(W303/H303,0)*0.02175),"")</f>
        <v/>
      </c>
      <c r="Y303" s="69" t="inlineStr"/>
      <c r="Z303" s="70" t="inlineStr"/>
      <c r="AD303" s="71" t="n"/>
      <c r="BA303" s="235" t="inlineStr">
        <is>
          <t>КИ</t>
        </is>
      </c>
    </row>
    <row r="304">
      <c r="A304" s="320" t="n"/>
      <c r="B304" s="313" t="n"/>
      <c r="C304" s="313" t="n"/>
      <c r="D304" s="313" t="n"/>
      <c r="E304" s="313" t="n"/>
      <c r="F304" s="313" t="n"/>
      <c r="G304" s="313" t="n"/>
      <c r="H304" s="313" t="n"/>
      <c r="I304" s="313" t="n"/>
      <c r="J304" s="313" t="n"/>
      <c r="K304" s="313" t="n"/>
      <c r="L304" s="313" t="n"/>
      <c r="M304" s="674" t="n"/>
      <c r="N304" s="675" t="inlineStr">
        <is>
          <t>Итого</t>
        </is>
      </c>
      <c r="O304" s="645" t="n"/>
      <c r="P304" s="645" t="n"/>
      <c r="Q304" s="645" t="n"/>
      <c r="R304" s="645" t="n"/>
      <c r="S304" s="645" t="n"/>
      <c r="T304" s="646" t="n"/>
      <c r="U304" s="43" t="inlineStr">
        <is>
          <t>кор</t>
        </is>
      </c>
      <c r="V304" s="676">
        <f>IFERROR(V303/H303,"0")</f>
        <v/>
      </c>
      <c r="W304" s="676">
        <f>IFERROR(W303/H303,"0")</f>
        <v/>
      </c>
      <c r="X304" s="676">
        <f>IFERROR(IF(X303="",0,X303),"0")</f>
        <v/>
      </c>
      <c r="Y304" s="677" t="n"/>
      <c r="Z304" s="677" t="n"/>
    </row>
    <row r="305">
      <c r="A305" s="313" t="n"/>
      <c r="B305" s="313" t="n"/>
      <c r="C305" s="313" t="n"/>
      <c r="D305" s="313" t="n"/>
      <c r="E305" s="313" t="n"/>
      <c r="F305" s="313" t="n"/>
      <c r="G305" s="313" t="n"/>
      <c r="H305" s="313" t="n"/>
      <c r="I305" s="313" t="n"/>
      <c r="J305" s="313" t="n"/>
      <c r="K305" s="313" t="n"/>
      <c r="L305" s="313" t="n"/>
      <c r="M305" s="674" t="n"/>
      <c r="N305" s="675" t="inlineStr">
        <is>
          <t>Итого</t>
        </is>
      </c>
      <c r="O305" s="645" t="n"/>
      <c r="P305" s="645" t="n"/>
      <c r="Q305" s="645" t="n"/>
      <c r="R305" s="645" t="n"/>
      <c r="S305" s="645" t="n"/>
      <c r="T305" s="646" t="n"/>
      <c r="U305" s="43" t="inlineStr">
        <is>
          <t>кг</t>
        </is>
      </c>
      <c r="V305" s="676">
        <f>IFERROR(SUM(V303:V303),"0")</f>
        <v/>
      </c>
      <c r="W305" s="676">
        <f>IFERROR(SUM(W303:W303),"0")</f>
        <v/>
      </c>
      <c r="X305" s="43" t="n"/>
      <c r="Y305" s="677" t="n"/>
      <c r="Z305" s="677" t="n"/>
    </row>
    <row r="306" ht="14.25" customHeight="1">
      <c r="A306" s="330" t="inlineStr">
        <is>
          <t>Сардельки</t>
        </is>
      </c>
      <c r="B306" s="313" t="n"/>
      <c r="C306" s="313" t="n"/>
      <c r="D306" s="313" t="n"/>
      <c r="E306" s="313" t="n"/>
      <c r="F306" s="313" t="n"/>
      <c r="G306" s="313" t="n"/>
      <c r="H306" s="313" t="n"/>
      <c r="I306" s="313" t="n"/>
      <c r="J306" s="313" t="n"/>
      <c r="K306" s="313" t="n"/>
      <c r="L306" s="313" t="n"/>
      <c r="M306" s="313" t="n"/>
      <c r="N306" s="313" t="n"/>
      <c r="O306" s="313" t="n"/>
      <c r="P306" s="313" t="n"/>
      <c r="Q306" s="313" t="n"/>
      <c r="R306" s="313" t="n"/>
      <c r="S306" s="313" t="n"/>
      <c r="T306" s="313" t="n"/>
      <c r="U306" s="313" t="n"/>
      <c r="V306" s="313" t="n"/>
      <c r="W306" s="313" t="n"/>
      <c r="X306" s="313" t="n"/>
      <c r="Y306" s="330" t="n"/>
      <c r="Z306" s="330" t="n"/>
    </row>
    <row r="307" ht="16.5" customHeight="1">
      <c r="A307" s="64" t="inlineStr">
        <is>
          <t>SU002287</t>
        </is>
      </c>
      <c r="B307" s="64" t="inlineStr">
        <is>
          <t>P002490</t>
        </is>
      </c>
      <c r="C307" s="37" t="n">
        <v>4301060314</v>
      </c>
      <c r="D307" s="325" t="n">
        <v>4607091384673</v>
      </c>
      <c r="E307" s="637" t="n"/>
      <c r="F307" s="669" t="n">
        <v>1.3</v>
      </c>
      <c r="G307" s="38" t="n">
        <v>6</v>
      </c>
      <c r="H307" s="669" t="n">
        <v>7.8</v>
      </c>
      <c r="I307" s="669" t="n">
        <v>8.364000000000001</v>
      </c>
      <c r="J307" s="38" t="n">
        <v>56</v>
      </c>
      <c r="K307" s="38" t="inlineStr">
        <is>
          <t>8</t>
        </is>
      </c>
      <c r="L307" s="39" t="inlineStr">
        <is>
          <t>СК2</t>
        </is>
      </c>
      <c r="M307" s="38" t="n">
        <v>30</v>
      </c>
      <c r="N307" s="840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O307" s="671" t="n"/>
      <c r="P307" s="671" t="n"/>
      <c r="Q307" s="671" t="n"/>
      <c r="R307" s="637" t="n"/>
      <c r="S307" s="40" t="inlineStr"/>
      <c r="T307" s="40" t="inlineStr"/>
      <c r="U307" s="41" t="inlineStr">
        <is>
          <t>кг</t>
        </is>
      </c>
      <c r="V307" s="672" t="n">
        <v>52</v>
      </c>
      <c r="W307" s="673">
        <f>IFERROR(IF(V307="",0,CEILING((V307/$H307),1)*$H307),"")</f>
        <v/>
      </c>
      <c r="X307" s="42">
        <f>IFERROR(IF(W307=0,"",ROUNDUP(W307/H307,0)*0.02175),"")</f>
        <v/>
      </c>
      <c r="Y307" s="69" t="inlineStr"/>
      <c r="Z307" s="70" t="inlineStr"/>
      <c r="AD307" s="71" t="n"/>
      <c r="BA307" s="236" t="inlineStr">
        <is>
          <t>КИ</t>
        </is>
      </c>
    </row>
    <row r="308">
      <c r="A308" s="320" t="n"/>
      <c r="B308" s="313" t="n"/>
      <c r="C308" s="313" t="n"/>
      <c r="D308" s="313" t="n"/>
      <c r="E308" s="313" t="n"/>
      <c r="F308" s="313" t="n"/>
      <c r="G308" s="313" t="n"/>
      <c r="H308" s="313" t="n"/>
      <c r="I308" s="313" t="n"/>
      <c r="J308" s="313" t="n"/>
      <c r="K308" s="313" t="n"/>
      <c r="L308" s="313" t="n"/>
      <c r="M308" s="674" t="n"/>
      <c r="N308" s="675" t="inlineStr">
        <is>
          <t>Итого</t>
        </is>
      </c>
      <c r="O308" s="645" t="n"/>
      <c r="P308" s="645" t="n"/>
      <c r="Q308" s="645" t="n"/>
      <c r="R308" s="645" t="n"/>
      <c r="S308" s="645" t="n"/>
      <c r="T308" s="646" t="n"/>
      <c r="U308" s="43" t="inlineStr">
        <is>
          <t>кор</t>
        </is>
      </c>
      <c r="V308" s="676">
        <f>IFERROR(V307/H307,"0")</f>
        <v/>
      </c>
      <c r="W308" s="676">
        <f>IFERROR(W307/H307,"0")</f>
        <v/>
      </c>
      <c r="X308" s="676">
        <f>IFERROR(IF(X307="",0,X307),"0")</f>
        <v/>
      </c>
      <c r="Y308" s="677" t="n"/>
      <c r="Z308" s="677" t="n"/>
    </row>
    <row r="309">
      <c r="A309" s="313" t="n"/>
      <c r="B309" s="313" t="n"/>
      <c r="C309" s="313" t="n"/>
      <c r="D309" s="313" t="n"/>
      <c r="E309" s="313" t="n"/>
      <c r="F309" s="313" t="n"/>
      <c r="G309" s="313" t="n"/>
      <c r="H309" s="313" t="n"/>
      <c r="I309" s="313" t="n"/>
      <c r="J309" s="313" t="n"/>
      <c r="K309" s="313" t="n"/>
      <c r="L309" s="313" t="n"/>
      <c r="M309" s="674" t="n"/>
      <c r="N309" s="675" t="inlineStr">
        <is>
          <t>Итого</t>
        </is>
      </c>
      <c r="O309" s="645" t="n"/>
      <c r="P309" s="645" t="n"/>
      <c r="Q309" s="645" t="n"/>
      <c r="R309" s="645" t="n"/>
      <c r="S309" s="645" t="n"/>
      <c r="T309" s="646" t="n"/>
      <c r="U309" s="43" t="inlineStr">
        <is>
          <t>кг</t>
        </is>
      </c>
      <c r="V309" s="676">
        <f>IFERROR(SUM(V307:V307),"0")</f>
        <v/>
      </c>
      <c r="W309" s="676">
        <f>IFERROR(SUM(W307:W307),"0")</f>
        <v/>
      </c>
      <c r="X309" s="43" t="n"/>
      <c r="Y309" s="677" t="n"/>
      <c r="Z309" s="677" t="n"/>
    </row>
    <row r="310" ht="16.5" customHeight="1">
      <c r="A310" s="329" t="inlineStr">
        <is>
          <t>Особая Без свинины</t>
        </is>
      </c>
      <c r="B310" s="313" t="n"/>
      <c r="C310" s="313" t="n"/>
      <c r="D310" s="313" t="n"/>
      <c r="E310" s="313" t="n"/>
      <c r="F310" s="313" t="n"/>
      <c r="G310" s="313" t="n"/>
      <c r="H310" s="313" t="n"/>
      <c r="I310" s="313" t="n"/>
      <c r="J310" s="313" t="n"/>
      <c r="K310" s="313" t="n"/>
      <c r="L310" s="313" t="n"/>
      <c r="M310" s="313" t="n"/>
      <c r="N310" s="313" t="n"/>
      <c r="O310" s="313" t="n"/>
      <c r="P310" s="313" t="n"/>
      <c r="Q310" s="313" t="n"/>
      <c r="R310" s="313" t="n"/>
      <c r="S310" s="313" t="n"/>
      <c r="T310" s="313" t="n"/>
      <c r="U310" s="313" t="n"/>
      <c r="V310" s="313" t="n"/>
      <c r="W310" s="313" t="n"/>
      <c r="X310" s="313" t="n"/>
      <c r="Y310" s="329" t="n"/>
      <c r="Z310" s="329" t="n"/>
    </row>
    <row r="311" ht="14.25" customHeight="1">
      <c r="A311" s="330" t="inlineStr">
        <is>
          <t>Вареные колбасы</t>
        </is>
      </c>
      <c r="B311" s="313" t="n"/>
      <c r="C311" s="313" t="n"/>
      <c r="D311" s="313" t="n"/>
      <c r="E311" s="313" t="n"/>
      <c r="F311" s="313" t="n"/>
      <c r="G311" s="313" t="n"/>
      <c r="H311" s="313" t="n"/>
      <c r="I311" s="313" t="n"/>
      <c r="J311" s="313" t="n"/>
      <c r="K311" s="313" t="n"/>
      <c r="L311" s="313" t="n"/>
      <c r="M311" s="313" t="n"/>
      <c r="N311" s="313" t="n"/>
      <c r="O311" s="313" t="n"/>
      <c r="P311" s="313" t="n"/>
      <c r="Q311" s="313" t="n"/>
      <c r="R311" s="313" t="n"/>
      <c r="S311" s="313" t="n"/>
      <c r="T311" s="313" t="n"/>
      <c r="U311" s="313" t="n"/>
      <c r="V311" s="313" t="n"/>
      <c r="W311" s="313" t="n"/>
      <c r="X311" s="313" t="n"/>
      <c r="Y311" s="330" t="n"/>
      <c r="Z311" s="330" t="n"/>
    </row>
    <row r="312" ht="27" customHeight="1">
      <c r="A312" s="64" t="inlineStr">
        <is>
          <t>SU002073</t>
        </is>
      </c>
      <c r="B312" s="64" t="inlineStr">
        <is>
          <t>P002563</t>
        </is>
      </c>
      <c r="C312" s="37" t="n">
        <v>4301011324</v>
      </c>
      <c r="D312" s="325" t="n">
        <v>4607091384185</v>
      </c>
      <c r="E312" s="637" t="n"/>
      <c r="F312" s="669" t="n">
        <v>0.8</v>
      </c>
      <c r="G312" s="38" t="n">
        <v>15</v>
      </c>
      <c r="H312" s="669" t="n">
        <v>12</v>
      </c>
      <c r="I312" s="669" t="n">
        <v>12.48</v>
      </c>
      <c r="J312" s="38" t="n">
        <v>56</v>
      </c>
      <c r="K312" s="38" t="inlineStr">
        <is>
          <t>8</t>
        </is>
      </c>
      <c r="L312" s="39" t="inlineStr">
        <is>
          <t>СК2</t>
        </is>
      </c>
      <c r="M312" s="38" t="n">
        <v>60</v>
      </c>
      <c r="N312" s="841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O312" s="671" t="n"/>
      <c r="P312" s="671" t="n"/>
      <c r="Q312" s="671" t="n"/>
      <c r="R312" s="637" t="n"/>
      <c r="S312" s="40" t="inlineStr"/>
      <c r="T312" s="40" t="inlineStr"/>
      <c r="U312" s="41" t="inlineStr">
        <is>
          <t>кг</t>
        </is>
      </c>
      <c r="V312" s="672" t="n">
        <v>19</v>
      </c>
      <c r="W312" s="673">
        <f>IFERROR(IF(V312="",0,CEILING((V312/$H312),1)*$H312),"")</f>
        <v/>
      </c>
      <c r="X312" s="42">
        <f>IFERROR(IF(W312=0,"",ROUNDUP(W312/H312,0)*0.02175),"")</f>
        <v/>
      </c>
      <c r="Y312" s="69" t="inlineStr"/>
      <c r="Z312" s="70" t="inlineStr"/>
      <c r="AD312" s="71" t="n"/>
      <c r="BA312" s="237" t="inlineStr">
        <is>
          <t>КИ</t>
        </is>
      </c>
    </row>
    <row r="313" ht="27" customHeight="1">
      <c r="A313" s="64" t="inlineStr">
        <is>
          <t>SU002187</t>
        </is>
      </c>
      <c r="B313" s="64" t="inlineStr">
        <is>
          <t>P002559</t>
        </is>
      </c>
      <c r="C313" s="37" t="n">
        <v>4301011312</v>
      </c>
      <c r="D313" s="325" t="n">
        <v>4607091384192</v>
      </c>
      <c r="E313" s="637" t="n"/>
      <c r="F313" s="669" t="n">
        <v>1.8</v>
      </c>
      <c r="G313" s="38" t="n">
        <v>6</v>
      </c>
      <c r="H313" s="669" t="n">
        <v>10.8</v>
      </c>
      <c r="I313" s="669" t="n">
        <v>11.28</v>
      </c>
      <c r="J313" s="38" t="n">
        <v>56</v>
      </c>
      <c r="K313" s="38" t="inlineStr">
        <is>
          <t>8</t>
        </is>
      </c>
      <c r="L313" s="39" t="inlineStr">
        <is>
          <t>СК1</t>
        </is>
      </c>
      <c r="M313" s="38" t="n">
        <v>60</v>
      </c>
      <c r="N313" s="842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O313" s="671" t="n"/>
      <c r="P313" s="671" t="n"/>
      <c r="Q313" s="671" t="n"/>
      <c r="R313" s="637" t="n"/>
      <c r="S313" s="40" t="inlineStr"/>
      <c r="T313" s="40" t="inlineStr"/>
      <c r="U313" s="41" t="inlineStr">
        <is>
          <t>кг</t>
        </is>
      </c>
      <c r="V313" s="672" t="n">
        <v>0</v>
      </c>
      <c r="W313" s="673">
        <f>IFERROR(IF(V313="",0,CEILING((V313/$H313),1)*$H313),"")</f>
        <v/>
      </c>
      <c r="X313" s="42">
        <f>IFERROR(IF(W313=0,"",ROUNDUP(W313/H313,0)*0.02175),"")</f>
        <v/>
      </c>
      <c r="Y313" s="69" t="inlineStr"/>
      <c r="Z313" s="70" t="inlineStr"/>
      <c r="AD313" s="71" t="n"/>
      <c r="BA313" s="238" t="inlineStr">
        <is>
          <t>КИ</t>
        </is>
      </c>
    </row>
    <row r="314" ht="27" customHeight="1">
      <c r="A314" s="64" t="inlineStr">
        <is>
          <t>SU002899</t>
        </is>
      </c>
      <c r="B314" s="64" t="inlineStr">
        <is>
          <t>P003323</t>
        </is>
      </c>
      <c r="C314" s="37" t="n">
        <v>4301011483</v>
      </c>
      <c r="D314" s="325" t="n">
        <v>4680115881907</v>
      </c>
      <c r="E314" s="637" t="n"/>
      <c r="F314" s="669" t="n">
        <v>1.8</v>
      </c>
      <c r="G314" s="38" t="n">
        <v>6</v>
      </c>
      <c r="H314" s="669" t="n">
        <v>10.8</v>
      </c>
      <c r="I314" s="669" t="n">
        <v>11.28</v>
      </c>
      <c r="J314" s="38" t="n">
        <v>56</v>
      </c>
      <c r="K314" s="38" t="inlineStr">
        <is>
          <t>8</t>
        </is>
      </c>
      <c r="L314" s="39" t="inlineStr">
        <is>
          <t>СК2</t>
        </is>
      </c>
      <c r="M314" s="38" t="n">
        <v>60</v>
      </c>
      <c r="N314" s="843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O314" s="671" t="n"/>
      <c r="P314" s="671" t="n"/>
      <c r="Q314" s="671" t="n"/>
      <c r="R314" s="637" t="n"/>
      <c r="S314" s="40" t="inlineStr"/>
      <c r="T314" s="40" t="inlineStr"/>
      <c r="U314" s="41" t="inlineStr">
        <is>
          <t>кг</t>
        </is>
      </c>
      <c r="V314" s="672" t="n">
        <v>0</v>
      </c>
      <c r="W314" s="673">
        <f>IFERROR(IF(V314="",0,CEILING((V314/$H314),1)*$H314),"")</f>
        <v/>
      </c>
      <c r="X314" s="42">
        <f>IFERROR(IF(W314=0,"",ROUNDUP(W314/H314,0)*0.02175),"")</f>
        <v/>
      </c>
      <c r="Y314" s="69" t="inlineStr"/>
      <c r="Z314" s="70" t="inlineStr"/>
      <c r="AD314" s="71" t="n"/>
      <c r="BA314" s="239" t="inlineStr">
        <is>
          <t>КИ</t>
        </is>
      </c>
    </row>
    <row r="315" ht="27" customHeight="1">
      <c r="A315" s="64" t="inlineStr">
        <is>
          <t>SU002462</t>
        </is>
      </c>
      <c r="B315" s="64" t="inlineStr">
        <is>
          <t>P002768</t>
        </is>
      </c>
      <c r="C315" s="37" t="n">
        <v>4301011303</v>
      </c>
      <c r="D315" s="325" t="n">
        <v>4607091384680</v>
      </c>
      <c r="E315" s="637" t="n"/>
      <c r="F315" s="669" t="n">
        <v>0.4</v>
      </c>
      <c r="G315" s="38" t="n">
        <v>10</v>
      </c>
      <c r="H315" s="669" t="n">
        <v>4</v>
      </c>
      <c r="I315" s="669" t="n">
        <v>4.21</v>
      </c>
      <c r="J315" s="38" t="n">
        <v>120</v>
      </c>
      <c r="K315" s="38" t="inlineStr">
        <is>
          <t>12</t>
        </is>
      </c>
      <c r="L315" s="39" t="inlineStr">
        <is>
          <t>СК2</t>
        </is>
      </c>
      <c r="M315" s="38" t="n">
        <v>60</v>
      </c>
      <c r="N315" s="844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O315" s="671" t="n"/>
      <c r="P315" s="671" t="n"/>
      <c r="Q315" s="671" t="n"/>
      <c r="R315" s="637" t="n"/>
      <c r="S315" s="40" t="inlineStr"/>
      <c r="T315" s="40" t="inlineStr"/>
      <c r="U315" s="41" t="inlineStr">
        <is>
          <t>кг</t>
        </is>
      </c>
      <c r="V315" s="672" t="n">
        <v>9</v>
      </c>
      <c r="W315" s="673">
        <f>IFERROR(IF(V315="",0,CEILING((V315/$H315),1)*$H315),"")</f>
        <v/>
      </c>
      <c r="X315" s="42">
        <f>IFERROR(IF(W315=0,"",ROUNDUP(W315/H315,0)*0.00937),"")</f>
        <v/>
      </c>
      <c r="Y315" s="69" t="inlineStr"/>
      <c r="Z315" s="70" t="inlineStr"/>
      <c r="AD315" s="71" t="n"/>
      <c r="BA315" s="240" t="inlineStr">
        <is>
          <t>КИ</t>
        </is>
      </c>
    </row>
    <row r="316">
      <c r="A316" s="320" t="n"/>
      <c r="B316" s="313" t="n"/>
      <c r="C316" s="313" t="n"/>
      <c r="D316" s="313" t="n"/>
      <c r="E316" s="313" t="n"/>
      <c r="F316" s="313" t="n"/>
      <c r="G316" s="313" t="n"/>
      <c r="H316" s="313" t="n"/>
      <c r="I316" s="313" t="n"/>
      <c r="J316" s="313" t="n"/>
      <c r="K316" s="313" t="n"/>
      <c r="L316" s="313" t="n"/>
      <c r="M316" s="674" t="n"/>
      <c r="N316" s="675" t="inlineStr">
        <is>
          <t>Итого</t>
        </is>
      </c>
      <c r="O316" s="645" t="n"/>
      <c r="P316" s="645" t="n"/>
      <c r="Q316" s="645" t="n"/>
      <c r="R316" s="645" t="n"/>
      <c r="S316" s="645" t="n"/>
      <c r="T316" s="646" t="n"/>
      <c r="U316" s="43" t="inlineStr">
        <is>
          <t>кор</t>
        </is>
      </c>
      <c r="V316" s="676">
        <f>IFERROR(V312/H312,"0")+IFERROR(V313/H313,"0")+IFERROR(V314/H314,"0")+IFERROR(V315/H315,"0")</f>
        <v/>
      </c>
      <c r="W316" s="676">
        <f>IFERROR(W312/H312,"0")+IFERROR(W313/H313,"0")+IFERROR(W314/H314,"0")+IFERROR(W315/H315,"0")</f>
        <v/>
      </c>
      <c r="X316" s="676">
        <f>IFERROR(IF(X312="",0,X312),"0")+IFERROR(IF(X313="",0,X313),"0")+IFERROR(IF(X314="",0,X314),"0")+IFERROR(IF(X315="",0,X315),"0")</f>
        <v/>
      </c>
      <c r="Y316" s="677" t="n"/>
      <c r="Z316" s="677" t="n"/>
    </row>
    <row r="317">
      <c r="A317" s="313" t="n"/>
      <c r="B317" s="313" t="n"/>
      <c r="C317" s="313" t="n"/>
      <c r="D317" s="313" t="n"/>
      <c r="E317" s="313" t="n"/>
      <c r="F317" s="313" t="n"/>
      <c r="G317" s="313" t="n"/>
      <c r="H317" s="313" t="n"/>
      <c r="I317" s="313" t="n"/>
      <c r="J317" s="313" t="n"/>
      <c r="K317" s="313" t="n"/>
      <c r="L317" s="313" t="n"/>
      <c r="M317" s="674" t="n"/>
      <c r="N317" s="675" t="inlineStr">
        <is>
          <t>Итого</t>
        </is>
      </c>
      <c r="O317" s="645" t="n"/>
      <c r="P317" s="645" t="n"/>
      <c r="Q317" s="645" t="n"/>
      <c r="R317" s="645" t="n"/>
      <c r="S317" s="645" t="n"/>
      <c r="T317" s="646" t="n"/>
      <c r="U317" s="43" t="inlineStr">
        <is>
          <t>кг</t>
        </is>
      </c>
      <c r="V317" s="676">
        <f>IFERROR(SUM(V312:V315),"0")</f>
        <v/>
      </c>
      <c r="W317" s="676">
        <f>IFERROR(SUM(W312:W315),"0")</f>
        <v/>
      </c>
      <c r="X317" s="43" t="n"/>
      <c r="Y317" s="677" t="n"/>
      <c r="Z317" s="677" t="n"/>
    </row>
    <row r="318" ht="14.25" customHeight="1">
      <c r="A318" s="330" t="inlineStr">
        <is>
          <t>Копченые колбасы</t>
        </is>
      </c>
      <c r="B318" s="313" t="n"/>
      <c r="C318" s="313" t="n"/>
      <c r="D318" s="313" t="n"/>
      <c r="E318" s="313" t="n"/>
      <c r="F318" s="313" t="n"/>
      <c r="G318" s="313" t="n"/>
      <c r="H318" s="313" t="n"/>
      <c r="I318" s="313" t="n"/>
      <c r="J318" s="313" t="n"/>
      <c r="K318" s="313" t="n"/>
      <c r="L318" s="313" t="n"/>
      <c r="M318" s="313" t="n"/>
      <c r="N318" s="313" t="n"/>
      <c r="O318" s="313" t="n"/>
      <c r="P318" s="313" t="n"/>
      <c r="Q318" s="313" t="n"/>
      <c r="R318" s="313" t="n"/>
      <c r="S318" s="313" t="n"/>
      <c r="T318" s="313" t="n"/>
      <c r="U318" s="313" t="n"/>
      <c r="V318" s="313" t="n"/>
      <c r="W318" s="313" t="n"/>
      <c r="X318" s="313" t="n"/>
      <c r="Y318" s="330" t="n"/>
      <c r="Z318" s="330" t="n"/>
    </row>
    <row r="319" ht="27" customHeight="1">
      <c r="A319" s="64" t="inlineStr">
        <is>
          <t>SU002360</t>
        </is>
      </c>
      <c r="B319" s="64" t="inlineStr">
        <is>
          <t>P002629</t>
        </is>
      </c>
      <c r="C319" s="37" t="n">
        <v>4301031139</v>
      </c>
      <c r="D319" s="325" t="n">
        <v>4607091384802</v>
      </c>
      <c r="E319" s="637" t="n"/>
      <c r="F319" s="669" t="n">
        <v>0.73</v>
      </c>
      <c r="G319" s="38" t="n">
        <v>6</v>
      </c>
      <c r="H319" s="669" t="n">
        <v>4.38</v>
      </c>
      <c r="I319" s="669" t="n">
        <v>4.58</v>
      </c>
      <c r="J319" s="38" t="n">
        <v>156</v>
      </c>
      <c r="K319" s="38" t="inlineStr">
        <is>
          <t>12</t>
        </is>
      </c>
      <c r="L319" s="39" t="inlineStr">
        <is>
          <t>СК2</t>
        </is>
      </c>
      <c r="M319" s="38" t="n">
        <v>35</v>
      </c>
      <c r="N319" s="845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O319" s="671" t="n"/>
      <c r="P319" s="671" t="n"/>
      <c r="Q319" s="671" t="n"/>
      <c r="R319" s="637" t="n"/>
      <c r="S319" s="40" t="inlineStr"/>
      <c r="T319" s="40" t="inlineStr"/>
      <c r="U319" s="41" t="inlineStr">
        <is>
          <t>кг</t>
        </is>
      </c>
      <c r="V319" s="672" t="n">
        <v>5</v>
      </c>
      <c r="W319" s="673">
        <f>IFERROR(IF(V319="",0,CEILING((V319/$H319),1)*$H319),"")</f>
        <v/>
      </c>
      <c r="X319" s="42">
        <f>IFERROR(IF(W319=0,"",ROUNDUP(W319/H319,0)*0.00753),"")</f>
        <v/>
      </c>
      <c r="Y319" s="69" t="inlineStr"/>
      <c r="Z319" s="70" t="inlineStr"/>
      <c r="AD319" s="71" t="n"/>
      <c r="BA319" s="241" t="inlineStr">
        <is>
          <t>КИ</t>
        </is>
      </c>
    </row>
    <row r="320" ht="27" customHeight="1">
      <c r="A320" s="64" t="inlineStr">
        <is>
          <t>SU002361</t>
        </is>
      </c>
      <c r="B320" s="64" t="inlineStr">
        <is>
          <t>P002630</t>
        </is>
      </c>
      <c r="C320" s="37" t="n">
        <v>4301031140</v>
      </c>
      <c r="D320" s="325" t="n">
        <v>4607091384826</v>
      </c>
      <c r="E320" s="637" t="n"/>
      <c r="F320" s="669" t="n">
        <v>0.35</v>
      </c>
      <c r="G320" s="38" t="n">
        <v>8</v>
      </c>
      <c r="H320" s="669" t="n">
        <v>2.8</v>
      </c>
      <c r="I320" s="669" t="n">
        <v>2.9</v>
      </c>
      <c r="J320" s="38" t="n">
        <v>234</v>
      </c>
      <c r="K320" s="38" t="inlineStr">
        <is>
          <t>18</t>
        </is>
      </c>
      <c r="L320" s="39" t="inlineStr">
        <is>
          <t>СК2</t>
        </is>
      </c>
      <c r="M320" s="38" t="n">
        <v>35</v>
      </c>
      <c r="N320" s="846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O320" s="671" t="n"/>
      <c r="P320" s="671" t="n"/>
      <c r="Q320" s="671" t="n"/>
      <c r="R320" s="637" t="n"/>
      <c r="S320" s="40" t="inlineStr"/>
      <c r="T320" s="40" t="inlineStr"/>
      <c r="U320" s="41" t="inlineStr">
        <is>
          <t>кг</t>
        </is>
      </c>
      <c r="V320" s="672" t="n">
        <v>0</v>
      </c>
      <c r="W320" s="673">
        <f>IFERROR(IF(V320="",0,CEILING((V320/$H320),1)*$H320),"")</f>
        <v/>
      </c>
      <c r="X320" s="42">
        <f>IFERROR(IF(W320=0,"",ROUNDUP(W320/H320,0)*0.00502),"")</f>
        <v/>
      </c>
      <c r="Y320" s="69" t="inlineStr"/>
      <c r="Z320" s="70" t="inlineStr"/>
      <c r="AD320" s="71" t="n"/>
      <c r="BA320" s="242" t="inlineStr">
        <is>
          <t>КИ</t>
        </is>
      </c>
    </row>
    <row r="321">
      <c r="A321" s="320" t="n"/>
      <c r="B321" s="313" t="n"/>
      <c r="C321" s="313" t="n"/>
      <c r="D321" s="313" t="n"/>
      <c r="E321" s="313" t="n"/>
      <c r="F321" s="313" t="n"/>
      <c r="G321" s="313" t="n"/>
      <c r="H321" s="313" t="n"/>
      <c r="I321" s="313" t="n"/>
      <c r="J321" s="313" t="n"/>
      <c r="K321" s="313" t="n"/>
      <c r="L321" s="313" t="n"/>
      <c r="M321" s="674" t="n"/>
      <c r="N321" s="675" t="inlineStr">
        <is>
          <t>Итого</t>
        </is>
      </c>
      <c r="O321" s="645" t="n"/>
      <c r="P321" s="645" t="n"/>
      <c r="Q321" s="645" t="n"/>
      <c r="R321" s="645" t="n"/>
      <c r="S321" s="645" t="n"/>
      <c r="T321" s="646" t="n"/>
      <c r="U321" s="43" t="inlineStr">
        <is>
          <t>кор</t>
        </is>
      </c>
      <c r="V321" s="676">
        <f>IFERROR(V319/H319,"0")+IFERROR(V320/H320,"0")</f>
        <v/>
      </c>
      <c r="W321" s="676">
        <f>IFERROR(W319/H319,"0")+IFERROR(W320/H320,"0")</f>
        <v/>
      </c>
      <c r="X321" s="676">
        <f>IFERROR(IF(X319="",0,X319),"0")+IFERROR(IF(X320="",0,X320),"0")</f>
        <v/>
      </c>
      <c r="Y321" s="677" t="n"/>
      <c r="Z321" s="677" t="n"/>
    </row>
    <row r="322">
      <c r="A322" s="313" t="n"/>
      <c r="B322" s="313" t="n"/>
      <c r="C322" s="313" t="n"/>
      <c r="D322" s="313" t="n"/>
      <c r="E322" s="313" t="n"/>
      <c r="F322" s="313" t="n"/>
      <c r="G322" s="313" t="n"/>
      <c r="H322" s="313" t="n"/>
      <c r="I322" s="313" t="n"/>
      <c r="J322" s="313" t="n"/>
      <c r="K322" s="313" t="n"/>
      <c r="L322" s="313" t="n"/>
      <c r="M322" s="674" t="n"/>
      <c r="N322" s="675" t="inlineStr">
        <is>
          <t>Итого</t>
        </is>
      </c>
      <c r="O322" s="645" t="n"/>
      <c r="P322" s="645" t="n"/>
      <c r="Q322" s="645" t="n"/>
      <c r="R322" s="645" t="n"/>
      <c r="S322" s="645" t="n"/>
      <c r="T322" s="646" t="n"/>
      <c r="U322" s="43" t="inlineStr">
        <is>
          <t>кг</t>
        </is>
      </c>
      <c r="V322" s="676">
        <f>IFERROR(SUM(V319:V320),"0")</f>
        <v/>
      </c>
      <c r="W322" s="676">
        <f>IFERROR(SUM(W319:W320),"0")</f>
        <v/>
      </c>
      <c r="X322" s="43" t="n"/>
      <c r="Y322" s="677" t="n"/>
      <c r="Z322" s="677" t="n"/>
    </row>
    <row r="323" ht="14.25" customHeight="1">
      <c r="A323" s="330" t="inlineStr">
        <is>
          <t>Сосиски</t>
        </is>
      </c>
      <c r="B323" s="313" t="n"/>
      <c r="C323" s="313" t="n"/>
      <c r="D323" s="313" t="n"/>
      <c r="E323" s="313" t="n"/>
      <c r="F323" s="313" t="n"/>
      <c r="G323" s="313" t="n"/>
      <c r="H323" s="313" t="n"/>
      <c r="I323" s="313" t="n"/>
      <c r="J323" s="313" t="n"/>
      <c r="K323" s="313" t="n"/>
      <c r="L323" s="313" t="n"/>
      <c r="M323" s="313" t="n"/>
      <c r="N323" s="313" t="n"/>
      <c r="O323" s="313" t="n"/>
      <c r="P323" s="313" t="n"/>
      <c r="Q323" s="313" t="n"/>
      <c r="R323" s="313" t="n"/>
      <c r="S323" s="313" t="n"/>
      <c r="T323" s="313" t="n"/>
      <c r="U323" s="313" t="n"/>
      <c r="V323" s="313" t="n"/>
      <c r="W323" s="313" t="n"/>
      <c r="X323" s="313" t="n"/>
      <c r="Y323" s="330" t="n"/>
      <c r="Z323" s="330" t="n"/>
    </row>
    <row r="324" ht="27" customHeight="1">
      <c r="A324" s="64" t="inlineStr">
        <is>
          <t>SU002074</t>
        </is>
      </c>
      <c r="B324" s="64" t="inlineStr">
        <is>
          <t>P002693</t>
        </is>
      </c>
      <c r="C324" s="37" t="n">
        <v>4301051303</v>
      </c>
      <c r="D324" s="325" t="n">
        <v>4607091384246</v>
      </c>
      <c r="E324" s="637" t="n"/>
      <c r="F324" s="669" t="n">
        <v>1.3</v>
      </c>
      <c r="G324" s="38" t="n">
        <v>6</v>
      </c>
      <c r="H324" s="669" t="n">
        <v>7.8</v>
      </c>
      <c r="I324" s="669" t="n">
        <v>8.364000000000001</v>
      </c>
      <c r="J324" s="38" t="n">
        <v>56</v>
      </c>
      <c r="K324" s="38" t="inlineStr">
        <is>
          <t>8</t>
        </is>
      </c>
      <c r="L324" s="39" t="inlineStr">
        <is>
          <t>СК2</t>
        </is>
      </c>
      <c r="M324" s="38" t="n">
        <v>40</v>
      </c>
      <c r="N324" s="847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O324" s="671" t="n"/>
      <c r="P324" s="671" t="n"/>
      <c r="Q324" s="671" t="n"/>
      <c r="R324" s="637" t="n"/>
      <c r="S324" s="40" t="inlineStr"/>
      <c r="T324" s="40" t="inlineStr"/>
      <c r="U324" s="41" t="inlineStr">
        <is>
          <t>кг</t>
        </is>
      </c>
      <c r="V324" s="672" t="n">
        <v>0</v>
      </c>
      <c r="W324" s="673">
        <f>IFERROR(IF(V324="",0,CEILING((V324/$H324),1)*$H324),"")</f>
        <v/>
      </c>
      <c r="X324" s="42">
        <f>IFERROR(IF(W324=0,"",ROUNDUP(W324/H324,0)*0.02175),"")</f>
        <v/>
      </c>
      <c r="Y324" s="69" t="inlineStr"/>
      <c r="Z324" s="70" t="inlineStr"/>
      <c r="AD324" s="71" t="n"/>
      <c r="BA324" s="243" t="inlineStr">
        <is>
          <t>КИ</t>
        </is>
      </c>
    </row>
    <row r="325" ht="27" customHeight="1">
      <c r="A325" s="64" t="inlineStr">
        <is>
          <t>SU002896</t>
        </is>
      </c>
      <c r="B325" s="64" t="inlineStr">
        <is>
          <t>P003330</t>
        </is>
      </c>
      <c r="C325" s="37" t="n">
        <v>4301051445</v>
      </c>
      <c r="D325" s="325" t="n">
        <v>4680115881976</v>
      </c>
      <c r="E325" s="637" t="n"/>
      <c r="F325" s="669" t="n">
        <v>1.3</v>
      </c>
      <c r="G325" s="38" t="n">
        <v>6</v>
      </c>
      <c r="H325" s="669" t="n">
        <v>7.8</v>
      </c>
      <c r="I325" s="669" t="n">
        <v>8.279999999999999</v>
      </c>
      <c r="J325" s="38" t="n">
        <v>56</v>
      </c>
      <c r="K325" s="38" t="inlineStr">
        <is>
          <t>8</t>
        </is>
      </c>
      <c r="L325" s="39" t="inlineStr">
        <is>
          <t>СК2</t>
        </is>
      </c>
      <c r="M325" s="38" t="n">
        <v>40</v>
      </c>
      <c r="N325" s="848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O325" s="671" t="n"/>
      <c r="P325" s="671" t="n"/>
      <c r="Q325" s="671" t="n"/>
      <c r="R325" s="637" t="n"/>
      <c r="S325" s="40" t="inlineStr"/>
      <c r="T325" s="40" t="inlineStr"/>
      <c r="U325" s="41" t="inlineStr">
        <is>
          <t>кг</t>
        </is>
      </c>
      <c r="V325" s="672" t="n">
        <v>22</v>
      </c>
      <c r="W325" s="673">
        <f>IFERROR(IF(V325="",0,CEILING((V325/$H325),1)*$H325),"")</f>
        <v/>
      </c>
      <c r="X325" s="42">
        <f>IFERROR(IF(W325=0,"",ROUNDUP(W325/H325,0)*0.02175),"")</f>
        <v/>
      </c>
      <c r="Y325" s="69" t="inlineStr"/>
      <c r="Z325" s="70" t="inlineStr"/>
      <c r="AD325" s="71" t="n"/>
      <c r="BA325" s="244" t="inlineStr">
        <is>
          <t>КИ</t>
        </is>
      </c>
    </row>
    <row r="326" ht="27" customHeight="1">
      <c r="A326" s="64" t="inlineStr">
        <is>
          <t>SU002205</t>
        </is>
      </c>
      <c r="B326" s="64" t="inlineStr">
        <is>
          <t>P002694</t>
        </is>
      </c>
      <c r="C326" s="37" t="n">
        <v>4301051297</v>
      </c>
      <c r="D326" s="325" t="n">
        <v>4607091384253</v>
      </c>
      <c r="E326" s="637" t="n"/>
      <c r="F326" s="669" t="n">
        <v>0.4</v>
      </c>
      <c r="G326" s="38" t="n">
        <v>6</v>
      </c>
      <c r="H326" s="669" t="n">
        <v>2.4</v>
      </c>
      <c r="I326" s="669" t="n">
        <v>2.684</v>
      </c>
      <c r="J326" s="38" t="n">
        <v>156</v>
      </c>
      <c r="K326" s="38" t="inlineStr">
        <is>
          <t>12</t>
        </is>
      </c>
      <c r="L326" s="39" t="inlineStr">
        <is>
          <t>СК2</t>
        </is>
      </c>
      <c r="M326" s="38" t="n">
        <v>40</v>
      </c>
      <c r="N326" s="849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O326" s="671" t="n"/>
      <c r="P326" s="671" t="n"/>
      <c r="Q326" s="671" t="n"/>
      <c r="R326" s="637" t="n"/>
      <c r="S326" s="40" t="inlineStr"/>
      <c r="T326" s="40" t="inlineStr"/>
      <c r="U326" s="41" t="inlineStr">
        <is>
          <t>кг</t>
        </is>
      </c>
      <c r="V326" s="672" t="n">
        <v>13</v>
      </c>
      <c r="W326" s="673">
        <f>IFERROR(IF(V326="",0,CEILING((V326/$H326),1)*$H326),"")</f>
        <v/>
      </c>
      <c r="X326" s="42">
        <f>IFERROR(IF(W326=0,"",ROUNDUP(W326/H326,0)*0.00753),"")</f>
        <v/>
      </c>
      <c r="Y326" s="69" t="inlineStr"/>
      <c r="Z326" s="70" t="inlineStr"/>
      <c r="AD326" s="71" t="n"/>
      <c r="BA326" s="245" t="inlineStr">
        <is>
          <t>КИ</t>
        </is>
      </c>
    </row>
    <row r="327" ht="27" customHeight="1">
      <c r="A327" s="64" t="inlineStr">
        <is>
          <t>SU002895</t>
        </is>
      </c>
      <c r="B327" s="64" t="inlineStr">
        <is>
          <t>P003329</t>
        </is>
      </c>
      <c r="C327" s="37" t="n">
        <v>4301051444</v>
      </c>
      <c r="D327" s="325" t="n">
        <v>4680115881969</v>
      </c>
      <c r="E327" s="637" t="n"/>
      <c r="F327" s="669" t="n">
        <v>0.4</v>
      </c>
      <c r="G327" s="38" t="n">
        <v>6</v>
      </c>
      <c r="H327" s="669" t="n">
        <v>2.4</v>
      </c>
      <c r="I327" s="669" t="n">
        <v>2.6</v>
      </c>
      <c r="J327" s="38" t="n">
        <v>156</v>
      </c>
      <c r="K327" s="38" t="inlineStr">
        <is>
          <t>12</t>
        </is>
      </c>
      <c r="L327" s="39" t="inlineStr">
        <is>
          <t>СК2</t>
        </is>
      </c>
      <c r="M327" s="38" t="n">
        <v>40</v>
      </c>
      <c r="N327" s="850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O327" s="671" t="n"/>
      <c r="P327" s="671" t="n"/>
      <c r="Q327" s="671" t="n"/>
      <c r="R327" s="637" t="n"/>
      <c r="S327" s="40" t="inlineStr"/>
      <c r="T327" s="40" t="inlineStr"/>
      <c r="U327" s="41" t="inlineStr">
        <is>
          <t>кг</t>
        </is>
      </c>
      <c r="V327" s="672" t="n">
        <v>0</v>
      </c>
      <c r="W327" s="673">
        <f>IFERROR(IF(V327="",0,CEILING((V327/$H327),1)*$H327),"")</f>
        <v/>
      </c>
      <c r="X327" s="42">
        <f>IFERROR(IF(W327=0,"",ROUNDUP(W327/H327,0)*0.00753),"")</f>
        <v/>
      </c>
      <c r="Y327" s="69" t="inlineStr"/>
      <c r="Z327" s="70" t="inlineStr"/>
      <c r="AD327" s="71" t="n"/>
      <c r="BA327" s="246" t="inlineStr">
        <is>
          <t>КИ</t>
        </is>
      </c>
    </row>
    <row r="328">
      <c r="A328" s="320" t="n"/>
      <c r="B328" s="313" t="n"/>
      <c r="C328" s="313" t="n"/>
      <c r="D328" s="313" t="n"/>
      <c r="E328" s="313" t="n"/>
      <c r="F328" s="313" t="n"/>
      <c r="G328" s="313" t="n"/>
      <c r="H328" s="313" t="n"/>
      <c r="I328" s="313" t="n"/>
      <c r="J328" s="313" t="n"/>
      <c r="K328" s="313" t="n"/>
      <c r="L328" s="313" t="n"/>
      <c r="M328" s="674" t="n"/>
      <c r="N328" s="675" t="inlineStr">
        <is>
          <t>Итого</t>
        </is>
      </c>
      <c r="O328" s="645" t="n"/>
      <c r="P328" s="645" t="n"/>
      <c r="Q328" s="645" t="n"/>
      <c r="R328" s="645" t="n"/>
      <c r="S328" s="645" t="n"/>
      <c r="T328" s="646" t="n"/>
      <c r="U328" s="43" t="inlineStr">
        <is>
          <t>кор</t>
        </is>
      </c>
      <c r="V328" s="676">
        <f>IFERROR(V324/H324,"0")+IFERROR(V325/H325,"0")+IFERROR(V326/H326,"0")+IFERROR(V327/H327,"0")</f>
        <v/>
      </c>
      <c r="W328" s="676">
        <f>IFERROR(W324/H324,"0")+IFERROR(W325/H325,"0")+IFERROR(W326/H326,"0")+IFERROR(W327/H327,"0")</f>
        <v/>
      </c>
      <c r="X328" s="676">
        <f>IFERROR(IF(X324="",0,X324),"0")+IFERROR(IF(X325="",0,X325),"0")+IFERROR(IF(X326="",0,X326),"0")+IFERROR(IF(X327="",0,X327),"0")</f>
        <v/>
      </c>
      <c r="Y328" s="677" t="n"/>
      <c r="Z328" s="677" t="n"/>
    </row>
    <row r="329">
      <c r="A329" s="313" t="n"/>
      <c r="B329" s="313" t="n"/>
      <c r="C329" s="313" t="n"/>
      <c r="D329" s="313" t="n"/>
      <c r="E329" s="313" t="n"/>
      <c r="F329" s="313" t="n"/>
      <c r="G329" s="313" t="n"/>
      <c r="H329" s="313" t="n"/>
      <c r="I329" s="313" t="n"/>
      <c r="J329" s="313" t="n"/>
      <c r="K329" s="313" t="n"/>
      <c r="L329" s="313" t="n"/>
      <c r="M329" s="674" t="n"/>
      <c r="N329" s="675" t="inlineStr">
        <is>
          <t>Итого</t>
        </is>
      </c>
      <c r="O329" s="645" t="n"/>
      <c r="P329" s="645" t="n"/>
      <c r="Q329" s="645" t="n"/>
      <c r="R329" s="645" t="n"/>
      <c r="S329" s="645" t="n"/>
      <c r="T329" s="646" t="n"/>
      <c r="U329" s="43" t="inlineStr">
        <is>
          <t>кг</t>
        </is>
      </c>
      <c r="V329" s="676">
        <f>IFERROR(SUM(V324:V327),"0")</f>
        <v/>
      </c>
      <c r="W329" s="676">
        <f>IFERROR(SUM(W324:W327),"0")</f>
        <v/>
      </c>
      <c r="X329" s="43" t="n"/>
      <c r="Y329" s="677" t="n"/>
      <c r="Z329" s="677" t="n"/>
    </row>
    <row r="330" ht="14.25" customHeight="1">
      <c r="A330" s="330" t="inlineStr">
        <is>
          <t>Сардельки</t>
        </is>
      </c>
      <c r="B330" s="313" t="n"/>
      <c r="C330" s="313" t="n"/>
      <c r="D330" s="313" t="n"/>
      <c r="E330" s="313" t="n"/>
      <c r="F330" s="313" t="n"/>
      <c r="G330" s="313" t="n"/>
      <c r="H330" s="313" t="n"/>
      <c r="I330" s="313" t="n"/>
      <c r="J330" s="313" t="n"/>
      <c r="K330" s="313" t="n"/>
      <c r="L330" s="313" t="n"/>
      <c r="M330" s="313" t="n"/>
      <c r="N330" s="313" t="n"/>
      <c r="O330" s="313" t="n"/>
      <c r="P330" s="313" t="n"/>
      <c r="Q330" s="313" t="n"/>
      <c r="R330" s="313" t="n"/>
      <c r="S330" s="313" t="n"/>
      <c r="T330" s="313" t="n"/>
      <c r="U330" s="313" t="n"/>
      <c r="V330" s="313" t="n"/>
      <c r="W330" s="313" t="n"/>
      <c r="X330" s="313" t="n"/>
      <c r="Y330" s="330" t="n"/>
      <c r="Z330" s="330" t="n"/>
    </row>
    <row r="331" ht="27" customHeight="1">
      <c r="A331" s="64" t="inlineStr">
        <is>
          <t>SU002472</t>
        </is>
      </c>
      <c r="B331" s="64" t="inlineStr">
        <is>
          <t>P002973</t>
        </is>
      </c>
      <c r="C331" s="37" t="n">
        <v>4301060322</v>
      </c>
      <c r="D331" s="325" t="n">
        <v>4607091389357</v>
      </c>
      <c r="E331" s="637" t="n"/>
      <c r="F331" s="669" t="n">
        <v>1.3</v>
      </c>
      <c r="G331" s="38" t="n">
        <v>6</v>
      </c>
      <c r="H331" s="669" t="n">
        <v>7.8</v>
      </c>
      <c r="I331" s="669" t="n">
        <v>8.279999999999999</v>
      </c>
      <c r="J331" s="38" t="n">
        <v>56</v>
      </c>
      <c r="K331" s="38" t="inlineStr">
        <is>
          <t>8</t>
        </is>
      </c>
      <c r="L331" s="39" t="inlineStr">
        <is>
          <t>СК2</t>
        </is>
      </c>
      <c r="M331" s="38" t="n">
        <v>40</v>
      </c>
      <c r="N331" s="851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O331" s="671" t="n"/>
      <c r="P331" s="671" t="n"/>
      <c r="Q331" s="671" t="n"/>
      <c r="R331" s="637" t="n"/>
      <c r="S331" s="40" t="inlineStr"/>
      <c r="T331" s="40" t="inlineStr"/>
      <c r="U331" s="41" t="inlineStr">
        <is>
          <t>кг</t>
        </is>
      </c>
      <c r="V331" s="672" t="n">
        <v>0</v>
      </c>
      <c r="W331" s="673">
        <f>IFERROR(IF(V331="",0,CEILING((V331/$H331),1)*$H331),"")</f>
        <v/>
      </c>
      <c r="X331" s="42">
        <f>IFERROR(IF(W331=0,"",ROUNDUP(W331/H331,0)*0.02175),"")</f>
        <v/>
      </c>
      <c r="Y331" s="69" t="inlineStr"/>
      <c r="Z331" s="70" t="inlineStr"/>
      <c r="AD331" s="71" t="n"/>
      <c r="BA331" s="247" t="inlineStr">
        <is>
          <t>КИ</t>
        </is>
      </c>
    </row>
    <row r="332">
      <c r="A332" s="320" t="n"/>
      <c r="B332" s="313" t="n"/>
      <c r="C332" s="313" t="n"/>
      <c r="D332" s="313" t="n"/>
      <c r="E332" s="313" t="n"/>
      <c r="F332" s="313" t="n"/>
      <c r="G332" s="313" t="n"/>
      <c r="H332" s="313" t="n"/>
      <c r="I332" s="313" t="n"/>
      <c r="J332" s="313" t="n"/>
      <c r="K332" s="313" t="n"/>
      <c r="L332" s="313" t="n"/>
      <c r="M332" s="674" t="n"/>
      <c r="N332" s="675" t="inlineStr">
        <is>
          <t>Итого</t>
        </is>
      </c>
      <c r="O332" s="645" t="n"/>
      <c r="P332" s="645" t="n"/>
      <c r="Q332" s="645" t="n"/>
      <c r="R332" s="645" t="n"/>
      <c r="S332" s="645" t="n"/>
      <c r="T332" s="646" t="n"/>
      <c r="U332" s="43" t="inlineStr">
        <is>
          <t>кор</t>
        </is>
      </c>
      <c r="V332" s="676">
        <f>IFERROR(V331/H331,"0")</f>
        <v/>
      </c>
      <c r="W332" s="676">
        <f>IFERROR(W331/H331,"0")</f>
        <v/>
      </c>
      <c r="X332" s="676">
        <f>IFERROR(IF(X331="",0,X331),"0")</f>
        <v/>
      </c>
      <c r="Y332" s="677" t="n"/>
      <c r="Z332" s="677" t="n"/>
    </row>
    <row r="333">
      <c r="A333" s="313" t="n"/>
      <c r="B333" s="313" t="n"/>
      <c r="C333" s="313" t="n"/>
      <c r="D333" s="313" t="n"/>
      <c r="E333" s="313" t="n"/>
      <c r="F333" s="313" t="n"/>
      <c r="G333" s="313" t="n"/>
      <c r="H333" s="313" t="n"/>
      <c r="I333" s="313" t="n"/>
      <c r="J333" s="313" t="n"/>
      <c r="K333" s="313" t="n"/>
      <c r="L333" s="313" t="n"/>
      <c r="M333" s="674" t="n"/>
      <c r="N333" s="675" t="inlineStr">
        <is>
          <t>Итого</t>
        </is>
      </c>
      <c r="O333" s="645" t="n"/>
      <c r="P333" s="645" t="n"/>
      <c r="Q333" s="645" t="n"/>
      <c r="R333" s="645" t="n"/>
      <c r="S333" s="645" t="n"/>
      <c r="T333" s="646" t="n"/>
      <c r="U333" s="43" t="inlineStr">
        <is>
          <t>кг</t>
        </is>
      </c>
      <c r="V333" s="676">
        <f>IFERROR(SUM(V331:V331),"0")</f>
        <v/>
      </c>
      <c r="W333" s="676">
        <f>IFERROR(SUM(W331:W331),"0")</f>
        <v/>
      </c>
      <c r="X333" s="43" t="n"/>
      <c r="Y333" s="677" t="n"/>
      <c r="Z333" s="677" t="n"/>
    </row>
    <row r="334" ht="27.75" customHeight="1">
      <c r="A334" s="341" t="inlineStr">
        <is>
          <t>Баварушка</t>
        </is>
      </c>
      <c r="B334" s="668" t="n"/>
      <c r="C334" s="668" t="n"/>
      <c r="D334" s="668" t="n"/>
      <c r="E334" s="668" t="n"/>
      <c r="F334" s="668" t="n"/>
      <c r="G334" s="668" t="n"/>
      <c r="H334" s="668" t="n"/>
      <c r="I334" s="668" t="n"/>
      <c r="J334" s="668" t="n"/>
      <c r="K334" s="668" t="n"/>
      <c r="L334" s="668" t="n"/>
      <c r="M334" s="668" t="n"/>
      <c r="N334" s="668" t="n"/>
      <c r="O334" s="668" t="n"/>
      <c r="P334" s="668" t="n"/>
      <c r="Q334" s="668" t="n"/>
      <c r="R334" s="668" t="n"/>
      <c r="S334" s="668" t="n"/>
      <c r="T334" s="668" t="n"/>
      <c r="U334" s="668" t="n"/>
      <c r="V334" s="668" t="n"/>
      <c r="W334" s="668" t="n"/>
      <c r="X334" s="668" t="n"/>
      <c r="Y334" s="55" t="n"/>
      <c r="Z334" s="55" t="n"/>
    </row>
    <row r="335" ht="16.5" customHeight="1">
      <c r="A335" s="329" t="inlineStr">
        <is>
          <t>Филейбургская</t>
        </is>
      </c>
      <c r="B335" s="313" t="n"/>
      <c r="C335" s="313" t="n"/>
      <c r="D335" s="313" t="n"/>
      <c r="E335" s="313" t="n"/>
      <c r="F335" s="313" t="n"/>
      <c r="G335" s="313" t="n"/>
      <c r="H335" s="313" t="n"/>
      <c r="I335" s="313" t="n"/>
      <c r="J335" s="313" t="n"/>
      <c r="K335" s="313" t="n"/>
      <c r="L335" s="313" t="n"/>
      <c r="M335" s="313" t="n"/>
      <c r="N335" s="313" t="n"/>
      <c r="O335" s="313" t="n"/>
      <c r="P335" s="313" t="n"/>
      <c r="Q335" s="313" t="n"/>
      <c r="R335" s="313" t="n"/>
      <c r="S335" s="313" t="n"/>
      <c r="T335" s="313" t="n"/>
      <c r="U335" s="313" t="n"/>
      <c r="V335" s="313" t="n"/>
      <c r="W335" s="313" t="n"/>
      <c r="X335" s="313" t="n"/>
      <c r="Y335" s="329" t="n"/>
      <c r="Z335" s="329" t="n"/>
    </row>
    <row r="336" ht="14.25" customHeight="1">
      <c r="A336" s="330" t="inlineStr">
        <is>
          <t>Вареные колбасы</t>
        </is>
      </c>
      <c r="B336" s="313" t="n"/>
      <c r="C336" s="313" t="n"/>
      <c r="D336" s="313" t="n"/>
      <c r="E336" s="313" t="n"/>
      <c r="F336" s="313" t="n"/>
      <c r="G336" s="313" t="n"/>
      <c r="H336" s="313" t="n"/>
      <c r="I336" s="313" t="n"/>
      <c r="J336" s="313" t="n"/>
      <c r="K336" s="313" t="n"/>
      <c r="L336" s="313" t="n"/>
      <c r="M336" s="313" t="n"/>
      <c r="N336" s="313" t="n"/>
      <c r="O336" s="313" t="n"/>
      <c r="P336" s="313" t="n"/>
      <c r="Q336" s="313" t="n"/>
      <c r="R336" s="313" t="n"/>
      <c r="S336" s="313" t="n"/>
      <c r="T336" s="313" t="n"/>
      <c r="U336" s="313" t="n"/>
      <c r="V336" s="313" t="n"/>
      <c r="W336" s="313" t="n"/>
      <c r="X336" s="313" t="n"/>
      <c r="Y336" s="330" t="n"/>
      <c r="Z336" s="330" t="n"/>
    </row>
    <row r="337" ht="27" customHeight="1">
      <c r="A337" s="64" t="inlineStr">
        <is>
          <t>SU002477</t>
        </is>
      </c>
      <c r="B337" s="64" t="inlineStr">
        <is>
          <t>P003148</t>
        </is>
      </c>
      <c r="C337" s="37" t="n">
        <v>4301011428</v>
      </c>
      <c r="D337" s="325" t="n">
        <v>4607091389708</v>
      </c>
      <c r="E337" s="637" t="n"/>
      <c r="F337" s="669" t="n">
        <v>0.45</v>
      </c>
      <c r="G337" s="38" t="n">
        <v>6</v>
      </c>
      <c r="H337" s="669" t="n">
        <v>2.7</v>
      </c>
      <c r="I337" s="669" t="n">
        <v>2.9</v>
      </c>
      <c r="J337" s="38" t="n">
        <v>156</v>
      </c>
      <c r="K337" s="38" t="inlineStr">
        <is>
          <t>12</t>
        </is>
      </c>
      <c r="L337" s="39" t="inlineStr">
        <is>
          <t>СК1</t>
        </is>
      </c>
      <c r="M337" s="38" t="n">
        <v>50</v>
      </c>
      <c r="N337" s="852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O337" s="671" t="n"/>
      <c r="P337" s="671" t="n"/>
      <c r="Q337" s="671" t="n"/>
      <c r="R337" s="637" t="n"/>
      <c r="S337" s="40" t="inlineStr"/>
      <c r="T337" s="40" t="inlineStr"/>
      <c r="U337" s="41" t="inlineStr">
        <is>
          <t>кг</t>
        </is>
      </c>
      <c r="V337" s="672" t="n">
        <v>0</v>
      </c>
      <c r="W337" s="673">
        <f>IFERROR(IF(V337="",0,CEILING((V337/$H337),1)*$H337),"")</f>
        <v/>
      </c>
      <c r="X337" s="42">
        <f>IFERROR(IF(W337=0,"",ROUNDUP(W337/H337,0)*0.00753),"")</f>
        <v/>
      </c>
      <c r="Y337" s="69" t="inlineStr"/>
      <c r="Z337" s="70" t="inlineStr"/>
      <c r="AD337" s="71" t="n"/>
      <c r="BA337" s="248" t="inlineStr">
        <is>
          <t>КИ</t>
        </is>
      </c>
    </row>
    <row r="338" ht="27" customHeight="1">
      <c r="A338" s="64" t="inlineStr">
        <is>
          <t>SU002476</t>
        </is>
      </c>
      <c r="B338" s="64" t="inlineStr">
        <is>
          <t>P003147</t>
        </is>
      </c>
      <c r="C338" s="37" t="n">
        <v>4301011427</v>
      </c>
      <c r="D338" s="325" t="n">
        <v>4607091389692</v>
      </c>
      <c r="E338" s="637" t="n"/>
      <c r="F338" s="669" t="n">
        <v>0.45</v>
      </c>
      <c r="G338" s="38" t="n">
        <v>6</v>
      </c>
      <c r="H338" s="669" t="n">
        <v>2.7</v>
      </c>
      <c r="I338" s="669" t="n">
        <v>2.9</v>
      </c>
      <c r="J338" s="38" t="n">
        <v>156</v>
      </c>
      <c r="K338" s="38" t="inlineStr">
        <is>
          <t>12</t>
        </is>
      </c>
      <c r="L338" s="39" t="inlineStr">
        <is>
          <t>СК1</t>
        </is>
      </c>
      <c r="M338" s="38" t="n">
        <v>50</v>
      </c>
      <c r="N338" s="853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O338" s="671" t="n"/>
      <c r="P338" s="671" t="n"/>
      <c r="Q338" s="671" t="n"/>
      <c r="R338" s="637" t="n"/>
      <c r="S338" s="40" t="inlineStr"/>
      <c r="T338" s="40" t="inlineStr"/>
      <c r="U338" s="41" t="inlineStr">
        <is>
          <t>кг</t>
        </is>
      </c>
      <c r="V338" s="672" t="n">
        <v>0</v>
      </c>
      <c r="W338" s="673">
        <f>IFERROR(IF(V338="",0,CEILING((V338/$H338),1)*$H338),"")</f>
        <v/>
      </c>
      <c r="X338" s="42">
        <f>IFERROR(IF(W338=0,"",ROUNDUP(W338/H338,0)*0.00753),"")</f>
        <v/>
      </c>
      <c r="Y338" s="69" t="inlineStr"/>
      <c r="Z338" s="70" t="inlineStr"/>
      <c r="AD338" s="71" t="n"/>
      <c r="BA338" s="249" t="inlineStr">
        <is>
          <t>КИ</t>
        </is>
      </c>
    </row>
    <row r="339">
      <c r="A339" s="320" t="n"/>
      <c r="B339" s="313" t="n"/>
      <c r="C339" s="313" t="n"/>
      <c r="D339" s="313" t="n"/>
      <c r="E339" s="313" t="n"/>
      <c r="F339" s="313" t="n"/>
      <c r="G339" s="313" t="n"/>
      <c r="H339" s="313" t="n"/>
      <c r="I339" s="313" t="n"/>
      <c r="J339" s="313" t="n"/>
      <c r="K339" s="313" t="n"/>
      <c r="L339" s="313" t="n"/>
      <c r="M339" s="674" t="n"/>
      <c r="N339" s="675" t="inlineStr">
        <is>
          <t>Итого</t>
        </is>
      </c>
      <c r="O339" s="645" t="n"/>
      <c r="P339" s="645" t="n"/>
      <c r="Q339" s="645" t="n"/>
      <c r="R339" s="645" t="n"/>
      <c r="S339" s="645" t="n"/>
      <c r="T339" s="646" t="n"/>
      <c r="U339" s="43" t="inlineStr">
        <is>
          <t>кор</t>
        </is>
      </c>
      <c r="V339" s="676">
        <f>IFERROR(V337/H337,"0")+IFERROR(V338/H338,"0")</f>
        <v/>
      </c>
      <c r="W339" s="676">
        <f>IFERROR(W337/H337,"0")+IFERROR(W338/H338,"0")</f>
        <v/>
      </c>
      <c r="X339" s="676">
        <f>IFERROR(IF(X337="",0,X337),"0")+IFERROR(IF(X338="",0,X338),"0")</f>
        <v/>
      </c>
      <c r="Y339" s="677" t="n"/>
      <c r="Z339" s="677" t="n"/>
    </row>
    <row r="340">
      <c r="A340" s="313" t="n"/>
      <c r="B340" s="313" t="n"/>
      <c r="C340" s="313" t="n"/>
      <c r="D340" s="313" t="n"/>
      <c r="E340" s="313" t="n"/>
      <c r="F340" s="313" t="n"/>
      <c r="G340" s="313" t="n"/>
      <c r="H340" s="313" t="n"/>
      <c r="I340" s="313" t="n"/>
      <c r="J340" s="313" t="n"/>
      <c r="K340" s="313" t="n"/>
      <c r="L340" s="313" t="n"/>
      <c r="M340" s="674" t="n"/>
      <c r="N340" s="675" t="inlineStr">
        <is>
          <t>Итого</t>
        </is>
      </c>
      <c r="O340" s="645" t="n"/>
      <c r="P340" s="645" t="n"/>
      <c r="Q340" s="645" t="n"/>
      <c r="R340" s="645" t="n"/>
      <c r="S340" s="645" t="n"/>
      <c r="T340" s="646" t="n"/>
      <c r="U340" s="43" t="inlineStr">
        <is>
          <t>кг</t>
        </is>
      </c>
      <c r="V340" s="676">
        <f>IFERROR(SUM(V337:V338),"0")</f>
        <v/>
      </c>
      <c r="W340" s="676">
        <f>IFERROR(SUM(W337:W338),"0")</f>
        <v/>
      </c>
      <c r="X340" s="43" t="n"/>
      <c r="Y340" s="677" t="n"/>
      <c r="Z340" s="677" t="n"/>
    </row>
    <row r="341" ht="14.25" customHeight="1">
      <c r="A341" s="330" t="inlineStr">
        <is>
          <t>Копченые колбасы</t>
        </is>
      </c>
      <c r="B341" s="313" t="n"/>
      <c r="C341" s="313" t="n"/>
      <c r="D341" s="313" t="n"/>
      <c r="E341" s="313" t="n"/>
      <c r="F341" s="313" t="n"/>
      <c r="G341" s="313" t="n"/>
      <c r="H341" s="313" t="n"/>
      <c r="I341" s="313" t="n"/>
      <c r="J341" s="313" t="n"/>
      <c r="K341" s="313" t="n"/>
      <c r="L341" s="313" t="n"/>
      <c r="M341" s="313" t="n"/>
      <c r="N341" s="313" t="n"/>
      <c r="O341" s="313" t="n"/>
      <c r="P341" s="313" t="n"/>
      <c r="Q341" s="313" t="n"/>
      <c r="R341" s="313" t="n"/>
      <c r="S341" s="313" t="n"/>
      <c r="T341" s="313" t="n"/>
      <c r="U341" s="313" t="n"/>
      <c r="V341" s="313" t="n"/>
      <c r="W341" s="313" t="n"/>
      <c r="X341" s="313" t="n"/>
      <c r="Y341" s="330" t="n"/>
      <c r="Z341" s="330" t="n"/>
    </row>
    <row r="342" ht="27" customHeight="1">
      <c r="A342" s="64" t="inlineStr">
        <is>
          <t>SU002614</t>
        </is>
      </c>
      <c r="B342" s="64" t="inlineStr">
        <is>
          <t>P003138</t>
        </is>
      </c>
      <c r="C342" s="37" t="n">
        <v>4301031177</v>
      </c>
      <c r="D342" s="325" t="n">
        <v>4607091389753</v>
      </c>
      <c r="E342" s="637" t="n"/>
      <c r="F342" s="669" t="n">
        <v>0.7</v>
      </c>
      <c r="G342" s="38" t="n">
        <v>6</v>
      </c>
      <c r="H342" s="669" t="n">
        <v>4.2</v>
      </c>
      <c r="I342" s="669" t="n">
        <v>4.43</v>
      </c>
      <c r="J342" s="38" t="n">
        <v>156</v>
      </c>
      <c r="K342" s="38" t="inlineStr">
        <is>
          <t>12</t>
        </is>
      </c>
      <c r="L342" s="39" t="inlineStr">
        <is>
          <t>СК2</t>
        </is>
      </c>
      <c r="M342" s="38" t="n">
        <v>45</v>
      </c>
      <c r="N342" s="854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O342" s="671" t="n"/>
      <c r="P342" s="671" t="n"/>
      <c r="Q342" s="671" t="n"/>
      <c r="R342" s="637" t="n"/>
      <c r="S342" s="40" t="inlineStr"/>
      <c r="T342" s="40" t="inlineStr"/>
      <c r="U342" s="41" t="inlineStr">
        <is>
          <t>кг</t>
        </is>
      </c>
      <c r="V342" s="672" t="n">
        <v>0</v>
      </c>
      <c r="W342" s="673">
        <f>IFERROR(IF(V342="",0,CEILING((V342/$H342),1)*$H342),"")</f>
        <v/>
      </c>
      <c r="X342" s="42">
        <f>IFERROR(IF(W342=0,"",ROUNDUP(W342/H342,0)*0.00753),"")</f>
        <v/>
      </c>
      <c r="Y342" s="69" t="inlineStr"/>
      <c r="Z342" s="70" t="inlineStr"/>
      <c r="AD342" s="71" t="n"/>
      <c r="BA342" s="250" t="inlineStr">
        <is>
          <t>КИ</t>
        </is>
      </c>
    </row>
    <row r="343" ht="27" customHeight="1">
      <c r="A343" s="64" t="inlineStr">
        <is>
          <t>SU002615</t>
        </is>
      </c>
      <c r="B343" s="64" t="inlineStr">
        <is>
          <t>P003136</t>
        </is>
      </c>
      <c r="C343" s="37" t="n">
        <v>4301031174</v>
      </c>
      <c r="D343" s="325" t="n">
        <v>4607091389760</v>
      </c>
      <c r="E343" s="637" t="n"/>
      <c r="F343" s="669" t="n">
        <v>0.7</v>
      </c>
      <c r="G343" s="38" t="n">
        <v>6</v>
      </c>
      <c r="H343" s="669" t="n">
        <v>4.2</v>
      </c>
      <c r="I343" s="669" t="n">
        <v>4.43</v>
      </c>
      <c r="J343" s="38" t="n">
        <v>156</v>
      </c>
      <c r="K343" s="38" t="inlineStr">
        <is>
          <t>12</t>
        </is>
      </c>
      <c r="L343" s="39" t="inlineStr">
        <is>
          <t>СК2</t>
        </is>
      </c>
      <c r="M343" s="38" t="n">
        <v>45</v>
      </c>
      <c r="N343" s="855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O343" s="671" t="n"/>
      <c r="P343" s="671" t="n"/>
      <c r="Q343" s="671" t="n"/>
      <c r="R343" s="637" t="n"/>
      <c r="S343" s="40" t="inlineStr"/>
      <c r="T343" s="40" t="inlineStr"/>
      <c r="U343" s="41" t="inlineStr">
        <is>
          <t>кг</t>
        </is>
      </c>
      <c r="V343" s="672" t="n">
        <v>0</v>
      </c>
      <c r="W343" s="673">
        <f>IFERROR(IF(V343="",0,CEILING((V343/$H343),1)*$H343),"")</f>
        <v/>
      </c>
      <c r="X343" s="42">
        <f>IFERROR(IF(W343=0,"",ROUNDUP(W343/H343,0)*0.00753),"")</f>
        <v/>
      </c>
      <c r="Y343" s="69" t="inlineStr"/>
      <c r="Z343" s="70" t="inlineStr"/>
      <c r="AD343" s="71" t="n"/>
      <c r="BA343" s="251" t="inlineStr">
        <is>
          <t>КИ</t>
        </is>
      </c>
    </row>
    <row r="344" ht="27" customHeight="1">
      <c r="A344" s="64" t="inlineStr">
        <is>
          <t>SU002613</t>
        </is>
      </c>
      <c r="B344" s="64" t="inlineStr">
        <is>
          <t>P003133</t>
        </is>
      </c>
      <c r="C344" s="37" t="n">
        <v>4301031175</v>
      </c>
      <c r="D344" s="325" t="n">
        <v>4607091389746</v>
      </c>
      <c r="E344" s="637" t="n"/>
      <c r="F344" s="669" t="n">
        <v>0.7</v>
      </c>
      <c r="G344" s="38" t="n">
        <v>6</v>
      </c>
      <c r="H344" s="669" t="n">
        <v>4.2</v>
      </c>
      <c r="I344" s="669" t="n">
        <v>4.43</v>
      </c>
      <c r="J344" s="38" t="n">
        <v>156</v>
      </c>
      <c r="K344" s="38" t="inlineStr">
        <is>
          <t>12</t>
        </is>
      </c>
      <c r="L344" s="39" t="inlineStr">
        <is>
          <t>СК2</t>
        </is>
      </c>
      <c r="M344" s="38" t="n">
        <v>45</v>
      </c>
      <c r="N344" s="856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O344" s="671" t="n"/>
      <c r="P344" s="671" t="n"/>
      <c r="Q344" s="671" t="n"/>
      <c r="R344" s="637" t="n"/>
      <c r="S344" s="40" t="inlineStr"/>
      <c r="T344" s="40" t="inlineStr"/>
      <c r="U344" s="41" t="inlineStr">
        <is>
          <t>кг</t>
        </is>
      </c>
      <c r="V344" s="672" t="n">
        <v>275</v>
      </c>
      <c r="W344" s="673">
        <f>IFERROR(IF(V344="",0,CEILING((V344/$H344),1)*$H344),"")</f>
        <v/>
      </c>
      <c r="X344" s="42">
        <f>IFERROR(IF(W344=0,"",ROUNDUP(W344/H344,0)*0.00753),"")</f>
        <v/>
      </c>
      <c r="Y344" s="69" t="inlineStr"/>
      <c r="Z344" s="70" t="inlineStr"/>
      <c r="AD344" s="71" t="n"/>
      <c r="BA344" s="252" t="inlineStr">
        <is>
          <t>КИ</t>
        </is>
      </c>
    </row>
    <row r="345" ht="37.5" customHeight="1">
      <c r="A345" s="64" t="inlineStr">
        <is>
          <t>SU003035</t>
        </is>
      </c>
      <c r="B345" s="64" t="inlineStr">
        <is>
          <t>P003496</t>
        </is>
      </c>
      <c r="C345" s="37" t="n">
        <v>4301031236</v>
      </c>
      <c r="D345" s="325" t="n">
        <v>4680115882928</v>
      </c>
      <c r="E345" s="637" t="n"/>
      <c r="F345" s="669" t="n">
        <v>0.28</v>
      </c>
      <c r="G345" s="38" t="n">
        <v>6</v>
      </c>
      <c r="H345" s="669" t="n">
        <v>1.68</v>
      </c>
      <c r="I345" s="669" t="n">
        <v>2.6</v>
      </c>
      <c r="J345" s="38" t="n">
        <v>156</v>
      </c>
      <c r="K345" s="38" t="inlineStr">
        <is>
          <t>12</t>
        </is>
      </c>
      <c r="L345" s="39" t="inlineStr">
        <is>
          <t>СК2</t>
        </is>
      </c>
      <c r="M345" s="38" t="n">
        <v>35</v>
      </c>
      <c r="N345" s="857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O345" s="671" t="n"/>
      <c r="P345" s="671" t="n"/>
      <c r="Q345" s="671" t="n"/>
      <c r="R345" s="637" t="n"/>
      <c r="S345" s="40" t="inlineStr"/>
      <c r="T345" s="40" t="inlineStr"/>
      <c r="U345" s="41" t="inlineStr">
        <is>
          <t>кг</t>
        </is>
      </c>
      <c r="V345" s="672" t="n">
        <v>0</v>
      </c>
      <c r="W345" s="673">
        <f>IFERROR(IF(V345="",0,CEILING((V345/$H345),1)*$H345),"")</f>
        <v/>
      </c>
      <c r="X345" s="42">
        <f>IFERROR(IF(W345=0,"",ROUNDUP(W345/H345,0)*0.00753),"")</f>
        <v/>
      </c>
      <c r="Y345" s="69" t="inlineStr"/>
      <c r="Z345" s="70" t="inlineStr"/>
      <c r="AD345" s="71" t="n"/>
      <c r="BA345" s="253" t="inlineStr">
        <is>
          <t>КИ</t>
        </is>
      </c>
    </row>
    <row r="346" ht="27" customHeight="1">
      <c r="A346" s="64" t="inlineStr">
        <is>
          <t>SU003083</t>
        </is>
      </c>
      <c r="B346" s="64" t="inlineStr">
        <is>
          <t>P003646</t>
        </is>
      </c>
      <c r="C346" s="37" t="n">
        <v>4301031257</v>
      </c>
      <c r="D346" s="325" t="n">
        <v>4680115883147</v>
      </c>
      <c r="E346" s="637" t="n"/>
      <c r="F346" s="669" t="n">
        <v>0.28</v>
      </c>
      <c r="G346" s="38" t="n">
        <v>6</v>
      </c>
      <c r="H346" s="669" t="n">
        <v>1.68</v>
      </c>
      <c r="I346" s="669" t="n">
        <v>1.81</v>
      </c>
      <c r="J346" s="38" t="n">
        <v>234</v>
      </c>
      <c r="K346" s="38" t="inlineStr">
        <is>
          <t>18</t>
        </is>
      </c>
      <c r="L346" s="39" t="inlineStr">
        <is>
          <t>СК2</t>
        </is>
      </c>
      <c r="M346" s="38" t="n">
        <v>45</v>
      </c>
      <c r="N346" s="858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O346" s="671" t="n"/>
      <c r="P346" s="671" t="n"/>
      <c r="Q346" s="671" t="n"/>
      <c r="R346" s="637" t="n"/>
      <c r="S346" s="40" t="inlineStr"/>
      <c r="T346" s="40" t="inlineStr"/>
      <c r="U346" s="41" t="inlineStr">
        <is>
          <t>кг</t>
        </is>
      </c>
      <c r="V346" s="672" t="n">
        <v>0</v>
      </c>
      <c r="W346" s="673">
        <f>IFERROR(IF(V346="",0,CEILING((V346/$H346),1)*$H346),"")</f>
        <v/>
      </c>
      <c r="X346" s="42">
        <f>IFERROR(IF(W346=0,"",ROUNDUP(W346/H346,0)*0.00502),"")</f>
        <v/>
      </c>
      <c r="Y346" s="69" t="inlineStr"/>
      <c r="Z346" s="70" t="inlineStr"/>
      <c r="AD346" s="71" t="n"/>
      <c r="BA346" s="254" t="inlineStr">
        <is>
          <t>КИ</t>
        </is>
      </c>
    </row>
    <row r="347" ht="27" customHeight="1">
      <c r="A347" s="64" t="inlineStr">
        <is>
          <t>SU002538</t>
        </is>
      </c>
      <c r="B347" s="64" t="inlineStr">
        <is>
          <t>P003139</t>
        </is>
      </c>
      <c r="C347" s="37" t="n">
        <v>4301031178</v>
      </c>
      <c r="D347" s="325" t="n">
        <v>4607091384338</v>
      </c>
      <c r="E347" s="637" t="n"/>
      <c r="F347" s="669" t="n">
        <v>0.35</v>
      </c>
      <c r="G347" s="38" t="n">
        <v>6</v>
      </c>
      <c r="H347" s="669" t="n">
        <v>2.1</v>
      </c>
      <c r="I347" s="669" t="n">
        <v>2.23</v>
      </c>
      <c r="J347" s="38" t="n">
        <v>234</v>
      </c>
      <c r="K347" s="38" t="inlineStr">
        <is>
          <t>18</t>
        </is>
      </c>
      <c r="L347" s="39" t="inlineStr">
        <is>
          <t>СК2</t>
        </is>
      </c>
      <c r="M347" s="38" t="n">
        <v>45</v>
      </c>
      <c r="N347" s="859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O347" s="671" t="n"/>
      <c r="P347" s="671" t="n"/>
      <c r="Q347" s="671" t="n"/>
      <c r="R347" s="637" t="n"/>
      <c r="S347" s="40" t="inlineStr"/>
      <c r="T347" s="40" t="inlineStr"/>
      <c r="U347" s="41" t="inlineStr">
        <is>
          <t>кг</t>
        </is>
      </c>
      <c r="V347" s="672" t="n">
        <v>6</v>
      </c>
      <c r="W347" s="673">
        <f>IFERROR(IF(V347="",0,CEILING((V347/$H347),1)*$H347),"")</f>
        <v/>
      </c>
      <c r="X347" s="42">
        <f>IFERROR(IF(W347=0,"",ROUNDUP(W347/H347,0)*0.00502),"")</f>
        <v/>
      </c>
      <c r="Y347" s="69" t="inlineStr"/>
      <c r="Z347" s="70" t="inlineStr"/>
      <c r="AD347" s="71" t="n"/>
      <c r="BA347" s="255" t="inlineStr">
        <is>
          <t>КИ</t>
        </is>
      </c>
    </row>
    <row r="348" ht="37.5" customHeight="1">
      <c r="A348" s="64" t="inlineStr">
        <is>
          <t>SU003079</t>
        </is>
      </c>
      <c r="B348" s="64" t="inlineStr">
        <is>
          <t>P003643</t>
        </is>
      </c>
      <c r="C348" s="37" t="n">
        <v>4301031254</v>
      </c>
      <c r="D348" s="325" t="n">
        <v>4680115883154</v>
      </c>
      <c r="E348" s="637" t="n"/>
      <c r="F348" s="669" t="n">
        <v>0.28</v>
      </c>
      <c r="G348" s="38" t="n">
        <v>6</v>
      </c>
      <c r="H348" s="669" t="n">
        <v>1.68</v>
      </c>
      <c r="I348" s="669" t="n">
        <v>1.81</v>
      </c>
      <c r="J348" s="38" t="n">
        <v>234</v>
      </c>
      <c r="K348" s="38" t="inlineStr">
        <is>
          <t>18</t>
        </is>
      </c>
      <c r="L348" s="39" t="inlineStr">
        <is>
          <t>СК2</t>
        </is>
      </c>
      <c r="M348" s="38" t="n">
        <v>45</v>
      </c>
      <c r="N348" s="860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O348" s="671" t="n"/>
      <c r="P348" s="671" t="n"/>
      <c r="Q348" s="671" t="n"/>
      <c r="R348" s="637" t="n"/>
      <c r="S348" s="40" t="inlineStr"/>
      <c r="T348" s="40" t="inlineStr"/>
      <c r="U348" s="41" t="inlineStr">
        <is>
          <t>кг</t>
        </is>
      </c>
      <c r="V348" s="672" t="n">
        <v>0</v>
      </c>
      <c r="W348" s="673">
        <f>IFERROR(IF(V348="",0,CEILING((V348/$H348),1)*$H348),"")</f>
        <v/>
      </c>
      <c r="X348" s="42">
        <f>IFERROR(IF(W348=0,"",ROUNDUP(W348/H348,0)*0.00502),"")</f>
        <v/>
      </c>
      <c r="Y348" s="69" t="inlineStr"/>
      <c r="Z348" s="70" t="inlineStr"/>
      <c r="AD348" s="71" t="n"/>
      <c r="BA348" s="256" t="inlineStr">
        <is>
          <t>КИ</t>
        </is>
      </c>
    </row>
    <row r="349" ht="37.5" customHeight="1">
      <c r="A349" s="64" t="inlineStr">
        <is>
          <t>SU002602</t>
        </is>
      </c>
      <c r="B349" s="64" t="inlineStr">
        <is>
          <t>P003132</t>
        </is>
      </c>
      <c r="C349" s="37" t="n">
        <v>4301031171</v>
      </c>
      <c r="D349" s="325" t="n">
        <v>4607091389524</v>
      </c>
      <c r="E349" s="637" t="n"/>
      <c r="F349" s="669" t="n">
        <v>0.35</v>
      </c>
      <c r="G349" s="38" t="n">
        <v>6</v>
      </c>
      <c r="H349" s="669" t="n">
        <v>2.1</v>
      </c>
      <c r="I349" s="669" t="n">
        <v>2.23</v>
      </c>
      <c r="J349" s="38" t="n">
        <v>234</v>
      </c>
      <c r="K349" s="38" t="inlineStr">
        <is>
          <t>18</t>
        </is>
      </c>
      <c r="L349" s="39" t="inlineStr">
        <is>
          <t>СК2</t>
        </is>
      </c>
      <c r="M349" s="38" t="n">
        <v>45</v>
      </c>
      <c r="N349" s="861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O349" s="671" t="n"/>
      <c r="P349" s="671" t="n"/>
      <c r="Q349" s="671" t="n"/>
      <c r="R349" s="637" t="n"/>
      <c r="S349" s="40" t="inlineStr"/>
      <c r="T349" s="40" t="inlineStr"/>
      <c r="U349" s="41" t="inlineStr">
        <is>
          <t>кг</t>
        </is>
      </c>
      <c r="V349" s="672" t="n">
        <v>0</v>
      </c>
      <c r="W349" s="673">
        <f>IFERROR(IF(V349="",0,CEILING((V349/$H349),1)*$H349),"")</f>
        <v/>
      </c>
      <c r="X349" s="42">
        <f>IFERROR(IF(W349=0,"",ROUNDUP(W349/H349,0)*0.00502),"")</f>
        <v/>
      </c>
      <c r="Y349" s="69" t="inlineStr"/>
      <c r="Z349" s="70" t="inlineStr"/>
      <c r="AD349" s="71" t="n"/>
      <c r="BA349" s="257" t="inlineStr">
        <is>
          <t>КИ</t>
        </is>
      </c>
    </row>
    <row r="350" ht="27" customHeight="1">
      <c r="A350" s="64" t="inlineStr">
        <is>
          <t>SU003080</t>
        </is>
      </c>
      <c r="B350" s="64" t="inlineStr">
        <is>
          <t>P003647</t>
        </is>
      </c>
      <c r="C350" s="37" t="n">
        <v>4301031258</v>
      </c>
      <c r="D350" s="325" t="n">
        <v>4680115883161</v>
      </c>
      <c r="E350" s="637" t="n"/>
      <c r="F350" s="669" t="n">
        <v>0.28</v>
      </c>
      <c r="G350" s="38" t="n">
        <v>6</v>
      </c>
      <c r="H350" s="669" t="n">
        <v>1.68</v>
      </c>
      <c r="I350" s="669" t="n">
        <v>1.81</v>
      </c>
      <c r="J350" s="38" t="n">
        <v>234</v>
      </c>
      <c r="K350" s="38" t="inlineStr">
        <is>
          <t>18</t>
        </is>
      </c>
      <c r="L350" s="39" t="inlineStr">
        <is>
          <t>СК2</t>
        </is>
      </c>
      <c r="M350" s="38" t="n">
        <v>45</v>
      </c>
      <c r="N350" s="862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O350" s="671" t="n"/>
      <c r="P350" s="671" t="n"/>
      <c r="Q350" s="671" t="n"/>
      <c r="R350" s="637" t="n"/>
      <c r="S350" s="40" t="inlineStr"/>
      <c r="T350" s="40" t="inlineStr"/>
      <c r="U350" s="41" t="inlineStr">
        <is>
          <t>кг</t>
        </is>
      </c>
      <c r="V350" s="672" t="n">
        <v>0</v>
      </c>
      <c r="W350" s="673">
        <f>IFERROR(IF(V350="",0,CEILING((V350/$H350),1)*$H350),"")</f>
        <v/>
      </c>
      <c r="X350" s="42">
        <f>IFERROR(IF(W350=0,"",ROUNDUP(W350/H350,0)*0.00502),"")</f>
        <v/>
      </c>
      <c r="Y350" s="69" t="inlineStr"/>
      <c r="Z350" s="70" t="inlineStr"/>
      <c r="AD350" s="71" t="n"/>
      <c r="BA350" s="258" t="inlineStr">
        <is>
          <t>КИ</t>
        </is>
      </c>
    </row>
    <row r="351" ht="27" customHeight="1">
      <c r="A351" s="64" t="inlineStr">
        <is>
          <t>SU002603</t>
        </is>
      </c>
      <c r="B351" s="64" t="inlineStr">
        <is>
          <t>P003131</t>
        </is>
      </c>
      <c r="C351" s="37" t="n">
        <v>4301031170</v>
      </c>
      <c r="D351" s="325" t="n">
        <v>4607091384345</v>
      </c>
      <c r="E351" s="637" t="n"/>
      <c r="F351" s="669" t="n">
        <v>0.35</v>
      </c>
      <c r="G351" s="38" t="n">
        <v>6</v>
      </c>
      <c r="H351" s="669" t="n">
        <v>2.1</v>
      </c>
      <c r="I351" s="669" t="n">
        <v>2.23</v>
      </c>
      <c r="J351" s="38" t="n">
        <v>234</v>
      </c>
      <c r="K351" s="38" t="inlineStr">
        <is>
          <t>18</t>
        </is>
      </c>
      <c r="L351" s="39" t="inlineStr">
        <is>
          <t>СК2</t>
        </is>
      </c>
      <c r="M351" s="38" t="n">
        <v>45</v>
      </c>
      <c r="N351" s="863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O351" s="671" t="n"/>
      <c r="P351" s="671" t="n"/>
      <c r="Q351" s="671" t="n"/>
      <c r="R351" s="637" t="n"/>
      <c r="S351" s="40" t="inlineStr"/>
      <c r="T351" s="40" t="inlineStr"/>
      <c r="U351" s="41" t="inlineStr">
        <is>
          <t>кг</t>
        </is>
      </c>
      <c r="V351" s="672" t="n">
        <v>0</v>
      </c>
      <c r="W351" s="673">
        <f>IFERROR(IF(V351="",0,CEILING((V351/$H351),1)*$H351),"")</f>
        <v/>
      </c>
      <c r="X351" s="42">
        <f>IFERROR(IF(W351=0,"",ROUNDUP(W351/H351,0)*0.00502),"")</f>
        <v/>
      </c>
      <c r="Y351" s="69" t="inlineStr"/>
      <c r="Z351" s="70" t="inlineStr"/>
      <c r="AD351" s="71" t="n"/>
      <c r="BA351" s="259" t="inlineStr">
        <is>
          <t>КИ</t>
        </is>
      </c>
    </row>
    <row r="352" ht="27" customHeight="1">
      <c r="A352" s="64" t="inlineStr">
        <is>
          <t>SU003081</t>
        </is>
      </c>
      <c r="B352" s="64" t="inlineStr">
        <is>
          <t>P003645</t>
        </is>
      </c>
      <c r="C352" s="37" t="n">
        <v>4301031256</v>
      </c>
      <c r="D352" s="325" t="n">
        <v>4680115883178</v>
      </c>
      <c r="E352" s="637" t="n"/>
      <c r="F352" s="669" t="n">
        <v>0.28</v>
      </c>
      <c r="G352" s="38" t="n">
        <v>6</v>
      </c>
      <c r="H352" s="669" t="n">
        <v>1.68</v>
      </c>
      <c r="I352" s="669" t="n">
        <v>1.81</v>
      </c>
      <c r="J352" s="38" t="n">
        <v>234</v>
      </c>
      <c r="K352" s="38" t="inlineStr">
        <is>
          <t>18</t>
        </is>
      </c>
      <c r="L352" s="39" t="inlineStr">
        <is>
          <t>СК2</t>
        </is>
      </c>
      <c r="M352" s="38" t="n">
        <v>45</v>
      </c>
      <c r="N352" s="864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O352" s="671" t="n"/>
      <c r="P352" s="671" t="n"/>
      <c r="Q352" s="671" t="n"/>
      <c r="R352" s="637" t="n"/>
      <c r="S352" s="40" t="inlineStr"/>
      <c r="T352" s="40" t="inlineStr"/>
      <c r="U352" s="41" t="inlineStr">
        <is>
          <t>кг</t>
        </is>
      </c>
      <c r="V352" s="672" t="n">
        <v>0</v>
      </c>
      <c r="W352" s="673">
        <f>IFERROR(IF(V352="",0,CEILING((V352/$H352),1)*$H352),"")</f>
        <v/>
      </c>
      <c r="X352" s="42">
        <f>IFERROR(IF(W352=0,"",ROUNDUP(W352/H352,0)*0.00502),"")</f>
        <v/>
      </c>
      <c r="Y352" s="69" t="inlineStr"/>
      <c r="Z352" s="70" t="inlineStr"/>
      <c r="AD352" s="71" t="n"/>
      <c r="BA352" s="260" t="inlineStr">
        <is>
          <t>КИ</t>
        </is>
      </c>
    </row>
    <row r="353" ht="27" customHeight="1">
      <c r="A353" s="64" t="inlineStr">
        <is>
          <t>SU002606</t>
        </is>
      </c>
      <c r="B353" s="64" t="inlineStr">
        <is>
          <t>P003134</t>
        </is>
      </c>
      <c r="C353" s="37" t="n">
        <v>4301031172</v>
      </c>
      <c r="D353" s="325" t="n">
        <v>4607091389531</v>
      </c>
      <c r="E353" s="637" t="n"/>
      <c r="F353" s="669" t="n">
        <v>0.35</v>
      </c>
      <c r="G353" s="38" t="n">
        <v>6</v>
      </c>
      <c r="H353" s="669" t="n">
        <v>2.1</v>
      </c>
      <c r="I353" s="669" t="n">
        <v>2.23</v>
      </c>
      <c r="J353" s="38" t="n">
        <v>234</v>
      </c>
      <c r="K353" s="38" t="inlineStr">
        <is>
          <t>18</t>
        </is>
      </c>
      <c r="L353" s="39" t="inlineStr">
        <is>
          <t>СК2</t>
        </is>
      </c>
      <c r="M353" s="38" t="n">
        <v>45</v>
      </c>
      <c r="N353" s="865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O353" s="671" t="n"/>
      <c r="P353" s="671" t="n"/>
      <c r="Q353" s="671" t="n"/>
      <c r="R353" s="637" t="n"/>
      <c r="S353" s="40" t="inlineStr"/>
      <c r="T353" s="40" t="inlineStr"/>
      <c r="U353" s="41" t="inlineStr">
        <is>
          <t>кг</t>
        </is>
      </c>
      <c r="V353" s="672" t="n">
        <v>0</v>
      </c>
      <c r="W353" s="673">
        <f>IFERROR(IF(V353="",0,CEILING((V353/$H353),1)*$H353),"")</f>
        <v/>
      </c>
      <c r="X353" s="42">
        <f>IFERROR(IF(W353=0,"",ROUNDUP(W353/H353,0)*0.00502),"")</f>
        <v/>
      </c>
      <c r="Y353" s="69" t="inlineStr"/>
      <c r="Z353" s="70" t="inlineStr"/>
      <c r="AD353" s="71" t="n"/>
      <c r="BA353" s="261" t="inlineStr">
        <is>
          <t>КИ</t>
        </is>
      </c>
    </row>
    <row r="354" ht="27" customHeight="1">
      <c r="A354" s="64" t="inlineStr">
        <is>
          <t>SU003082</t>
        </is>
      </c>
      <c r="B354" s="64" t="inlineStr">
        <is>
          <t>P003644</t>
        </is>
      </c>
      <c r="C354" s="37" t="n">
        <v>4301031255</v>
      </c>
      <c r="D354" s="325" t="n">
        <v>4680115883185</v>
      </c>
      <c r="E354" s="637" t="n"/>
      <c r="F354" s="669" t="n">
        <v>0.28</v>
      </c>
      <c r="G354" s="38" t="n">
        <v>6</v>
      </c>
      <c r="H354" s="669" t="n">
        <v>1.68</v>
      </c>
      <c r="I354" s="669" t="n">
        <v>1.81</v>
      </c>
      <c r="J354" s="38" t="n">
        <v>234</v>
      </c>
      <c r="K354" s="38" t="inlineStr">
        <is>
          <t>18</t>
        </is>
      </c>
      <c r="L354" s="39" t="inlineStr">
        <is>
          <t>СК2</t>
        </is>
      </c>
      <c r="M354" s="38" t="n">
        <v>45</v>
      </c>
      <c r="N354" s="866" t="inlineStr">
        <is>
          <t>В/к колбасы «Филейбургская с душистым чесноком» срез Фикс.вес 0,28 фиброуз в/у Баварушка</t>
        </is>
      </c>
      <c r="O354" s="671" t="n"/>
      <c r="P354" s="671" t="n"/>
      <c r="Q354" s="671" t="n"/>
      <c r="R354" s="637" t="n"/>
      <c r="S354" s="40" t="inlineStr"/>
      <c r="T354" s="40" t="inlineStr"/>
      <c r="U354" s="41" t="inlineStr">
        <is>
          <t>кг</t>
        </is>
      </c>
      <c r="V354" s="672" t="n">
        <v>0</v>
      </c>
      <c r="W354" s="673">
        <f>IFERROR(IF(V354="",0,CEILING((V354/$H354),1)*$H354),"")</f>
        <v/>
      </c>
      <c r="X354" s="42">
        <f>IFERROR(IF(W354=0,"",ROUNDUP(W354/H354,0)*0.00502),"")</f>
        <v/>
      </c>
      <c r="Y354" s="69" t="inlineStr"/>
      <c r="Z354" s="70" t="inlineStr"/>
      <c r="AD354" s="71" t="n"/>
      <c r="BA354" s="262" t="inlineStr">
        <is>
          <t>КИ</t>
        </is>
      </c>
    </row>
    <row r="355">
      <c r="A355" s="320" t="n"/>
      <c r="B355" s="313" t="n"/>
      <c r="C355" s="313" t="n"/>
      <c r="D355" s="313" t="n"/>
      <c r="E355" s="313" t="n"/>
      <c r="F355" s="313" t="n"/>
      <c r="G355" s="313" t="n"/>
      <c r="H355" s="313" t="n"/>
      <c r="I355" s="313" t="n"/>
      <c r="J355" s="313" t="n"/>
      <c r="K355" s="313" t="n"/>
      <c r="L355" s="313" t="n"/>
      <c r="M355" s="674" t="n"/>
      <c r="N355" s="675" t="inlineStr">
        <is>
          <t>Итого</t>
        </is>
      </c>
      <c r="O355" s="645" t="n"/>
      <c r="P355" s="645" t="n"/>
      <c r="Q355" s="645" t="n"/>
      <c r="R355" s="645" t="n"/>
      <c r="S355" s="645" t="n"/>
      <c r="T355" s="646" t="n"/>
      <c r="U355" s="43" t="inlineStr">
        <is>
          <t>кор</t>
        </is>
      </c>
      <c r="V355" s="676">
        <f>IFERROR(V342/H342,"0")+IFERROR(V343/H343,"0")+IFERROR(V344/H344,"0")+IFERROR(V345/H345,"0")+IFERROR(V346/H346,"0")+IFERROR(V347/H347,"0")+IFERROR(V348/H348,"0")+IFERROR(V349/H349,"0")+IFERROR(V350/H350,"0")+IFERROR(V351/H351,"0")+IFERROR(V352/H352,"0")+IFERROR(V353/H353,"0")+IFERROR(V354/H354,"0")</f>
        <v/>
      </c>
      <c r="W355" s="676">
        <f>IFERROR(W342/H342,"0")+IFERROR(W343/H343,"0")+IFERROR(W344/H344,"0")+IFERROR(W345/H345,"0")+IFERROR(W346/H346,"0")+IFERROR(W347/H347,"0")+IFERROR(W348/H348,"0")+IFERROR(W349/H349,"0")+IFERROR(W350/H350,"0")+IFERROR(W351/H351,"0")+IFERROR(W352/H352,"0")+IFERROR(W353/H353,"0")+IFERROR(W354/H354,"0")</f>
        <v/>
      </c>
      <c r="X355" s="676">
        <f>IFERROR(IF(X342="",0,X342),"0")+IFERROR(IF(X343="",0,X343),"0")+IFERROR(IF(X344="",0,X344),"0")+IFERROR(IF(X345="",0,X345),"0")+IFERROR(IF(X346="",0,X346),"0")+IFERROR(IF(X347="",0,X347),"0")+IFERROR(IF(X348="",0,X348),"0")+IFERROR(IF(X349="",0,X349),"0")+IFERROR(IF(X350="",0,X350),"0")+IFERROR(IF(X351="",0,X351),"0")+IFERROR(IF(X352="",0,X352),"0")+IFERROR(IF(X353="",0,X353),"0")+IFERROR(IF(X354="",0,X354),"0")</f>
        <v/>
      </c>
      <c r="Y355" s="677" t="n"/>
      <c r="Z355" s="677" t="n"/>
    </row>
    <row r="356">
      <c r="A356" s="313" t="n"/>
      <c r="B356" s="313" t="n"/>
      <c r="C356" s="313" t="n"/>
      <c r="D356" s="313" t="n"/>
      <c r="E356" s="313" t="n"/>
      <c r="F356" s="313" t="n"/>
      <c r="G356" s="313" t="n"/>
      <c r="H356" s="313" t="n"/>
      <c r="I356" s="313" t="n"/>
      <c r="J356" s="313" t="n"/>
      <c r="K356" s="313" t="n"/>
      <c r="L356" s="313" t="n"/>
      <c r="M356" s="674" t="n"/>
      <c r="N356" s="675" t="inlineStr">
        <is>
          <t>Итого</t>
        </is>
      </c>
      <c r="O356" s="645" t="n"/>
      <c r="P356" s="645" t="n"/>
      <c r="Q356" s="645" t="n"/>
      <c r="R356" s="645" t="n"/>
      <c r="S356" s="645" t="n"/>
      <c r="T356" s="646" t="n"/>
      <c r="U356" s="43" t="inlineStr">
        <is>
          <t>кг</t>
        </is>
      </c>
      <c r="V356" s="676">
        <f>IFERROR(SUM(V342:V354),"0")</f>
        <v/>
      </c>
      <c r="W356" s="676">
        <f>IFERROR(SUM(W342:W354),"0")</f>
        <v/>
      </c>
      <c r="X356" s="43" t="n"/>
      <c r="Y356" s="677" t="n"/>
      <c r="Z356" s="677" t="n"/>
    </row>
    <row r="357" ht="14.25" customHeight="1">
      <c r="A357" s="330" t="inlineStr">
        <is>
          <t>Сосиски</t>
        </is>
      </c>
      <c r="B357" s="313" t="n"/>
      <c r="C357" s="313" t="n"/>
      <c r="D357" s="313" t="n"/>
      <c r="E357" s="313" t="n"/>
      <c r="F357" s="313" t="n"/>
      <c r="G357" s="313" t="n"/>
      <c r="H357" s="313" t="n"/>
      <c r="I357" s="313" t="n"/>
      <c r="J357" s="313" t="n"/>
      <c r="K357" s="313" t="n"/>
      <c r="L357" s="313" t="n"/>
      <c r="M357" s="313" t="n"/>
      <c r="N357" s="313" t="n"/>
      <c r="O357" s="313" t="n"/>
      <c r="P357" s="313" t="n"/>
      <c r="Q357" s="313" t="n"/>
      <c r="R357" s="313" t="n"/>
      <c r="S357" s="313" t="n"/>
      <c r="T357" s="313" t="n"/>
      <c r="U357" s="313" t="n"/>
      <c r="V357" s="313" t="n"/>
      <c r="W357" s="313" t="n"/>
      <c r="X357" s="313" t="n"/>
      <c r="Y357" s="330" t="n"/>
      <c r="Z357" s="330" t="n"/>
    </row>
    <row r="358" ht="27" customHeight="1">
      <c r="A358" s="64" t="inlineStr">
        <is>
          <t>SU002448</t>
        </is>
      </c>
      <c r="B358" s="64" t="inlineStr">
        <is>
          <t>P002914</t>
        </is>
      </c>
      <c r="C358" s="37" t="n">
        <v>4301051258</v>
      </c>
      <c r="D358" s="325" t="n">
        <v>4607091389685</v>
      </c>
      <c r="E358" s="637" t="n"/>
      <c r="F358" s="669" t="n">
        <v>1.3</v>
      </c>
      <c r="G358" s="38" t="n">
        <v>6</v>
      </c>
      <c r="H358" s="669" t="n">
        <v>7.8</v>
      </c>
      <c r="I358" s="669" t="n">
        <v>8.346</v>
      </c>
      <c r="J358" s="38" t="n">
        <v>56</v>
      </c>
      <c r="K358" s="38" t="inlineStr">
        <is>
          <t>8</t>
        </is>
      </c>
      <c r="L358" s="39" t="inlineStr">
        <is>
          <t>СК3</t>
        </is>
      </c>
      <c r="M358" s="38" t="n">
        <v>45</v>
      </c>
      <c r="N358" s="867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O358" s="671" t="n"/>
      <c r="P358" s="671" t="n"/>
      <c r="Q358" s="671" t="n"/>
      <c r="R358" s="637" t="n"/>
      <c r="S358" s="40" t="inlineStr"/>
      <c r="T358" s="40" t="inlineStr"/>
      <c r="U358" s="41" t="inlineStr">
        <is>
          <t>кг</t>
        </is>
      </c>
      <c r="V358" s="672" t="n">
        <v>0</v>
      </c>
      <c r="W358" s="673">
        <f>IFERROR(IF(V358="",0,CEILING((V358/$H358),1)*$H358),"")</f>
        <v/>
      </c>
      <c r="X358" s="42">
        <f>IFERROR(IF(W358=0,"",ROUNDUP(W358/H358,0)*0.02175),"")</f>
        <v/>
      </c>
      <c r="Y358" s="69" t="inlineStr"/>
      <c r="Z358" s="70" t="inlineStr"/>
      <c r="AD358" s="71" t="n"/>
      <c r="BA358" s="263" t="inlineStr">
        <is>
          <t>КИ</t>
        </is>
      </c>
    </row>
    <row r="359" ht="27" customHeight="1">
      <c r="A359" s="64" t="inlineStr">
        <is>
          <t>SU002557</t>
        </is>
      </c>
      <c r="B359" s="64" t="inlineStr">
        <is>
          <t>P003318</t>
        </is>
      </c>
      <c r="C359" s="37" t="n">
        <v>4301051431</v>
      </c>
      <c r="D359" s="325" t="n">
        <v>4607091389654</v>
      </c>
      <c r="E359" s="637" t="n"/>
      <c r="F359" s="669" t="n">
        <v>0.33</v>
      </c>
      <c r="G359" s="38" t="n">
        <v>6</v>
      </c>
      <c r="H359" s="669" t="n">
        <v>1.98</v>
      </c>
      <c r="I359" s="669" t="n">
        <v>2.258</v>
      </c>
      <c r="J359" s="38" t="n">
        <v>156</v>
      </c>
      <c r="K359" s="38" t="inlineStr">
        <is>
          <t>12</t>
        </is>
      </c>
      <c r="L359" s="39" t="inlineStr">
        <is>
          <t>СК3</t>
        </is>
      </c>
      <c r="M359" s="38" t="n">
        <v>45</v>
      </c>
      <c r="N359" s="868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O359" s="671" t="n"/>
      <c r="P359" s="671" t="n"/>
      <c r="Q359" s="671" t="n"/>
      <c r="R359" s="637" t="n"/>
      <c r="S359" s="40" t="inlineStr"/>
      <c r="T359" s="40" t="inlineStr"/>
      <c r="U359" s="41" t="inlineStr">
        <is>
          <t>кг</t>
        </is>
      </c>
      <c r="V359" s="672" t="n">
        <v>0</v>
      </c>
      <c r="W359" s="673">
        <f>IFERROR(IF(V359="",0,CEILING((V359/$H359),1)*$H359),"")</f>
        <v/>
      </c>
      <c r="X359" s="42">
        <f>IFERROR(IF(W359=0,"",ROUNDUP(W359/H359,0)*0.00753),"")</f>
        <v/>
      </c>
      <c r="Y359" s="69" t="inlineStr"/>
      <c r="Z359" s="70" t="inlineStr"/>
      <c r="AD359" s="71" t="n"/>
      <c r="BA359" s="264" t="inlineStr">
        <is>
          <t>КИ</t>
        </is>
      </c>
    </row>
    <row r="360" ht="27" customHeight="1">
      <c r="A360" s="64" t="inlineStr">
        <is>
          <t>SU002285</t>
        </is>
      </c>
      <c r="B360" s="64" t="inlineStr">
        <is>
          <t>P002969</t>
        </is>
      </c>
      <c r="C360" s="37" t="n">
        <v>4301051284</v>
      </c>
      <c r="D360" s="325" t="n">
        <v>4607091384352</v>
      </c>
      <c r="E360" s="637" t="n"/>
      <c r="F360" s="669" t="n">
        <v>0.6</v>
      </c>
      <c r="G360" s="38" t="n">
        <v>4</v>
      </c>
      <c r="H360" s="669" t="n">
        <v>2.4</v>
      </c>
      <c r="I360" s="669" t="n">
        <v>2.646</v>
      </c>
      <c r="J360" s="38" t="n">
        <v>120</v>
      </c>
      <c r="K360" s="38" t="inlineStr">
        <is>
          <t>12</t>
        </is>
      </c>
      <c r="L360" s="39" t="inlineStr">
        <is>
          <t>СК3</t>
        </is>
      </c>
      <c r="M360" s="38" t="n">
        <v>45</v>
      </c>
      <c r="N360" s="869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O360" s="671" t="n"/>
      <c r="P360" s="671" t="n"/>
      <c r="Q360" s="671" t="n"/>
      <c r="R360" s="637" t="n"/>
      <c r="S360" s="40" t="inlineStr"/>
      <c r="T360" s="40" t="inlineStr"/>
      <c r="U360" s="41" t="inlineStr">
        <is>
          <t>кг</t>
        </is>
      </c>
      <c r="V360" s="672" t="n">
        <v>0</v>
      </c>
      <c r="W360" s="673">
        <f>IFERROR(IF(V360="",0,CEILING((V360/$H360),1)*$H360),"")</f>
        <v/>
      </c>
      <c r="X360" s="42">
        <f>IFERROR(IF(W360=0,"",ROUNDUP(W360/H360,0)*0.00937),"")</f>
        <v/>
      </c>
      <c r="Y360" s="69" t="inlineStr"/>
      <c r="Z360" s="70" t="inlineStr"/>
      <c r="AD360" s="71" t="n"/>
      <c r="BA360" s="265" t="inlineStr">
        <is>
          <t>КИ</t>
        </is>
      </c>
    </row>
    <row r="361" ht="27" customHeight="1">
      <c r="A361" s="64" t="inlineStr">
        <is>
          <t>SU002419</t>
        </is>
      </c>
      <c r="B361" s="64" t="inlineStr">
        <is>
          <t>P002913</t>
        </is>
      </c>
      <c r="C361" s="37" t="n">
        <v>4301051257</v>
      </c>
      <c r="D361" s="325" t="n">
        <v>4607091389661</v>
      </c>
      <c r="E361" s="637" t="n"/>
      <c r="F361" s="669" t="n">
        <v>0.55</v>
      </c>
      <c r="G361" s="38" t="n">
        <v>4</v>
      </c>
      <c r="H361" s="669" t="n">
        <v>2.2</v>
      </c>
      <c r="I361" s="669" t="n">
        <v>2.492</v>
      </c>
      <c r="J361" s="38" t="n">
        <v>120</v>
      </c>
      <c r="K361" s="38" t="inlineStr">
        <is>
          <t>12</t>
        </is>
      </c>
      <c r="L361" s="39" t="inlineStr">
        <is>
          <t>СК3</t>
        </is>
      </c>
      <c r="M361" s="38" t="n">
        <v>45</v>
      </c>
      <c r="N361" s="870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O361" s="671" t="n"/>
      <c r="P361" s="671" t="n"/>
      <c r="Q361" s="671" t="n"/>
      <c r="R361" s="637" t="n"/>
      <c r="S361" s="40" t="inlineStr"/>
      <c r="T361" s="40" t="inlineStr"/>
      <c r="U361" s="41" t="inlineStr">
        <is>
          <t>кг</t>
        </is>
      </c>
      <c r="V361" s="672" t="n">
        <v>0</v>
      </c>
      <c r="W361" s="673">
        <f>IFERROR(IF(V361="",0,CEILING((V361/$H361),1)*$H361),"")</f>
        <v/>
      </c>
      <c r="X361" s="42">
        <f>IFERROR(IF(W361=0,"",ROUNDUP(W361/H361,0)*0.00937),"")</f>
        <v/>
      </c>
      <c r="Y361" s="69" t="inlineStr"/>
      <c r="Z361" s="70" t="inlineStr"/>
      <c r="AD361" s="71" t="n"/>
      <c r="BA361" s="266" t="inlineStr">
        <is>
          <t>КИ</t>
        </is>
      </c>
    </row>
    <row r="362">
      <c r="A362" s="320" t="n"/>
      <c r="B362" s="313" t="n"/>
      <c r="C362" s="313" t="n"/>
      <c r="D362" s="313" t="n"/>
      <c r="E362" s="313" t="n"/>
      <c r="F362" s="313" t="n"/>
      <c r="G362" s="313" t="n"/>
      <c r="H362" s="313" t="n"/>
      <c r="I362" s="313" t="n"/>
      <c r="J362" s="313" t="n"/>
      <c r="K362" s="313" t="n"/>
      <c r="L362" s="313" t="n"/>
      <c r="M362" s="674" t="n"/>
      <c r="N362" s="675" t="inlineStr">
        <is>
          <t>Итого</t>
        </is>
      </c>
      <c r="O362" s="645" t="n"/>
      <c r="P362" s="645" t="n"/>
      <c r="Q362" s="645" t="n"/>
      <c r="R362" s="645" t="n"/>
      <c r="S362" s="645" t="n"/>
      <c r="T362" s="646" t="n"/>
      <c r="U362" s="43" t="inlineStr">
        <is>
          <t>кор</t>
        </is>
      </c>
      <c r="V362" s="676">
        <f>IFERROR(V358/H358,"0")+IFERROR(V359/H359,"0")+IFERROR(V360/H360,"0")+IFERROR(V361/H361,"0")</f>
        <v/>
      </c>
      <c r="W362" s="676">
        <f>IFERROR(W358/H358,"0")+IFERROR(W359/H359,"0")+IFERROR(W360/H360,"0")+IFERROR(W361/H361,"0")</f>
        <v/>
      </c>
      <c r="X362" s="676">
        <f>IFERROR(IF(X358="",0,X358),"0")+IFERROR(IF(X359="",0,X359),"0")+IFERROR(IF(X360="",0,X360),"0")+IFERROR(IF(X361="",0,X361),"0")</f>
        <v/>
      </c>
      <c r="Y362" s="677" t="n"/>
      <c r="Z362" s="677" t="n"/>
    </row>
    <row r="363">
      <c r="A363" s="313" t="n"/>
      <c r="B363" s="313" t="n"/>
      <c r="C363" s="313" t="n"/>
      <c r="D363" s="313" t="n"/>
      <c r="E363" s="313" t="n"/>
      <c r="F363" s="313" t="n"/>
      <c r="G363" s="313" t="n"/>
      <c r="H363" s="313" t="n"/>
      <c r="I363" s="313" t="n"/>
      <c r="J363" s="313" t="n"/>
      <c r="K363" s="313" t="n"/>
      <c r="L363" s="313" t="n"/>
      <c r="M363" s="674" t="n"/>
      <c r="N363" s="675" t="inlineStr">
        <is>
          <t>Итого</t>
        </is>
      </c>
      <c r="O363" s="645" t="n"/>
      <c r="P363" s="645" t="n"/>
      <c r="Q363" s="645" t="n"/>
      <c r="R363" s="645" t="n"/>
      <c r="S363" s="645" t="n"/>
      <c r="T363" s="646" t="n"/>
      <c r="U363" s="43" t="inlineStr">
        <is>
          <t>кг</t>
        </is>
      </c>
      <c r="V363" s="676">
        <f>IFERROR(SUM(V358:V361),"0")</f>
        <v/>
      </c>
      <c r="W363" s="676">
        <f>IFERROR(SUM(W358:W361),"0")</f>
        <v/>
      </c>
      <c r="X363" s="43" t="n"/>
      <c r="Y363" s="677" t="n"/>
      <c r="Z363" s="677" t="n"/>
    </row>
    <row r="364" ht="14.25" customHeight="1">
      <c r="A364" s="330" t="inlineStr">
        <is>
          <t>Сардельки</t>
        </is>
      </c>
      <c r="B364" s="313" t="n"/>
      <c r="C364" s="313" t="n"/>
      <c r="D364" s="313" t="n"/>
      <c r="E364" s="313" t="n"/>
      <c r="F364" s="313" t="n"/>
      <c r="G364" s="313" t="n"/>
      <c r="H364" s="313" t="n"/>
      <c r="I364" s="313" t="n"/>
      <c r="J364" s="313" t="n"/>
      <c r="K364" s="313" t="n"/>
      <c r="L364" s="313" t="n"/>
      <c r="M364" s="313" t="n"/>
      <c r="N364" s="313" t="n"/>
      <c r="O364" s="313" t="n"/>
      <c r="P364" s="313" t="n"/>
      <c r="Q364" s="313" t="n"/>
      <c r="R364" s="313" t="n"/>
      <c r="S364" s="313" t="n"/>
      <c r="T364" s="313" t="n"/>
      <c r="U364" s="313" t="n"/>
      <c r="V364" s="313" t="n"/>
      <c r="W364" s="313" t="n"/>
      <c r="X364" s="313" t="n"/>
      <c r="Y364" s="330" t="n"/>
      <c r="Z364" s="330" t="n"/>
    </row>
    <row r="365" ht="27" customHeight="1">
      <c r="A365" s="64" t="inlineStr">
        <is>
          <t>SU002846</t>
        </is>
      </c>
      <c r="B365" s="64" t="inlineStr">
        <is>
          <t>P003254</t>
        </is>
      </c>
      <c r="C365" s="37" t="n">
        <v>4301060352</v>
      </c>
      <c r="D365" s="325" t="n">
        <v>4680115881648</v>
      </c>
      <c r="E365" s="637" t="n"/>
      <c r="F365" s="669" t="n">
        <v>1</v>
      </c>
      <c r="G365" s="38" t="n">
        <v>4</v>
      </c>
      <c r="H365" s="669" t="n">
        <v>4</v>
      </c>
      <c r="I365" s="669" t="n">
        <v>4.404</v>
      </c>
      <c r="J365" s="38" t="n">
        <v>104</v>
      </c>
      <c r="K365" s="38" t="inlineStr">
        <is>
          <t>8</t>
        </is>
      </c>
      <c r="L365" s="39" t="inlineStr">
        <is>
          <t>СК2</t>
        </is>
      </c>
      <c r="M365" s="38" t="n">
        <v>35</v>
      </c>
      <c r="N365" s="871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O365" s="671" t="n"/>
      <c r="P365" s="671" t="n"/>
      <c r="Q365" s="671" t="n"/>
      <c r="R365" s="637" t="n"/>
      <c r="S365" s="40" t="inlineStr"/>
      <c r="T365" s="40" t="inlineStr"/>
      <c r="U365" s="41" t="inlineStr">
        <is>
          <t>кг</t>
        </is>
      </c>
      <c r="V365" s="672" t="n">
        <v>0</v>
      </c>
      <c r="W365" s="673">
        <f>IFERROR(IF(V365="",0,CEILING((V365/$H365),1)*$H365),"")</f>
        <v/>
      </c>
      <c r="X365" s="42">
        <f>IFERROR(IF(W365=0,"",ROUNDUP(W365/H365,0)*0.01196),"")</f>
        <v/>
      </c>
      <c r="Y365" s="69" t="inlineStr"/>
      <c r="Z365" s="70" t="inlineStr"/>
      <c r="AD365" s="71" t="n"/>
      <c r="BA365" s="267" t="inlineStr">
        <is>
          <t>КИ</t>
        </is>
      </c>
    </row>
    <row r="366">
      <c r="A366" s="320" t="n"/>
      <c r="B366" s="313" t="n"/>
      <c r="C366" s="313" t="n"/>
      <c r="D366" s="313" t="n"/>
      <c r="E366" s="313" t="n"/>
      <c r="F366" s="313" t="n"/>
      <c r="G366" s="313" t="n"/>
      <c r="H366" s="313" t="n"/>
      <c r="I366" s="313" t="n"/>
      <c r="J366" s="313" t="n"/>
      <c r="K366" s="313" t="n"/>
      <c r="L366" s="313" t="n"/>
      <c r="M366" s="674" t="n"/>
      <c r="N366" s="675" t="inlineStr">
        <is>
          <t>Итого</t>
        </is>
      </c>
      <c r="O366" s="645" t="n"/>
      <c r="P366" s="645" t="n"/>
      <c r="Q366" s="645" t="n"/>
      <c r="R366" s="645" t="n"/>
      <c r="S366" s="645" t="n"/>
      <c r="T366" s="646" t="n"/>
      <c r="U366" s="43" t="inlineStr">
        <is>
          <t>кор</t>
        </is>
      </c>
      <c r="V366" s="676">
        <f>IFERROR(V365/H365,"0")</f>
        <v/>
      </c>
      <c r="W366" s="676">
        <f>IFERROR(W365/H365,"0")</f>
        <v/>
      </c>
      <c r="X366" s="676">
        <f>IFERROR(IF(X365="",0,X365),"0")</f>
        <v/>
      </c>
      <c r="Y366" s="677" t="n"/>
      <c r="Z366" s="677" t="n"/>
    </row>
    <row r="367">
      <c r="A367" s="313" t="n"/>
      <c r="B367" s="313" t="n"/>
      <c r="C367" s="313" t="n"/>
      <c r="D367" s="313" t="n"/>
      <c r="E367" s="313" t="n"/>
      <c r="F367" s="313" t="n"/>
      <c r="G367" s="313" t="n"/>
      <c r="H367" s="313" t="n"/>
      <c r="I367" s="313" t="n"/>
      <c r="J367" s="313" t="n"/>
      <c r="K367" s="313" t="n"/>
      <c r="L367" s="313" t="n"/>
      <c r="M367" s="674" t="n"/>
      <c r="N367" s="675" t="inlineStr">
        <is>
          <t>Итого</t>
        </is>
      </c>
      <c r="O367" s="645" t="n"/>
      <c r="P367" s="645" t="n"/>
      <c r="Q367" s="645" t="n"/>
      <c r="R367" s="645" t="n"/>
      <c r="S367" s="645" t="n"/>
      <c r="T367" s="646" t="n"/>
      <c r="U367" s="43" t="inlineStr">
        <is>
          <t>кг</t>
        </is>
      </c>
      <c r="V367" s="676">
        <f>IFERROR(SUM(V365:V365),"0")</f>
        <v/>
      </c>
      <c r="W367" s="676">
        <f>IFERROR(SUM(W365:W365),"0")</f>
        <v/>
      </c>
      <c r="X367" s="43" t="n"/>
      <c r="Y367" s="677" t="n"/>
      <c r="Z367" s="677" t="n"/>
    </row>
    <row r="368" ht="14.25" customHeight="1">
      <c r="A368" s="330" t="inlineStr">
        <is>
          <t>Сырокопченые колбасы</t>
        </is>
      </c>
      <c r="B368" s="313" t="n"/>
      <c r="C368" s="313" t="n"/>
      <c r="D368" s="313" t="n"/>
      <c r="E368" s="313" t="n"/>
      <c r="F368" s="313" t="n"/>
      <c r="G368" s="313" t="n"/>
      <c r="H368" s="313" t="n"/>
      <c r="I368" s="313" t="n"/>
      <c r="J368" s="313" t="n"/>
      <c r="K368" s="313" t="n"/>
      <c r="L368" s="313" t="n"/>
      <c r="M368" s="313" t="n"/>
      <c r="N368" s="313" t="n"/>
      <c r="O368" s="313" t="n"/>
      <c r="P368" s="313" t="n"/>
      <c r="Q368" s="313" t="n"/>
      <c r="R368" s="313" t="n"/>
      <c r="S368" s="313" t="n"/>
      <c r="T368" s="313" t="n"/>
      <c r="U368" s="313" t="n"/>
      <c r="V368" s="313" t="n"/>
      <c r="W368" s="313" t="n"/>
      <c r="X368" s="313" t="n"/>
      <c r="Y368" s="330" t="n"/>
      <c r="Z368" s="330" t="n"/>
    </row>
    <row r="369" ht="27" customHeight="1">
      <c r="A369" s="64" t="inlineStr">
        <is>
          <t>SU003280</t>
        </is>
      </c>
      <c r="B369" s="64" t="inlineStr">
        <is>
          <t>P003776</t>
        </is>
      </c>
      <c r="C369" s="37" t="n">
        <v>4301032046</v>
      </c>
      <c r="D369" s="325" t="n">
        <v>4680115884359</v>
      </c>
      <c r="E369" s="637" t="n"/>
      <c r="F369" s="669" t="n">
        <v>0.06</v>
      </c>
      <c r="G369" s="38" t="n">
        <v>20</v>
      </c>
      <c r="H369" s="669" t="n">
        <v>1.2</v>
      </c>
      <c r="I369" s="669" t="n">
        <v>1.8</v>
      </c>
      <c r="J369" s="38" t="n">
        <v>160</v>
      </c>
      <c r="K369" s="38" t="inlineStr">
        <is>
          <t>10</t>
        </is>
      </c>
      <c r="L369" s="39" t="inlineStr">
        <is>
          <t>ДК</t>
        </is>
      </c>
      <c r="M369" s="38" t="n">
        <v>60</v>
      </c>
      <c r="N369" s="872" t="inlineStr">
        <is>
          <t>с/к колбасы «Балыкбургская с мраморным балыком и нотками кориандра» ф/в 0,06 нарезка ТМ «Баварушка»</t>
        </is>
      </c>
      <c r="O369" s="671" t="n"/>
      <c r="P369" s="671" t="n"/>
      <c r="Q369" s="671" t="n"/>
      <c r="R369" s="637" t="n"/>
      <c r="S369" s="40" t="inlineStr">
        <is>
          <t>01.12.2023</t>
        </is>
      </c>
      <c r="T369" s="40" t="inlineStr"/>
      <c r="U369" s="41" t="inlineStr">
        <is>
          <t>кг</t>
        </is>
      </c>
      <c r="V369" s="672" t="n">
        <v>0</v>
      </c>
      <c r="W369" s="673">
        <f>IFERROR(IF(V369="",0,CEILING((V369/$H369),1)*$H369),"")</f>
        <v/>
      </c>
      <c r="X369" s="42">
        <f>IFERROR(IF(W369=0,"",ROUNDUP(W369/H369,0)*0.00627),"")</f>
        <v/>
      </c>
      <c r="Y369" s="69" t="inlineStr"/>
      <c r="Z369" s="70" t="inlineStr">
        <is>
          <t>Новинка</t>
        </is>
      </c>
      <c r="AD369" s="71" t="n"/>
      <c r="BA369" s="268" t="inlineStr">
        <is>
          <t>КИ</t>
        </is>
      </c>
    </row>
    <row r="370" ht="27" customHeight="1">
      <c r="A370" s="64" t="inlineStr">
        <is>
          <t>SU003277</t>
        </is>
      </c>
      <c r="B370" s="64" t="inlineStr">
        <is>
          <t>P003775</t>
        </is>
      </c>
      <c r="C370" s="37" t="n">
        <v>4301032045</v>
      </c>
      <c r="D370" s="325" t="n">
        <v>4680115884335</v>
      </c>
      <c r="E370" s="637" t="n"/>
      <c r="F370" s="669" t="n">
        <v>0.06</v>
      </c>
      <c r="G370" s="38" t="n">
        <v>20</v>
      </c>
      <c r="H370" s="669" t="n">
        <v>1.2</v>
      </c>
      <c r="I370" s="669" t="n">
        <v>1.8</v>
      </c>
      <c r="J370" s="38" t="n">
        <v>160</v>
      </c>
      <c r="K370" s="38" t="inlineStr">
        <is>
          <t>10</t>
        </is>
      </c>
      <c r="L370" s="39" t="inlineStr">
        <is>
          <t>ДК</t>
        </is>
      </c>
      <c r="M370" s="38" t="n">
        <v>60</v>
      </c>
      <c r="N370" s="873" t="inlineStr">
        <is>
          <t>с/к колбасы «Филейбургская зернистая» ф/в 0,06 нарезка ТМ «Баварушка»</t>
        </is>
      </c>
      <c r="O370" s="671" t="n"/>
      <c r="P370" s="671" t="n"/>
      <c r="Q370" s="671" t="n"/>
      <c r="R370" s="637" t="n"/>
      <c r="S370" s="40" t="inlineStr">
        <is>
          <t>01.12.2023</t>
        </is>
      </c>
      <c r="T370" s="40" t="inlineStr"/>
      <c r="U370" s="41" t="inlineStr">
        <is>
          <t>кг</t>
        </is>
      </c>
      <c r="V370" s="672" t="n">
        <v>0</v>
      </c>
      <c r="W370" s="673">
        <f>IFERROR(IF(V370="",0,CEILING((V370/$H370),1)*$H370),"")</f>
        <v/>
      </c>
      <c r="X370" s="42">
        <f>IFERROR(IF(W370=0,"",ROUNDUP(W370/H370,0)*0.00627),"")</f>
        <v/>
      </c>
      <c r="Y370" s="69" t="inlineStr"/>
      <c r="Z370" s="70" t="inlineStr">
        <is>
          <t>Новинка</t>
        </is>
      </c>
      <c r="AD370" s="71" t="n"/>
      <c r="BA370" s="269" t="inlineStr">
        <is>
          <t>КИ</t>
        </is>
      </c>
    </row>
    <row r="371" ht="27" customHeight="1">
      <c r="A371" s="64" t="inlineStr">
        <is>
          <t>SU003281</t>
        </is>
      </c>
      <c r="B371" s="64" t="inlineStr">
        <is>
          <t>P003774</t>
        </is>
      </c>
      <c r="C371" s="37" t="n">
        <v>4301170011</v>
      </c>
      <c r="D371" s="325" t="n">
        <v>4680115884113</v>
      </c>
      <c r="E371" s="637" t="n"/>
      <c r="F371" s="669" t="n">
        <v>0.11</v>
      </c>
      <c r="G371" s="38" t="n">
        <v>12</v>
      </c>
      <c r="H371" s="669" t="n">
        <v>1.32</v>
      </c>
      <c r="I371" s="669" t="n">
        <v>1.88</v>
      </c>
      <c r="J371" s="38" t="n">
        <v>160</v>
      </c>
      <c r="K371" s="38" t="inlineStr">
        <is>
          <t>10</t>
        </is>
      </c>
      <c r="L371" s="39" t="inlineStr">
        <is>
          <t>ДК</t>
        </is>
      </c>
      <c r="M371" s="38" t="n">
        <v>150</v>
      </c>
      <c r="N371" s="874" t="inlineStr">
        <is>
          <t>с/к колбасы «Филейбургская с филе сочного окорока» ф/в 0,11 н/о ТМ «Баварушка»</t>
        </is>
      </c>
      <c r="O371" s="671" t="n"/>
      <c r="P371" s="671" t="n"/>
      <c r="Q371" s="671" t="n"/>
      <c r="R371" s="637" t="n"/>
      <c r="S371" s="40" t="inlineStr"/>
      <c r="T371" s="40" t="inlineStr"/>
      <c r="U371" s="41" t="inlineStr">
        <is>
          <t>кг</t>
        </is>
      </c>
      <c r="V371" s="672" t="n">
        <v>0</v>
      </c>
      <c r="W371" s="673">
        <f>IFERROR(IF(V371="",0,CEILING((V371/$H371),1)*$H371),"")</f>
        <v/>
      </c>
      <c r="X371" s="42">
        <f>IFERROR(IF(W371=0,"",ROUNDUP(W371/H371,0)*0.00627),"")</f>
        <v/>
      </c>
      <c r="Y371" s="69" t="inlineStr"/>
      <c r="Z371" s="70" t="inlineStr">
        <is>
          <t>Новинка</t>
        </is>
      </c>
      <c r="AD371" s="71" t="n"/>
      <c r="BA371" s="270" t="inlineStr">
        <is>
          <t>КИ</t>
        </is>
      </c>
    </row>
    <row r="372" ht="27" customHeight="1">
      <c r="A372" s="64" t="inlineStr">
        <is>
          <t>SU003278</t>
        </is>
      </c>
      <c r="B372" s="64" t="inlineStr">
        <is>
          <t>P003777</t>
        </is>
      </c>
      <c r="C372" s="37" t="n">
        <v>4301032047</v>
      </c>
      <c r="D372" s="325" t="n">
        <v>4680115884342</v>
      </c>
      <c r="E372" s="637" t="n"/>
      <c r="F372" s="669" t="n">
        <v>0.06</v>
      </c>
      <c r="G372" s="38" t="n">
        <v>20</v>
      </c>
      <c r="H372" s="669" t="n">
        <v>1.2</v>
      </c>
      <c r="I372" s="669" t="n">
        <v>1.8</v>
      </c>
      <c r="J372" s="38" t="n">
        <v>160</v>
      </c>
      <c r="K372" s="38" t="inlineStr">
        <is>
          <t>10</t>
        </is>
      </c>
      <c r="L372" s="39" t="inlineStr">
        <is>
          <t>ДК</t>
        </is>
      </c>
      <c r="M372" s="38" t="n">
        <v>60</v>
      </c>
      <c r="N372" s="875" t="inlineStr">
        <is>
          <t>с/к колбасы «Филейбургская с ароматными пряностями» ф/в 0,06 нарезка ТМ «Баварушка»</t>
        </is>
      </c>
      <c r="O372" s="671" t="n"/>
      <c r="P372" s="671" t="n"/>
      <c r="Q372" s="671" t="n"/>
      <c r="R372" s="637" t="n"/>
      <c r="S372" s="40" t="inlineStr">
        <is>
          <t>01.12.2023</t>
        </is>
      </c>
      <c r="T372" s="40" t="inlineStr"/>
      <c r="U372" s="41" t="inlineStr">
        <is>
          <t>кг</t>
        </is>
      </c>
      <c r="V372" s="672" t="n">
        <v>0</v>
      </c>
      <c r="W372" s="673">
        <f>IFERROR(IF(V372="",0,CEILING((V372/$H372),1)*$H372),"")</f>
        <v/>
      </c>
      <c r="X372" s="42">
        <f>IFERROR(IF(W372=0,"",ROUNDUP(W372/H372,0)*0.00627),"")</f>
        <v/>
      </c>
      <c r="Y372" s="69" t="inlineStr"/>
      <c r="Z372" s="70" t="inlineStr"/>
      <c r="AD372" s="71" t="n"/>
      <c r="BA372" s="271" t="inlineStr">
        <is>
          <t>КИ</t>
        </is>
      </c>
    </row>
    <row r="373">
      <c r="A373" s="320" t="n"/>
      <c r="B373" s="313" t="n"/>
      <c r="C373" s="313" t="n"/>
      <c r="D373" s="313" t="n"/>
      <c r="E373" s="313" t="n"/>
      <c r="F373" s="313" t="n"/>
      <c r="G373" s="313" t="n"/>
      <c r="H373" s="313" t="n"/>
      <c r="I373" s="313" t="n"/>
      <c r="J373" s="313" t="n"/>
      <c r="K373" s="313" t="n"/>
      <c r="L373" s="313" t="n"/>
      <c r="M373" s="674" t="n"/>
      <c r="N373" s="675" t="inlineStr">
        <is>
          <t>Итого</t>
        </is>
      </c>
      <c r="O373" s="645" t="n"/>
      <c r="P373" s="645" t="n"/>
      <c r="Q373" s="645" t="n"/>
      <c r="R373" s="645" t="n"/>
      <c r="S373" s="645" t="n"/>
      <c r="T373" s="646" t="n"/>
      <c r="U373" s="43" t="inlineStr">
        <is>
          <t>кор</t>
        </is>
      </c>
      <c r="V373" s="676">
        <f>IFERROR(V369/H369,"0")+IFERROR(V370/H370,"0")+IFERROR(V371/H371,"0")+IFERROR(V372/H372,"0")</f>
        <v/>
      </c>
      <c r="W373" s="676">
        <f>IFERROR(W369/H369,"0")+IFERROR(W370/H370,"0")+IFERROR(W371/H371,"0")+IFERROR(W372/H372,"0")</f>
        <v/>
      </c>
      <c r="X373" s="676">
        <f>IFERROR(IF(X369="",0,X369),"0")+IFERROR(IF(X370="",0,X370),"0")+IFERROR(IF(X371="",0,X371),"0")+IFERROR(IF(X372="",0,X372),"0")</f>
        <v/>
      </c>
      <c r="Y373" s="677" t="n"/>
      <c r="Z373" s="677" t="n"/>
    </row>
    <row r="374">
      <c r="A374" s="313" t="n"/>
      <c r="B374" s="313" t="n"/>
      <c r="C374" s="313" t="n"/>
      <c r="D374" s="313" t="n"/>
      <c r="E374" s="313" t="n"/>
      <c r="F374" s="313" t="n"/>
      <c r="G374" s="313" t="n"/>
      <c r="H374" s="313" t="n"/>
      <c r="I374" s="313" t="n"/>
      <c r="J374" s="313" t="n"/>
      <c r="K374" s="313" t="n"/>
      <c r="L374" s="313" t="n"/>
      <c r="M374" s="674" t="n"/>
      <c r="N374" s="675" t="inlineStr">
        <is>
          <t>Итого</t>
        </is>
      </c>
      <c r="O374" s="645" t="n"/>
      <c r="P374" s="645" t="n"/>
      <c r="Q374" s="645" t="n"/>
      <c r="R374" s="645" t="n"/>
      <c r="S374" s="645" t="n"/>
      <c r="T374" s="646" t="n"/>
      <c r="U374" s="43" t="inlineStr">
        <is>
          <t>кг</t>
        </is>
      </c>
      <c r="V374" s="676">
        <f>IFERROR(SUM(V369:V372),"0")</f>
        <v/>
      </c>
      <c r="W374" s="676">
        <f>IFERROR(SUM(W369:W372),"0")</f>
        <v/>
      </c>
      <c r="X374" s="43" t="n"/>
      <c r="Y374" s="677" t="n"/>
      <c r="Z374" s="677" t="n"/>
    </row>
    <row r="375" ht="14.25" customHeight="1">
      <c r="A375" s="330" t="inlineStr">
        <is>
          <t>Сыровяленые колбасы</t>
        </is>
      </c>
      <c r="B375" s="313" t="n"/>
      <c r="C375" s="313" t="n"/>
      <c r="D375" s="313" t="n"/>
      <c r="E375" s="313" t="n"/>
      <c r="F375" s="313" t="n"/>
      <c r="G375" s="313" t="n"/>
      <c r="H375" s="313" t="n"/>
      <c r="I375" s="313" t="n"/>
      <c r="J375" s="313" t="n"/>
      <c r="K375" s="313" t="n"/>
      <c r="L375" s="313" t="n"/>
      <c r="M375" s="313" t="n"/>
      <c r="N375" s="313" t="n"/>
      <c r="O375" s="313" t="n"/>
      <c r="P375" s="313" t="n"/>
      <c r="Q375" s="313" t="n"/>
      <c r="R375" s="313" t="n"/>
      <c r="S375" s="313" t="n"/>
      <c r="T375" s="313" t="n"/>
      <c r="U375" s="313" t="n"/>
      <c r="V375" s="313" t="n"/>
      <c r="W375" s="313" t="n"/>
      <c r="X375" s="313" t="n"/>
      <c r="Y375" s="330" t="n"/>
      <c r="Z375" s="330" t="n"/>
    </row>
    <row r="376" ht="27" customHeight="1">
      <c r="A376" s="64" t="inlineStr">
        <is>
          <t>SU003279</t>
        </is>
      </c>
      <c r="B376" s="64" t="inlineStr">
        <is>
          <t>P003773</t>
        </is>
      </c>
      <c r="C376" s="37" t="n">
        <v>4301170010</v>
      </c>
      <c r="D376" s="325" t="n">
        <v>4680115884090</v>
      </c>
      <c r="E376" s="637" t="n"/>
      <c r="F376" s="669" t="n">
        <v>0.11</v>
      </c>
      <c r="G376" s="38" t="n">
        <v>12</v>
      </c>
      <c r="H376" s="669" t="n">
        <v>1.32</v>
      </c>
      <c r="I376" s="669" t="n">
        <v>1.88</v>
      </c>
      <c r="J376" s="38" t="n">
        <v>160</v>
      </c>
      <c r="K376" s="38" t="inlineStr">
        <is>
          <t>10</t>
        </is>
      </c>
      <c r="L376" s="39" t="inlineStr">
        <is>
          <t>ДК</t>
        </is>
      </c>
      <c r="M376" s="38" t="n">
        <v>150</v>
      </c>
      <c r="N376" s="876" t="inlineStr">
        <is>
          <t>с/в колбасы «Балыкбургская с мраморным балыком» ф/в 0,11 н/о ТМ «Баварушка»</t>
        </is>
      </c>
      <c r="O376" s="671" t="n"/>
      <c r="P376" s="671" t="n"/>
      <c r="Q376" s="671" t="n"/>
      <c r="R376" s="637" t="n"/>
      <c r="S376" s="40" t="inlineStr"/>
      <c r="T376" s="40" t="inlineStr"/>
      <c r="U376" s="41" t="inlineStr">
        <is>
          <t>кг</t>
        </is>
      </c>
      <c r="V376" s="672" t="n">
        <v>0</v>
      </c>
      <c r="W376" s="673">
        <f>IFERROR(IF(V376="",0,CEILING((V376/$H376),1)*$H376),"")</f>
        <v/>
      </c>
      <c r="X376" s="42">
        <f>IFERROR(IF(W376=0,"",ROUNDUP(W376/H376,0)*0.00627),"")</f>
        <v/>
      </c>
      <c r="Y376" s="69" t="inlineStr"/>
      <c r="Z376" s="70" t="inlineStr">
        <is>
          <t>Новинка</t>
        </is>
      </c>
      <c r="AD376" s="71" t="n"/>
      <c r="BA376" s="272" t="inlineStr">
        <is>
          <t>КИ</t>
        </is>
      </c>
    </row>
    <row r="377" ht="27" customHeight="1">
      <c r="A377" s="64" t="inlineStr">
        <is>
          <t>SU003060</t>
        </is>
      </c>
      <c r="B377" s="64" t="inlineStr">
        <is>
          <t>P003624</t>
        </is>
      </c>
      <c r="C377" s="37" t="n">
        <v>4301170009</v>
      </c>
      <c r="D377" s="325" t="n">
        <v>4680115882997</v>
      </c>
      <c r="E377" s="637" t="n"/>
      <c r="F377" s="669" t="n">
        <v>0.13</v>
      </c>
      <c r="G377" s="38" t="n">
        <v>10</v>
      </c>
      <c r="H377" s="669" t="n">
        <v>1.3</v>
      </c>
      <c r="I377" s="669" t="n">
        <v>1.46</v>
      </c>
      <c r="J377" s="38" t="n">
        <v>200</v>
      </c>
      <c r="K377" s="38" t="inlineStr">
        <is>
          <t>10</t>
        </is>
      </c>
      <c r="L377" s="39" t="inlineStr">
        <is>
          <t>ДК</t>
        </is>
      </c>
      <c r="M377" s="38" t="n">
        <v>150</v>
      </c>
      <c r="N377" s="877" t="inlineStr">
        <is>
          <t>с/в колбасы «Филейбургская с филе сочного окорока» ф/в 0,13 н/о ТМ «Баварушка»</t>
        </is>
      </c>
      <c r="O377" s="671" t="n"/>
      <c r="P377" s="671" t="n"/>
      <c r="Q377" s="671" t="n"/>
      <c r="R377" s="637" t="n"/>
      <c r="S377" s="40" t="inlineStr"/>
      <c r="T377" s="40" t="inlineStr"/>
      <c r="U377" s="41" t="inlineStr">
        <is>
          <t>кг</t>
        </is>
      </c>
      <c r="V377" s="672" t="n">
        <v>0</v>
      </c>
      <c r="W377" s="673">
        <f>IFERROR(IF(V377="",0,CEILING((V377/$H377),1)*$H377),"")</f>
        <v/>
      </c>
      <c r="X377" s="42">
        <f>IFERROR(IF(W377=0,"",ROUNDUP(W377/H377,0)*0.00673),"")</f>
        <v/>
      </c>
      <c r="Y377" s="69" t="inlineStr"/>
      <c r="Z377" s="70" t="inlineStr"/>
      <c r="AD377" s="71" t="n"/>
      <c r="BA377" s="273" t="inlineStr">
        <is>
          <t>КИ</t>
        </is>
      </c>
    </row>
    <row r="378">
      <c r="A378" s="320" t="n"/>
      <c r="B378" s="313" t="n"/>
      <c r="C378" s="313" t="n"/>
      <c r="D378" s="313" t="n"/>
      <c r="E378" s="313" t="n"/>
      <c r="F378" s="313" t="n"/>
      <c r="G378" s="313" t="n"/>
      <c r="H378" s="313" t="n"/>
      <c r="I378" s="313" t="n"/>
      <c r="J378" s="313" t="n"/>
      <c r="K378" s="313" t="n"/>
      <c r="L378" s="313" t="n"/>
      <c r="M378" s="674" t="n"/>
      <c r="N378" s="675" t="inlineStr">
        <is>
          <t>Итого</t>
        </is>
      </c>
      <c r="O378" s="645" t="n"/>
      <c r="P378" s="645" t="n"/>
      <c r="Q378" s="645" t="n"/>
      <c r="R378" s="645" t="n"/>
      <c r="S378" s="645" t="n"/>
      <c r="T378" s="646" t="n"/>
      <c r="U378" s="43" t="inlineStr">
        <is>
          <t>кор</t>
        </is>
      </c>
      <c r="V378" s="676">
        <f>IFERROR(V376/H376,"0")+IFERROR(V377/H377,"0")</f>
        <v/>
      </c>
      <c r="W378" s="676">
        <f>IFERROR(W376/H376,"0")+IFERROR(W377/H377,"0")</f>
        <v/>
      </c>
      <c r="X378" s="676">
        <f>IFERROR(IF(X376="",0,X376),"0")+IFERROR(IF(X377="",0,X377),"0")</f>
        <v/>
      </c>
      <c r="Y378" s="677" t="n"/>
      <c r="Z378" s="677" t="n"/>
    </row>
    <row r="379">
      <c r="A379" s="313" t="n"/>
      <c r="B379" s="313" t="n"/>
      <c r="C379" s="313" t="n"/>
      <c r="D379" s="313" t="n"/>
      <c r="E379" s="313" t="n"/>
      <c r="F379" s="313" t="n"/>
      <c r="G379" s="313" t="n"/>
      <c r="H379" s="313" t="n"/>
      <c r="I379" s="313" t="n"/>
      <c r="J379" s="313" t="n"/>
      <c r="K379" s="313" t="n"/>
      <c r="L379" s="313" t="n"/>
      <c r="M379" s="674" t="n"/>
      <c r="N379" s="675" t="inlineStr">
        <is>
          <t>Итого</t>
        </is>
      </c>
      <c r="O379" s="645" t="n"/>
      <c r="P379" s="645" t="n"/>
      <c r="Q379" s="645" t="n"/>
      <c r="R379" s="645" t="n"/>
      <c r="S379" s="645" t="n"/>
      <c r="T379" s="646" t="n"/>
      <c r="U379" s="43" t="inlineStr">
        <is>
          <t>кг</t>
        </is>
      </c>
      <c r="V379" s="676">
        <f>IFERROR(SUM(V376:V377),"0")</f>
        <v/>
      </c>
      <c r="W379" s="676">
        <f>IFERROR(SUM(W376:W377),"0")</f>
        <v/>
      </c>
      <c r="X379" s="43" t="n"/>
      <c r="Y379" s="677" t="n"/>
      <c r="Z379" s="677" t="n"/>
    </row>
    <row r="380" ht="16.5" customHeight="1">
      <c r="A380" s="329" t="inlineStr">
        <is>
          <t>Балыкбургская</t>
        </is>
      </c>
      <c r="B380" s="313" t="n"/>
      <c r="C380" s="313" t="n"/>
      <c r="D380" s="313" t="n"/>
      <c r="E380" s="313" t="n"/>
      <c r="F380" s="313" t="n"/>
      <c r="G380" s="313" t="n"/>
      <c r="H380" s="313" t="n"/>
      <c r="I380" s="313" t="n"/>
      <c r="J380" s="313" t="n"/>
      <c r="K380" s="313" t="n"/>
      <c r="L380" s="313" t="n"/>
      <c r="M380" s="313" t="n"/>
      <c r="N380" s="313" t="n"/>
      <c r="O380" s="313" t="n"/>
      <c r="P380" s="313" t="n"/>
      <c r="Q380" s="313" t="n"/>
      <c r="R380" s="313" t="n"/>
      <c r="S380" s="313" t="n"/>
      <c r="T380" s="313" t="n"/>
      <c r="U380" s="313" t="n"/>
      <c r="V380" s="313" t="n"/>
      <c r="W380" s="313" t="n"/>
      <c r="X380" s="313" t="n"/>
      <c r="Y380" s="329" t="n"/>
      <c r="Z380" s="329" t="n"/>
    </row>
    <row r="381" ht="14.25" customHeight="1">
      <c r="A381" s="330" t="inlineStr">
        <is>
          <t>Ветчины</t>
        </is>
      </c>
      <c r="B381" s="313" t="n"/>
      <c r="C381" s="313" t="n"/>
      <c r="D381" s="313" t="n"/>
      <c r="E381" s="313" t="n"/>
      <c r="F381" s="313" t="n"/>
      <c r="G381" s="313" t="n"/>
      <c r="H381" s="313" t="n"/>
      <c r="I381" s="313" t="n"/>
      <c r="J381" s="313" t="n"/>
      <c r="K381" s="313" t="n"/>
      <c r="L381" s="313" t="n"/>
      <c r="M381" s="313" t="n"/>
      <c r="N381" s="313" t="n"/>
      <c r="O381" s="313" t="n"/>
      <c r="P381" s="313" t="n"/>
      <c r="Q381" s="313" t="n"/>
      <c r="R381" s="313" t="n"/>
      <c r="S381" s="313" t="n"/>
      <c r="T381" s="313" t="n"/>
      <c r="U381" s="313" t="n"/>
      <c r="V381" s="313" t="n"/>
      <c r="W381" s="313" t="n"/>
      <c r="X381" s="313" t="n"/>
      <c r="Y381" s="330" t="n"/>
      <c r="Z381" s="330" t="n"/>
    </row>
    <row r="382" ht="27" customHeight="1">
      <c r="A382" s="64" t="inlineStr">
        <is>
          <t>SU002542</t>
        </is>
      </c>
      <c r="B382" s="64" t="inlineStr">
        <is>
          <t>P002847</t>
        </is>
      </c>
      <c r="C382" s="37" t="n">
        <v>4301020196</v>
      </c>
      <c r="D382" s="325" t="n">
        <v>4607091389388</v>
      </c>
      <c r="E382" s="637" t="n"/>
      <c r="F382" s="669" t="n">
        <v>1.3</v>
      </c>
      <c r="G382" s="38" t="n">
        <v>4</v>
      </c>
      <c r="H382" s="669" t="n">
        <v>5.2</v>
      </c>
      <c r="I382" s="669" t="n">
        <v>5.608</v>
      </c>
      <c r="J382" s="38" t="n">
        <v>104</v>
      </c>
      <c r="K382" s="38" t="inlineStr">
        <is>
          <t>8</t>
        </is>
      </c>
      <c r="L382" s="39" t="inlineStr">
        <is>
          <t>СК3</t>
        </is>
      </c>
      <c r="M382" s="38" t="n">
        <v>35</v>
      </c>
      <c r="N382" s="878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O382" s="671" t="n"/>
      <c r="P382" s="671" t="n"/>
      <c r="Q382" s="671" t="n"/>
      <c r="R382" s="637" t="n"/>
      <c r="S382" s="40" t="inlineStr"/>
      <c r="T382" s="40" t="inlineStr"/>
      <c r="U382" s="41" t="inlineStr">
        <is>
          <t>кг</t>
        </is>
      </c>
      <c r="V382" s="672" t="n">
        <v>0</v>
      </c>
      <c r="W382" s="673">
        <f>IFERROR(IF(V382="",0,CEILING((V382/$H382),1)*$H382),"")</f>
        <v/>
      </c>
      <c r="X382" s="42">
        <f>IFERROR(IF(W382=0,"",ROUNDUP(W382/H382,0)*0.01196),"")</f>
        <v/>
      </c>
      <c r="Y382" s="69" t="inlineStr"/>
      <c r="Z382" s="70" t="inlineStr"/>
      <c r="AD382" s="71" t="n"/>
      <c r="BA382" s="274" t="inlineStr">
        <is>
          <t>КИ</t>
        </is>
      </c>
    </row>
    <row r="383" ht="27" customHeight="1">
      <c r="A383" s="64" t="inlineStr">
        <is>
          <t>SU002319</t>
        </is>
      </c>
      <c r="B383" s="64" t="inlineStr">
        <is>
          <t>P002597</t>
        </is>
      </c>
      <c r="C383" s="37" t="n">
        <v>4301020185</v>
      </c>
      <c r="D383" s="325" t="n">
        <v>4607091389364</v>
      </c>
      <c r="E383" s="637" t="n"/>
      <c r="F383" s="669" t="n">
        <v>0.42</v>
      </c>
      <c r="G383" s="38" t="n">
        <v>6</v>
      </c>
      <c r="H383" s="669" t="n">
        <v>2.52</v>
      </c>
      <c r="I383" s="669" t="n">
        <v>2.75</v>
      </c>
      <c r="J383" s="38" t="n">
        <v>156</v>
      </c>
      <c r="K383" s="38" t="inlineStr">
        <is>
          <t>12</t>
        </is>
      </c>
      <c r="L383" s="39" t="inlineStr">
        <is>
          <t>СК3</t>
        </is>
      </c>
      <c r="M383" s="38" t="n">
        <v>35</v>
      </c>
      <c r="N383" s="879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O383" s="671" t="n"/>
      <c r="P383" s="671" t="n"/>
      <c r="Q383" s="671" t="n"/>
      <c r="R383" s="637" t="n"/>
      <c r="S383" s="40" t="inlineStr"/>
      <c r="T383" s="40" t="inlineStr"/>
      <c r="U383" s="41" t="inlineStr">
        <is>
          <t>кг</t>
        </is>
      </c>
      <c r="V383" s="672" t="n">
        <v>0</v>
      </c>
      <c r="W383" s="673">
        <f>IFERROR(IF(V383="",0,CEILING((V383/$H383),1)*$H383),"")</f>
        <v/>
      </c>
      <c r="X383" s="42">
        <f>IFERROR(IF(W383=0,"",ROUNDUP(W383/H383,0)*0.00753),"")</f>
        <v/>
      </c>
      <c r="Y383" s="69" t="inlineStr"/>
      <c r="Z383" s="70" t="inlineStr"/>
      <c r="AD383" s="71" t="n"/>
      <c r="BA383" s="275" t="inlineStr">
        <is>
          <t>КИ</t>
        </is>
      </c>
    </row>
    <row r="384">
      <c r="A384" s="320" t="n"/>
      <c r="B384" s="313" t="n"/>
      <c r="C384" s="313" t="n"/>
      <c r="D384" s="313" t="n"/>
      <c r="E384" s="313" t="n"/>
      <c r="F384" s="313" t="n"/>
      <c r="G384" s="313" t="n"/>
      <c r="H384" s="313" t="n"/>
      <c r="I384" s="313" t="n"/>
      <c r="J384" s="313" t="n"/>
      <c r="K384" s="313" t="n"/>
      <c r="L384" s="313" t="n"/>
      <c r="M384" s="674" t="n"/>
      <c r="N384" s="675" t="inlineStr">
        <is>
          <t>Итого</t>
        </is>
      </c>
      <c r="O384" s="645" t="n"/>
      <c r="P384" s="645" t="n"/>
      <c r="Q384" s="645" t="n"/>
      <c r="R384" s="645" t="n"/>
      <c r="S384" s="645" t="n"/>
      <c r="T384" s="646" t="n"/>
      <c r="U384" s="43" t="inlineStr">
        <is>
          <t>кор</t>
        </is>
      </c>
      <c r="V384" s="676">
        <f>IFERROR(V382/H382,"0")+IFERROR(V383/H383,"0")</f>
        <v/>
      </c>
      <c r="W384" s="676">
        <f>IFERROR(W382/H382,"0")+IFERROR(W383/H383,"0")</f>
        <v/>
      </c>
      <c r="X384" s="676">
        <f>IFERROR(IF(X382="",0,X382),"0")+IFERROR(IF(X383="",0,X383),"0")</f>
        <v/>
      </c>
      <c r="Y384" s="677" t="n"/>
      <c r="Z384" s="677" t="n"/>
    </row>
    <row r="385">
      <c r="A385" s="313" t="n"/>
      <c r="B385" s="313" t="n"/>
      <c r="C385" s="313" t="n"/>
      <c r="D385" s="313" t="n"/>
      <c r="E385" s="313" t="n"/>
      <c r="F385" s="313" t="n"/>
      <c r="G385" s="313" t="n"/>
      <c r="H385" s="313" t="n"/>
      <c r="I385" s="313" t="n"/>
      <c r="J385" s="313" t="n"/>
      <c r="K385" s="313" t="n"/>
      <c r="L385" s="313" t="n"/>
      <c r="M385" s="674" t="n"/>
      <c r="N385" s="675" t="inlineStr">
        <is>
          <t>Итого</t>
        </is>
      </c>
      <c r="O385" s="645" t="n"/>
      <c r="P385" s="645" t="n"/>
      <c r="Q385" s="645" t="n"/>
      <c r="R385" s="645" t="n"/>
      <c r="S385" s="645" t="n"/>
      <c r="T385" s="646" t="n"/>
      <c r="U385" s="43" t="inlineStr">
        <is>
          <t>кг</t>
        </is>
      </c>
      <c r="V385" s="676">
        <f>IFERROR(SUM(V382:V383),"0")</f>
        <v/>
      </c>
      <c r="W385" s="676">
        <f>IFERROR(SUM(W382:W383),"0")</f>
        <v/>
      </c>
      <c r="X385" s="43" t="n"/>
      <c r="Y385" s="677" t="n"/>
      <c r="Z385" s="677" t="n"/>
    </row>
    <row r="386" ht="14.25" customHeight="1">
      <c r="A386" s="330" t="inlineStr">
        <is>
          <t>Копченые колбасы</t>
        </is>
      </c>
      <c r="B386" s="313" t="n"/>
      <c r="C386" s="313" t="n"/>
      <c r="D386" s="313" t="n"/>
      <c r="E386" s="313" t="n"/>
      <c r="F386" s="313" t="n"/>
      <c r="G386" s="313" t="n"/>
      <c r="H386" s="313" t="n"/>
      <c r="I386" s="313" t="n"/>
      <c r="J386" s="313" t="n"/>
      <c r="K386" s="313" t="n"/>
      <c r="L386" s="313" t="n"/>
      <c r="M386" s="313" t="n"/>
      <c r="N386" s="313" t="n"/>
      <c r="O386" s="313" t="n"/>
      <c r="P386" s="313" t="n"/>
      <c r="Q386" s="313" t="n"/>
      <c r="R386" s="313" t="n"/>
      <c r="S386" s="313" t="n"/>
      <c r="T386" s="313" t="n"/>
      <c r="U386" s="313" t="n"/>
      <c r="V386" s="313" t="n"/>
      <c r="W386" s="313" t="n"/>
      <c r="X386" s="313" t="n"/>
      <c r="Y386" s="330" t="n"/>
      <c r="Z386" s="330" t="n"/>
    </row>
    <row r="387" ht="27" customHeight="1">
      <c r="A387" s="64" t="inlineStr">
        <is>
          <t>SU002612</t>
        </is>
      </c>
      <c r="B387" s="64" t="inlineStr">
        <is>
          <t>P003140</t>
        </is>
      </c>
      <c r="C387" s="37" t="n">
        <v>4301031212</v>
      </c>
      <c r="D387" s="325" t="n">
        <v>4607091389739</v>
      </c>
      <c r="E387" s="637" t="n"/>
      <c r="F387" s="669" t="n">
        <v>0.7</v>
      </c>
      <c r="G387" s="38" t="n">
        <v>6</v>
      </c>
      <c r="H387" s="669" t="n">
        <v>4.2</v>
      </c>
      <c r="I387" s="669" t="n">
        <v>4.43</v>
      </c>
      <c r="J387" s="38" t="n">
        <v>156</v>
      </c>
      <c r="K387" s="38" t="inlineStr">
        <is>
          <t>12</t>
        </is>
      </c>
      <c r="L387" s="39" t="inlineStr">
        <is>
          <t>СК1</t>
        </is>
      </c>
      <c r="M387" s="38" t="n">
        <v>45</v>
      </c>
      <c r="N387" s="880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O387" s="671" t="n"/>
      <c r="P387" s="671" t="n"/>
      <c r="Q387" s="671" t="n"/>
      <c r="R387" s="637" t="n"/>
      <c r="S387" s="40" t="inlineStr"/>
      <c r="T387" s="40" t="inlineStr"/>
      <c r="U387" s="41" t="inlineStr">
        <is>
          <t>кг</t>
        </is>
      </c>
      <c r="V387" s="672" t="n">
        <v>501</v>
      </c>
      <c r="W387" s="673">
        <f>IFERROR(IF(V387="",0,CEILING((V387/$H387),1)*$H387),"")</f>
        <v/>
      </c>
      <c r="X387" s="42">
        <f>IFERROR(IF(W387=0,"",ROUNDUP(W387/H387,0)*0.00753),"")</f>
        <v/>
      </c>
      <c r="Y387" s="69" t="inlineStr"/>
      <c r="Z387" s="70" t="inlineStr"/>
      <c r="AD387" s="71" t="n"/>
      <c r="BA387" s="276" t="inlineStr">
        <is>
          <t>КИ</t>
        </is>
      </c>
    </row>
    <row r="388" ht="27" customHeight="1">
      <c r="A388" s="64" t="inlineStr">
        <is>
          <t>SU003071</t>
        </is>
      </c>
      <c r="B388" s="64" t="inlineStr">
        <is>
          <t>P003612</t>
        </is>
      </c>
      <c r="C388" s="37" t="n">
        <v>4301031247</v>
      </c>
      <c r="D388" s="325" t="n">
        <v>4680115883048</v>
      </c>
      <c r="E388" s="637" t="n"/>
      <c r="F388" s="669" t="n">
        <v>1</v>
      </c>
      <c r="G388" s="38" t="n">
        <v>4</v>
      </c>
      <c r="H388" s="669" t="n">
        <v>4</v>
      </c>
      <c r="I388" s="669" t="n">
        <v>4.21</v>
      </c>
      <c r="J388" s="38" t="n">
        <v>120</v>
      </c>
      <c r="K388" s="38" t="inlineStr">
        <is>
          <t>12</t>
        </is>
      </c>
      <c r="L388" s="39" t="inlineStr">
        <is>
          <t>СК2</t>
        </is>
      </c>
      <c r="M388" s="38" t="n">
        <v>40</v>
      </c>
      <c r="N388" s="881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O388" s="671" t="n"/>
      <c r="P388" s="671" t="n"/>
      <c r="Q388" s="671" t="n"/>
      <c r="R388" s="637" t="n"/>
      <c r="S388" s="40" t="inlineStr"/>
      <c r="T388" s="40" t="inlineStr"/>
      <c r="U388" s="41" t="inlineStr">
        <is>
          <t>кг</t>
        </is>
      </c>
      <c r="V388" s="672" t="n">
        <v>0</v>
      </c>
      <c r="W388" s="673">
        <f>IFERROR(IF(V388="",0,CEILING((V388/$H388),1)*$H388),"")</f>
        <v/>
      </c>
      <c r="X388" s="42">
        <f>IFERROR(IF(W388=0,"",ROUNDUP(W388/H388,0)*0.00937),"")</f>
        <v/>
      </c>
      <c r="Y388" s="69" t="inlineStr"/>
      <c r="Z388" s="70" t="inlineStr"/>
      <c r="AD388" s="71" t="n"/>
      <c r="BA388" s="277" t="inlineStr">
        <is>
          <t>КИ</t>
        </is>
      </c>
    </row>
    <row r="389" ht="27" customHeight="1">
      <c r="A389" s="64" t="inlineStr">
        <is>
          <t>SU002545</t>
        </is>
      </c>
      <c r="B389" s="64" t="inlineStr">
        <is>
          <t>P003137</t>
        </is>
      </c>
      <c r="C389" s="37" t="n">
        <v>4301031176</v>
      </c>
      <c r="D389" s="325" t="n">
        <v>4607091389425</v>
      </c>
      <c r="E389" s="637" t="n"/>
      <c r="F389" s="669" t="n">
        <v>0.35</v>
      </c>
      <c r="G389" s="38" t="n">
        <v>6</v>
      </c>
      <c r="H389" s="669" t="n">
        <v>2.1</v>
      </c>
      <c r="I389" s="669" t="n">
        <v>2.23</v>
      </c>
      <c r="J389" s="38" t="n">
        <v>234</v>
      </c>
      <c r="K389" s="38" t="inlineStr">
        <is>
          <t>18</t>
        </is>
      </c>
      <c r="L389" s="39" t="inlineStr">
        <is>
          <t>СК2</t>
        </is>
      </c>
      <c r="M389" s="38" t="n">
        <v>45</v>
      </c>
      <c r="N389" s="882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O389" s="671" t="n"/>
      <c r="P389" s="671" t="n"/>
      <c r="Q389" s="671" t="n"/>
      <c r="R389" s="637" t="n"/>
      <c r="S389" s="40" t="inlineStr"/>
      <c r="T389" s="40" t="inlineStr"/>
      <c r="U389" s="41" t="inlineStr">
        <is>
          <t>кг</t>
        </is>
      </c>
      <c r="V389" s="672" t="n">
        <v>12</v>
      </c>
      <c r="W389" s="673">
        <f>IFERROR(IF(V389="",0,CEILING((V389/$H389),1)*$H389),"")</f>
        <v/>
      </c>
      <c r="X389" s="42">
        <f>IFERROR(IF(W389=0,"",ROUNDUP(W389/H389,0)*0.00502),"")</f>
        <v/>
      </c>
      <c r="Y389" s="69" t="inlineStr"/>
      <c r="Z389" s="70" t="inlineStr"/>
      <c r="AD389" s="71" t="n"/>
      <c r="BA389" s="278" t="inlineStr">
        <is>
          <t>КИ</t>
        </is>
      </c>
    </row>
    <row r="390" ht="27" customHeight="1">
      <c r="A390" s="64" t="inlineStr">
        <is>
          <t>SU002917</t>
        </is>
      </c>
      <c r="B390" s="64" t="inlineStr">
        <is>
          <t>P003343</t>
        </is>
      </c>
      <c r="C390" s="37" t="n">
        <v>4301031215</v>
      </c>
      <c r="D390" s="325" t="n">
        <v>4680115882911</v>
      </c>
      <c r="E390" s="637" t="n"/>
      <c r="F390" s="669" t="n">
        <v>0.4</v>
      </c>
      <c r="G390" s="38" t="n">
        <v>6</v>
      </c>
      <c r="H390" s="669" t="n">
        <v>2.4</v>
      </c>
      <c r="I390" s="669" t="n">
        <v>2.53</v>
      </c>
      <c r="J390" s="38" t="n">
        <v>234</v>
      </c>
      <c r="K390" s="38" t="inlineStr">
        <is>
          <t>18</t>
        </is>
      </c>
      <c r="L390" s="39" t="inlineStr">
        <is>
          <t>СК2</t>
        </is>
      </c>
      <c r="M390" s="38" t="n">
        <v>40</v>
      </c>
      <c r="N390" s="883" t="inlineStr">
        <is>
          <t>П/к колбасы «Балыкбургская по-баварски» Фикс.вес 0,4 н/о мгс ТМ «Баварушка»</t>
        </is>
      </c>
      <c r="O390" s="671" t="n"/>
      <c r="P390" s="671" t="n"/>
      <c r="Q390" s="671" t="n"/>
      <c r="R390" s="637" t="n"/>
      <c r="S390" s="40" t="inlineStr"/>
      <c r="T390" s="40" t="inlineStr"/>
      <c r="U390" s="41" t="inlineStr">
        <is>
          <t>кг</t>
        </is>
      </c>
      <c r="V390" s="672" t="n">
        <v>0</v>
      </c>
      <c r="W390" s="673">
        <f>IFERROR(IF(V390="",0,CEILING((V390/$H390),1)*$H390),"")</f>
        <v/>
      </c>
      <c r="X390" s="42">
        <f>IFERROR(IF(W390=0,"",ROUNDUP(W390/H390,0)*0.00502),"")</f>
        <v/>
      </c>
      <c r="Y390" s="69" t="inlineStr"/>
      <c r="Z390" s="70" t="inlineStr"/>
      <c r="AD390" s="71" t="n"/>
      <c r="BA390" s="279" t="inlineStr">
        <is>
          <t>КИ</t>
        </is>
      </c>
    </row>
    <row r="391" ht="27" customHeight="1">
      <c r="A391" s="64" t="inlineStr">
        <is>
          <t>SU002726</t>
        </is>
      </c>
      <c r="B391" s="64" t="inlineStr">
        <is>
          <t>P003095</t>
        </is>
      </c>
      <c r="C391" s="37" t="n">
        <v>4301031167</v>
      </c>
      <c r="D391" s="325" t="n">
        <v>4680115880771</v>
      </c>
      <c r="E391" s="637" t="n"/>
      <c r="F391" s="669" t="n">
        <v>0.28</v>
      </c>
      <c r="G391" s="38" t="n">
        <v>6</v>
      </c>
      <c r="H391" s="669" t="n">
        <v>1.68</v>
      </c>
      <c r="I391" s="669" t="n">
        <v>1.81</v>
      </c>
      <c r="J391" s="38" t="n">
        <v>234</v>
      </c>
      <c r="K391" s="38" t="inlineStr">
        <is>
          <t>18</t>
        </is>
      </c>
      <c r="L391" s="39" t="inlineStr">
        <is>
          <t>СК2</t>
        </is>
      </c>
      <c r="M391" s="38" t="n">
        <v>45</v>
      </c>
      <c r="N391" s="884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O391" s="671" t="n"/>
      <c r="P391" s="671" t="n"/>
      <c r="Q391" s="671" t="n"/>
      <c r="R391" s="637" t="n"/>
      <c r="S391" s="40" t="inlineStr"/>
      <c r="T391" s="40" t="inlineStr"/>
      <c r="U391" s="41" t="inlineStr">
        <is>
          <t>кг</t>
        </is>
      </c>
      <c r="V391" s="672" t="n">
        <v>0</v>
      </c>
      <c r="W391" s="673">
        <f>IFERROR(IF(V391="",0,CEILING((V391/$H391),1)*$H391),"")</f>
        <v/>
      </c>
      <c r="X391" s="42">
        <f>IFERROR(IF(W391=0,"",ROUNDUP(W391/H391,0)*0.00502),"")</f>
        <v/>
      </c>
      <c r="Y391" s="69" t="inlineStr"/>
      <c r="Z391" s="70" t="inlineStr"/>
      <c r="AD391" s="71" t="n"/>
      <c r="BA391" s="280" t="inlineStr">
        <is>
          <t>КИ</t>
        </is>
      </c>
    </row>
    <row r="392" ht="27" customHeight="1">
      <c r="A392" s="64" t="inlineStr">
        <is>
          <t>SU002604</t>
        </is>
      </c>
      <c r="B392" s="64" t="inlineStr">
        <is>
          <t>P003135</t>
        </is>
      </c>
      <c r="C392" s="37" t="n">
        <v>4301031173</v>
      </c>
      <c r="D392" s="325" t="n">
        <v>4607091389500</v>
      </c>
      <c r="E392" s="637" t="n"/>
      <c r="F392" s="669" t="n">
        <v>0.35</v>
      </c>
      <c r="G392" s="38" t="n">
        <v>6</v>
      </c>
      <c r="H392" s="669" t="n">
        <v>2.1</v>
      </c>
      <c r="I392" s="669" t="n">
        <v>2.23</v>
      </c>
      <c r="J392" s="38" t="n">
        <v>234</v>
      </c>
      <c r="K392" s="38" t="inlineStr">
        <is>
          <t>18</t>
        </is>
      </c>
      <c r="L392" s="39" t="inlineStr">
        <is>
          <t>СК2</t>
        </is>
      </c>
      <c r="M392" s="38" t="n">
        <v>45</v>
      </c>
      <c r="N392" s="885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O392" s="671" t="n"/>
      <c r="P392" s="671" t="n"/>
      <c r="Q392" s="671" t="n"/>
      <c r="R392" s="637" t="n"/>
      <c r="S392" s="40" t="inlineStr"/>
      <c r="T392" s="40" t="inlineStr"/>
      <c r="U392" s="41" t="inlineStr">
        <is>
          <t>кг</t>
        </is>
      </c>
      <c r="V392" s="672" t="n">
        <v>13</v>
      </c>
      <c r="W392" s="673">
        <f>IFERROR(IF(V392="",0,CEILING((V392/$H392),1)*$H392),"")</f>
        <v/>
      </c>
      <c r="X392" s="42">
        <f>IFERROR(IF(W392=0,"",ROUNDUP(W392/H392,0)*0.00502),"")</f>
        <v/>
      </c>
      <c r="Y392" s="69" t="inlineStr"/>
      <c r="Z392" s="70" t="inlineStr"/>
      <c r="AD392" s="71" t="n"/>
      <c r="BA392" s="281" t="inlineStr">
        <is>
          <t>КИ</t>
        </is>
      </c>
    </row>
    <row r="393" ht="27" customHeight="1">
      <c r="A393" s="64" t="inlineStr">
        <is>
          <t>SU002358</t>
        </is>
      </c>
      <c r="B393" s="64" t="inlineStr">
        <is>
          <t>P002642</t>
        </is>
      </c>
      <c r="C393" s="37" t="n">
        <v>4301031103</v>
      </c>
      <c r="D393" s="325" t="n">
        <v>4680115881983</v>
      </c>
      <c r="E393" s="637" t="n"/>
      <c r="F393" s="669" t="n">
        <v>0.28</v>
      </c>
      <c r="G393" s="38" t="n">
        <v>4</v>
      </c>
      <c r="H393" s="669" t="n">
        <v>1.12</v>
      </c>
      <c r="I393" s="669" t="n">
        <v>1.252</v>
      </c>
      <c r="J393" s="38" t="n">
        <v>234</v>
      </c>
      <c r="K393" s="38" t="inlineStr">
        <is>
          <t>18</t>
        </is>
      </c>
      <c r="L393" s="39" t="inlineStr">
        <is>
          <t>СК2</t>
        </is>
      </c>
      <c r="M393" s="38" t="n">
        <v>40</v>
      </c>
      <c r="N393" s="886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O393" s="671" t="n"/>
      <c r="P393" s="671" t="n"/>
      <c r="Q393" s="671" t="n"/>
      <c r="R393" s="637" t="n"/>
      <c r="S393" s="40" t="inlineStr"/>
      <c r="T393" s="40" t="inlineStr"/>
      <c r="U393" s="41" t="inlineStr">
        <is>
          <t>кг</t>
        </is>
      </c>
      <c r="V393" s="672" t="n">
        <v>0</v>
      </c>
      <c r="W393" s="673">
        <f>IFERROR(IF(V393="",0,CEILING((V393/$H393),1)*$H393),"")</f>
        <v/>
      </c>
      <c r="X393" s="42">
        <f>IFERROR(IF(W393=0,"",ROUNDUP(W393/H393,0)*0.00502),"")</f>
        <v/>
      </c>
      <c r="Y393" s="69" t="inlineStr"/>
      <c r="Z393" s="70" t="inlineStr"/>
      <c r="AD393" s="71" t="n"/>
      <c r="BA393" s="282" t="inlineStr">
        <is>
          <t>КИ</t>
        </is>
      </c>
    </row>
    <row r="394">
      <c r="A394" s="320" t="n"/>
      <c r="B394" s="313" t="n"/>
      <c r="C394" s="313" t="n"/>
      <c r="D394" s="313" t="n"/>
      <c r="E394" s="313" t="n"/>
      <c r="F394" s="313" t="n"/>
      <c r="G394" s="313" t="n"/>
      <c r="H394" s="313" t="n"/>
      <c r="I394" s="313" t="n"/>
      <c r="J394" s="313" t="n"/>
      <c r="K394" s="313" t="n"/>
      <c r="L394" s="313" t="n"/>
      <c r="M394" s="674" t="n"/>
      <c r="N394" s="675" t="inlineStr">
        <is>
          <t>Итого</t>
        </is>
      </c>
      <c r="O394" s="645" t="n"/>
      <c r="P394" s="645" t="n"/>
      <c r="Q394" s="645" t="n"/>
      <c r="R394" s="645" t="n"/>
      <c r="S394" s="645" t="n"/>
      <c r="T394" s="646" t="n"/>
      <c r="U394" s="43" t="inlineStr">
        <is>
          <t>кор</t>
        </is>
      </c>
      <c r="V394" s="676">
        <f>IFERROR(V387/H387,"0")+IFERROR(V388/H388,"0")+IFERROR(V389/H389,"0")+IFERROR(V390/H390,"0")+IFERROR(V391/H391,"0")+IFERROR(V392/H392,"0")+IFERROR(V393/H393,"0")</f>
        <v/>
      </c>
      <c r="W394" s="676">
        <f>IFERROR(W387/H387,"0")+IFERROR(W388/H388,"0")+IFERROR(W389/H389,"0")+IFERROR(W390/H390,"0")+IFERROR(W391/H391,"0")+IFERROR(W392/H392,"0")+IFERROR(W393/H393,"0")</f>
        <v/>
      </c>
      <c r="X394" s="676">
        <f>IFERROR(IF(X387="",0,X387),"0")+IFERROR(IF(X388="",0,X388),"0")+IFERROR(IF(X389="",0,X389),"0")+IFERROR(IF(X390="",0,X390),"0")+IFERROR(IF(X391="",0,X391),"0")+IFERROR(IF(X392="",0,X392),"0")+IFERROR(IF(X393="",0,X393),"0")</f>
        <v/>
      </c>
      <c r="Y394" s="677" t="n"/>
      <c r="Z394" s="677" t="n"/>
    </row>
    <row r="395">
      <c r="A395" s="313" t="n"/>
      <c r="B395" s="313" t="n"/>
      <c r="C395" s="313" t="n"/>
      <c r="D395" s="313" t="n"/>
      <c r="E395" s="313" t="n"/>
      <c r="F395" s="313" t="n"/>
      <c r="G395" s="313" t="n"/>
      <c r="H395" s="313" t="n"/>
      <c r="I395" s="313" t="n"/>
      <c r="J395" s="313" t="n"/>
      <c r="K395" s="313" t="n"/>
      <c r="L395" s="313" t="n"/>
      <c r="M395" s="674" t="n"/>
      <c r="N395" s="675" t="inlineStr">
        <is>
          <t>Итого</t>
        </is>
      </c>
      <c r="O395" s="645" t="n"/>
      <c r="P395" s="645" t="n"/>
      <c r="Q395" s="645" t="n"/>
      <c r="R395" s="645" t="n"/>
      <c r="S395" s="645" t="n"/>
      <c r="T395" s="646" t="n"/>
      <c r="U395" s="43" t="inlineStr">
        <is>
          <t>кг</t>
        </is>
      </c>
      <c r="V395" s="676">
        <f>IFERROR(SUM(V387:V393),"0")</f>
        <v/>
      </c>
      <c r="W395" s="676">
        <f>IFERROR(SUM(W387:W393),"0")</f>
        <v/>
      </c>
      <c r="X395" s="43" t="n"/>
      <c r="Y395" s="677" t="n"/>
      <c r="Z395" s="677" t="n"/>
    </row>
    <row r="396" ht="14.25" customHeight="1">
      <c r="A396" s="330" t="inlineStr">
        <is>
          <t>Сыровяленые колбасы</t>
        </is>
      </c>
      <c r="B396" s="313" t="n"/>
      <c r="C396" s="313" t="n"/>
      <c r="D396" s="313" t="n"/>
      <c r="E396" s="313" t="n"/>
      <c r="F396" s="313" t="n"/>
      <c r="G396" s="313" t="n"/>
      <c r="H396" s="313" t="n"/>
      <c r="I396" s="313" t="n"/>
      <c r="J396" s="313" t="n"/>
      <c r="K396" s="313" t="n"/>
      <c r="L396" s="313" t="n"/>
      <c r="M396" s="313" t="n"/>
      <c r="N396" s="313" t="n"/>
      <c r="O396" s="313" t="n"/>
      <c r="P396" s="313" t="n"/>
      <c r="Q396" s="313" t="n"/>
      <c r="R396" s="313" t="n"/>
      <c r="S396" s="313" t="n"/>
      <c r="T396" s="313" t="n"/>
      <c r="U396" s="313" t="n"/>
      <c r="V396" s="313" t="n"/>
      <c r="W396" s="313" t="n"/>
      <c r="X396" s="313" t="n"/>
      <c r="Y396" s="330" t="n"/>
      <c r="Z396" s="330" t="n"/>
    </row>
    <row r="397" ht="27" customHeight="1">
      <c r="A397" s="64" t="inlineStr">
        <is>
          <t>SU003056</t>
        </is>
      </c>
      <c r="B397" s="64" t="inlineStr">
        <is>
          <t>P003622</t>
        </is>
      </c>
      <c r="C397" s="37" t="n">
        <v>4301170008</v>
      </c>
      <c r="D397" s="325" t="n">
        <v>4680115882980</v>
      </c>
      <c r="E397" s="637" t="n"/>
      <c r="F397" s="669" t="n">
        <v>0.13</v>
      </c>
      <c r="G397" s="38" t="n">
        <v>10</v>
      </c>
      <c r="H397" s="669" t="n">
        <v>1.3</v>
      </c>
      <c r="I397" s="669" t="n">
        <v>1.46</v>
      </c>
      <c r="J397" s="38" t="n">
        <v>200</v>
      </c>
      <c r="K397" s="38" t="inlineStr">
        <is>
          <t>10</t>
        </is>
      </c>
      <c r="L397" s="39" t="inlineStr">
        <is>
          <t>ДК</t>
        </is>
      </c>
      <c r="M397" s="38" t="n">
        <v>150</v>
      </c>
      <c r="N397" s="887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/>
      </c>
      <c r="O397" s="671" t="n"/>
      <c r="P397" s="671" t="n"/>
      <c r="Q397" s="671" t="n"/>
      <c r="R397" s="637" t="n"/>
      <c r="S397" s="40" t="inlineStr"/>
      <c r="T397" s="40" t="inlineStr"/>
      <c r="U397" s="41" t="inlineStr">
        <is>
          <t>кг</t>
        </is>
      </c>
      <c r="V397" s="672" t="n">
        <v>2</v>
      </c>
      <c r="W397" s="673">
        <f>IFERROR(IF(V397="",0,CEILING((V397/$H397),1)*$H397),"")</f>
        <v/>
      </c>
      <c r="X397" s="42">
        <f>IFERROR(IF(W397=0,"",ROUNDUP(W397/H397,0)*0.00673),"")</f>
        <v/>
      </c>
      <c r="Y397" s="69" t="inlineStr"/>
      <c r="Z397" s="70" t="inlineStr"/>
      <c r="AD397" s="71" t="n"/>
      <c r="BA397" s="283" t="inlineStr">
        <is>
          <t>КИ</t>
        </is>
      </c>
    </row>
    <row r="398">
      <c r="A398" s="320" t="n"/>
      <c r="B398" s="313" t="n"/>
      <c r="C398" s="313" t="n"/>
      <c r="D398" s="313" t="n"/>
      <c r="E398" s="313" t="n"/>
      <c r="F398" s="313" t="n"/>
      <c r="G398" s="313" t="n"/>
      <c r="H398" s="313" t="n"/>
      <c r="I398" s="313" t="n"/>
      <c r="J398" s="313" t="n"/>
      <c r="K398" s="313" t="n"/>
      <c r="L398" s="313" t="n"/>
      <c r="M398" s="674" t="n"/>
      <c r="N398" s="675" t="inlineStr">
        <is>
          <t>Итого</t>
        </is>
      </c>
      <c r="O398" s="645" t="n"/>
      <c r="P398" s="645" t="n"/>
      <c r="Q398" s="645" t="n"/>
      <c r="R398" s="645" t="n"/>
      <c r="S398" s="645" t="n"/>
      <c r="T398" s="646" t="n"/>
      <c r="U398" s="43" t="inlineStr">
        <is>
          <t>кор</t>
        </is>
      </c>
      <c r="V398" s="676">
        <f>IFERROR(V397/H397,"0")</f>
        <v/>
      </c>
      <c r="W398" s="676">
        <f>IFERROR(W397/H397,"0")</f>
        <v/>
      </c>
      <c r="X398" s="676">
        <f>IFERROR(IF(X397="",0,X397),"0")</f>
        <v/>
      </c>
      <c r="Y398" s="677" t="n"/>
      <c r="Z398" s="677" t="n"/>
    </row>
    <row r="399">
      <c r="A399" s="313" t="n"/>
      <c r="B399" s="313" t="n"/>
      <c r="C399" s="313" t="n"/>
      <c r="D399" s="313" t="n"/>
      <c r="E399" s="313" t="n"/>
      <c r="F399" s="313" t="n"/>
      <c r="G399" s="313" t="n"/>
      <c r="H399" s="313" t="n"/>
      <c r="I399" s="313" t="n"/>
      <c r="J399" s="313" t="n"/>
      <c r="K399" s="313" t="n"/>
      <c r="L399" s="313" t="n"/>
      <c r="M399" s="674" t="n"/>
      <c r="N399" s="675" t="inlineStr">
        <is>
          <t>Итого</t>
        </is>
      </c>
      <c r="O399" s="645" t="n"/>
      <c r="P399" s="645" t="n"/>
      <c r="Q399" s="645" t="n"/>
      <c r="R399" s="645" t="n"/>
      <c r="S399" s="645" t="n"/>
      <c r="T399" s="646" t="n"/>
      <c r="U399" s="43" t="inlineStr">
        <is>
          <t>кг</t>
        </is>
      </c>
      <c r="V399" s="676">
        <f>IFERROR(SUM(V397:V397),"0")</f>
        <v/>
      </c>
      <c r="W399" s="676">
        <f>IFERROR(SUM(W397:W397),"0")</f>
        <v/>
      </c>
      <c r="X399" s="43" t="n"/>
      <c r="Y399" s="677" t="n"/>
      <c r="Z399" s="677" t="n"/>
    </row>
    <row r="400" ht="27.75" customHeight="1">
      <c r="A400" s="341" t="inlineStr">
        <is>
          <t>Дугушка</t>
        </is>
      </c>
      <c r="B400" s="668" t="n"/>
      <c r="C400" s="668" t="n"/>
      <c r="D400" s="668" t="n"/>
      <c r="E400" s="668" t="n"/>
      <c r="F400" s="668" t="n"/>
      <c r="G400" s="668" t="n"/>
      <c r="H400" s="668" t="n"/>
      <c r="I400" s="668" t="n"/>
      <c r="J400" s="668" t="n"/>
      <c r="K400" s="668" t="n"/>
      <c r="L400" s="668" t="n"/>
      <c r="M400" s="668" t="n"/>
      <c r="N400" s="668" t="n"/>
      <c r="O400" s="668" t="n"/>
      <c r="P400" s="668" t="n"/>
      <c r="Q400" s="668" t="n"/>
      <c r="R400" s="668" t="n"/>
      <c r="S400" s="668" t="n"/>
      <c r="T400" s="668" t="n"/>
      <c r="U400" s="668" t="n"/>
      <c r="V400" s="668" t="n"/>
      <c r="W400" s="668" t="n"/>
      <c r="X400" s="668" t="n"/>
      <c r="Y400" s="55" t="n"/>
      <c r="Z400" s="55" t="n"/>
    </row>
    <row r="401" ht="16.5" customHeight="1">
      <c r="A401" s="329" t="inlineStr">
        <is>
          <t>Дугушка</t>
        </is>
      </c>
      <c r="B401" s="313" t="n"/>
      <c r="C401" s="313" t="n"/>
      <c r="D401" s="313" t="n"/>
      <c r="E401" s="313" t="n"/>
      <c r="F401" s="313" t="n"/>
      <c r="G401" s="313" t="n"/>
      <c r="H401" s="313" t="n"/>
      <c r="I401" s="313" t="n"/>
      <c r="J401" s="313" t="n"/>
      <c r="K401" s="313" t="n"/>
      <c r="L401" s="313" t="n"/>
      <c r="M401" s="313" t="n"/>
      <c r="N401" s="313" t="n"/>
      <c r="O401" s="313" t="n"/>
      <c r="P401" s="313" t="n"/>
      <c r="Q401" s="313" t="n"/>
      <c r="R401" s="313" t="n"/>
      <c r="S401" s="313" t="n"/>
      <c r="T401" s="313" t="n"/>
      <c r="U401" s="313" t="n"/>
      <c r="V401" s="313" t="n"/>
      <c r="W401" s="313" t="n"/>
      <c r="X401" s="313" t="n"/>
      <c r="Y401" s="329" t="n"/>
      <c r="Z401" s="329" t="n"/>
    </row>
    <row r="402" ht="14.25" customHeight="1">
      <c r="A402" s="330" t="inlineStr">
        <is>
          <t>Вареные колбасы</t>
        </is>
      </c>
      <c r="B402" s="313" t="n"/>
      <c r="C402" s="313" t="n"/>
      <c r="D402" s="313" t="n"/>
      <c r="E402" s="313" t="n"/>
      <c r="F402" s="313" t="n"/>
      <c r="G402" s="313" t="n"/>
      <c r="H402" s="313" t="n"/>
      <c r="I402" s="313" t="n"/>
      <c r="J402" s="313" t="n"/>
      <c r="K402" s="313" t="n"/>
      <c r="L402" s="313" t="n"/>
      <c r="M402" s="313" t="n"/>
      <c r="N402" s="313" t="n"/>
      <c r="O402" s="313" t="n"/>
      <c r="P402" s="313" t="n"/>
      <c r="Q402" s="313" t="n"/>
      <c r="R402" s="313" t="n"/>
      <c r="S402" s="313" t="n"/>
      <c r="T402" s="313" t="n"/>
      <c r="U402" s="313" t="n"/>
      <c r="V402" s="313" t="n"/>
      <c r="W402" s="313" t="n"/>
      <c r="X402" s="313" t="n"/>
      <c r="Y402" s="330" t="n"/>
      <c r="Z402" s="330" t="n"/>
    </row>
    <row r="403" ht="27" customHeight="1">
      <c r="A403" s="64" t="inlineStr">
        <is>
          <t>SU002011</t>
        </is>
      </c>
      <c r="B403" s="64" t="inlineStr">
        <is>
          <t>P002991</t>
        </is>
      </c>
      <c r="C403" s="37" t="n">
        <v>4301011371</v>
      </c>
      <c r="D403" s="325" t="n">
        <v>4607091389067</v>
      </c>
      <c r="E403" s="637" t="n"/>
      <c r="F403" s="669" t="n">
        <v>0.88</v>
      </c>
      <c r="G403" s="38" t="n">
        <v>6</v>
      </c>
      <c r="H403" s="669" t="n">
        <v>5.28</v>
      </c>
      <c r="I403" s="669" t="n">
        <v>5.64</v>
      </c>
      <c r="J403" s="38" t="n">
        <v>104</v>
      </c>
      <c r="K403" s="38" t="inlineStr">
        <is>
          <t>8</t>
        </is>
      </c>
      <c r="L403" s="39" t="inlineStr">
        <is>
          <t>СК3</t>
        </is>
      </c>
      <c r="M403" s="38" t="n">
        <v>55</v>
      </c>
      <c r="N403" s="888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O403" s="671" t="n"/>
      <c r="P403" s="671" t="n"/>
      <c r="Q403" s="671" t="n"/>
      <c r="R403" s="637" t="n"/>
      <c r="S403" s="40" t="inlineStr"/>
      <c r="T403" s="40" t="inlineStr"/>
      <c r="U403" s="41" t="inlineStr">
        <is>
          <t>кг</t>
        </is>
      </c>
      <c r="V403" s="672" t="n">
        <v>0</v>
      </c>
      <c r="W403" s="673">
        <f>IFERROR(IF(V403="",0,CEILING((V403/$H403),1)*$H403),"")</f>
        <v/>
      </c>
      <c r="X403" s="42">
        <f>IFERROR(IF(W403=0,"",ROUNDUP(W403/H403,0)*0.01196),"")</f>
        <v/>
      </c>
      <c r="Y403" s="69" t="inlineStr"/>
      <c r="Z403" s="70" t="inlineStr"/>
      <c r="AD403" s="71" t="n"/>
      <c r="BA403" s="284" t="inlineStr">
        <is>
          <t>КИ</t>
        </is>
      </c>
    </row>
    <row r="404" ht="27" customHeight="1">
      <c r="A404" s="64" t="inlineStr">
        <is>
          <t>SU002094</t>
        </is>
      </c>
      <c r="B404" s="64" t="inlineStr">
        <is>
          <t>P002975</t>
        </is>
      </c>
      <c r="C404" s="37" t="n">
        <v>4301011363</v>
      </c>
      <c r="D404" s="325" t="n">
        <v>4607091383522</v>
      </c>
      <c r="E404" s="637" t="n"/>
      <c r="F404" s="669" t="n">
        <v>0.88</v>
      </c>
      <c r="G404" s="38" t="n">
        <v>6</v>
      </c>
      <c r="H404" s="669" t="n">
        <v>5.28</v>
      </c>
      <c r="I404" s="669" t="n">
        <v>5.64</v>
      </c>
      <c r="J404" s="38" t="n">
        <v>104</v>
      </c>
      <c r="K404" s="38" t="inlineStr">
        <is>
          <t>8</t>
        </is>
      </c>
      <c r="L404" s="39" t="inlineStr">
        <is>
          <t>СК1</t>
        </is>
      </c>
      <c r="M404" s="38" t="n">
        <v>55</v>
      </c>
      <c r="N404" s="889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O404" s="671" t="n"/>
      <c r="P404" s="671" t="n"/>
      <c r="Q404" s="671" t="n"/>
      <c r="R404" s="637" t="n"/>
      <c r="S404" s="40" t="inlineStr"/>
      <c r="T404" s="40" t="inlineStr"/>
      <c r="U404" s="41" t="inlineStr">
        <is>
          <t>кг</t>
        </is>
      </c>
      <c r="V404" s="672" t="n">
        <v>154</v>
      </c>
      <c r="W404" s="673">
        <f>IFERROR(IF(V404="",0,CEILING((V404/$H404),1)*$H404),"")</f>
        <v/>
      </c>
      <c r="X404" s="42">
        <f>IFERROR(IF(W404=0,"",ROUNDUP(W404/H404,0)*0.01196),"")</f>
        <v/>
      </c>
      <c r="Y404" s="69" t="inlineStr"/>
      <c r="Z404" s="70" t="inlineStr"/>
      <c r="AD404" s="71" t="n"/>
      <c r="BA404" s="285" t="inlineStr">
        <is>
          <t>КИ</t>
        </is>
      </c>
    </row>
    <row r="405" ht="27" customHeight="1">
      <c r="A405" s="64" t="inlineStr">
        <is>
          <t>SU002182</t>
        </is>
      </c>
      <c r="B405" s="64" t="inlineStr">
        <is>
          <t>P002990</t>
        </is>
      </c>
      <c r="C405" s="37" t="n">
        <v>4301011431</v>
      </c>
      <c r="D405" s="325" t="n">
        <v>4607091384437</v>
      </c>
      <c r="E405" s="637" t="n"/>
      <c r="F405" s="669" t="n">
        <v>0.88</v>
      </c>
      <c r="G405" s="38" t="n">
        <v>6</v>
      </c>
      <c r="H405" s="669" t="n">
        <v>5.28</v>
      </c>
      <c r="I405" s="669" t="n">
        <v>5.64</v>
      </c>
      <c r="J405" s="38" t="n">
        <v>104</v>
      </c>
      <c r="K405" s="38" t="inlineStr">
        <is>
          <t>8</t>
        </is>
      </c>
      <c r="L405" s="39" t="inlineStr">
        <is>
          <t>СК1</t>
        </is>
      </c>
      <c r="M405" s="38" t="n">
        <v>50</v>
      </c>
      <c r="N405" s="890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O405" s="671" t="n"/>
      <c r="P405" s="671" t="n"/>
      <c r="Q405" s="671" t="n"/>
      <c r="R405" s="637" t="n"/>
      <c r="S405" s="40" t="inlineStr"/>
      <c r="T405" s="40" t="inlineStr"/>
      <c r="U405" s="41" t="inlineStr">
        <is>
          <t>кг</t>
        </is>
      </c>
      <c r="V405" s="672" t="n">
        <v>0</v>
      </c>
      <c r="W405" s="673">
        <f>IFERROR(IF(V405="",0,CEILING((V405/$H405),1)*$H405),"")</f>
        <v/>
      </c>
      <c r="X405" s="42">
        <f>IFERROR(IF(W405=0,"",ROUNDUP(W405/H405,0)*0.01196),"")</f>
        <v/>
      </c>
      <c r="Y405" s="69" t="inlineStr"/>
      <c r="Z405" s="70" t="inlineStr"/>
      <c r="AD405" s="71" t="n"/>
      <c r="BA405" s="286" t="inlineStr">
        <is>
          <t>КИ</t>
        </is>
      </c>
    </row>
    <row r="406" ht="27" customHeight="1">
      <c r="A406" s="64" t="inlineStr">
        <is>
          <t>SU002010</t>
        </is>
      </c>
      <c r="B406" s="64" t="inlineStr">
        <is>
          <t>P002979</t>
        </is>
      </c>
      <c r="C406" s="37" t="n">
        <v>4301011365</v>
      </c>
      <c r="D406" s="325" t="n">
        <v>4607091389104</v>
      </c>
      <c r="E406" s="637" t="n"/>
      <c r="F406" s="669" t="n">
        <v>0.88</v>
      </c>
      <c r="G406" s="38" t="n">
        <v>6</v>
      </c>
      <c r="H406" s="669" t="n">
        <v>5.28</v>
      </c>
      <c r="I406" s="669" t="n">
        <v>5.64</v>
      </c>
      <c r="J406" s="38" t="n">
        <v>104</v>
      </c>
      <c r="K406" s="38" t="inlineStr">
        <is>
          <t>8</t>
        </is>
      </c>
      <c r="L406" s="39" t="inlineStr">
        <is>
          <t>СК1</t>
        </is>
      </c>
      <c r="M406" s="38" t="n">
        <v>55</v>
      </c>
      <c r="N406" s="891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O406" s="671" t="n"/>
      <c r="P406" s="671" t="n"/>
      <c r="Q406" s="671" t="n"/>
      <c r="R406" s="637" t="n"/>
      <c r="S406" s="40" t="inlineStr"/>
      <c r="T406" s="40" t="inlineStr"/>
      <c r="U406" s="41" t="inlineStr">
        <is>
          <t>кг</t>
        </is>
      </c>
      <c r="V406" s="672" t="n">
        <v>176</v>
      </c>
      <c r="W406" s="673">
        <f>IFERROR(IF(V406="",0,CEILING((V406/$H406),1)*$H406),"")</f>
        <v/>
      </c>
      <c r="X406" s="42">
        <f>IFERROR(IF(W406=0,"",ROUNDUP(W406/H406,0)*0.01196),"")</f>
        <v/>
      </c>
      <c r="Y406" s="69" t="inlineStr"/>
      <c r="Z406" s="70" t="inlineStr"/>
      <c r="AD406" s="71" t="n"/>
      <c r="BA406" s="287" t="inlineStr">
        <is>
          <t>КИ</t>
        </is>
      </c>
    </row>
    <row r="407" ht="27" customHeight="1">
      <c r="A407" s="64" t="inlineStr">
        <is>
          <t>SU002632</t>
        </is>
      </c>
      <c r="B407" s="64" t="inlineStr">
        <is>
          <t>P002982</t>
        </is>
      </c>
      <c r="C407" s="37" t="n">
        <v>4301011367</v>
      </c>
      <c r="D407" s="325" t="n">
        <v>4680115880603</v>
      </c>
      <c r="E407" s="637" t="n"/>
      <c r="F407" s="669" t="n">
        <v>0.6</v>
      </c>
      <c r="G407" s="38" t="n">
        <v>6</v>
      </c>
      <c r="H407" s="669" t="n">
        <v>3.6</v>
      </c>
      <c r="I407" s="669" t="n">
        <v>3.84</v>
      </c>
      <c r="J407" s="38" t="n">
        <v>120</v>
      </c>
      <c r="K407" s="38" t="inlineStr">
        <is>
          <t>12</t>
        </is>
      </c>
      <c r="L407" s="39" t="inlineStr">
        <is>
          <t>СК1</t>
        </is>
      </c>
      <c r="M407" s="38" t="n">
        <v>55</v>
      </c>
      <c r="N407" s="892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O407" s="671" t="n"/>
      <c r="P407" s="671" t="n"/>
      <c r="Q407" s="671" t="n"/>
      <c r="R407" s="637" t="n"/>
      <c r="S407" s="40" t="inlineStr"/>
      <c r="T407" s="40" t="inlineStr"/>
      <c r="U407" s="41" t="inlineStr">
        <is>
          <t>кг</t>
        </is>
      </c>
      <c r="V407" s="672" t="n">
        <v>0</v>
      </c>
      <c r="W407" s="673">
        <f>IFERROR(IF(V407="",0,CEILING((V407/$H407),1)*$H407),"")</f>
        <v/>
      </c>
      <c r="X407" s="42">
        <f>IFERROR(IF(W407=0,"",ROUNDUP(W407/H407,0)*0.00937),"")</f>
        <v/>
      </c>
      <c r="Y407" s="69" t="inlineStr"/>
      <c r="Z407" s="70" t="inlineStr"/>
      <c r="AD407" s="71" t="n"/>
      <c r="BA407" s="288" t="inlineStr">
        <is>
          <t>КИ</t>
        </is>
      </c>
    </row>
    <row r="408" ht="27" customHeight="1">
      <c r="A408" s="64" t="inlineStr">
        <is>
          <t>SU002220</t>
        </is>
      </c>
      <c r="B408" s="64" t="inlineStr">
        <is>
          <t>P002404</t>
        </is>
      </c>
      <c r="C408" s="37" t="n">
        <v>4301011168</v>
      </c>
      <c r="D408" s="325" t="n">
        <v>4607091389999</v>
      </c>
      <c r="E408" s="637" t="n"/>
      <c r="F408" s="669" t="n">
        <v>0.6</v>
      </c>
      <c r="G408" s="38" t="n">
        <v>6</v>
      </c>
      <c r="H408" s="669" t="n">
        <v>3.6</v>
      </c>
      <c r="I408" s="669" t="n">
        <v>3.84</v>
      </c>
      <c r="J408" s="38" t="n">
        <v>120</v>
      </c>
      <c r="K408" s="38" t="inlineStr">
        <is>
          <t>12</t>
        </is>
      </c>
      <c r="L408" s="39" t="inlineStr">
        <is>
          <t>СК1</t>
        </is>
      </c>
      <c r="M408" s="38" t="n">
        <v>55</v>
      </c>
      <c r="N408" s="893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O408" s="671" t="n"/>
      <c r="P408" s="671" t="n"/>
      <c r="Q408" s="671" t="n"/>
      <c r="R408" s="637" t="n"/>
      <c r="S408" s="40" t="inlineStr"/>
      <c r="T408" s="40" t="inlineStr"/>
      <c r="U408" s="41" t="inlineStr">
        <is>
          <t>кг</t>
        </is>
      </c>
      <c r="V408" s="672" t="n">
        <v>0</v>
      </c>
      <c r="W408" s="673">
        <f>IFERROR(IF(V408="",0,CEILING((V408/$H408),1)*$H408),"")</f>
        <v/>
      </c>
      <c r="X408" s="42">
        <f>IFERROR(IF(W408=0,"",ROUNDUP(W408/H408,0)*0.00937),"")</f>
        <v/>
      </c>
      <c r="Y408" s="69" t="inlineStr"/>
      <c r="Z408" s="70" t="inlineStr"/>
      <c r="AD408" s="71" t="n"/>
      <c r="BA408" s="289" t="inlineStr">
        <is>
          <t>КИ</t>
        </is>
      </c>
    </row>
    <row r="409" ht="27" customHeight="1">
      <c r="A409" s="64" t="inlineStr">
        <is>
          <t>SU002635</t>
        </is>
      </c>
      <c r="B409" s="64" t="inlineStr">
        <is>
          <t>P002992</t>
        </is>
      </c>
      <c r="C409" s="37" t="n">
        <v>4301011372</v>
      </c>
      <c r="D409" s="325" t="n">
        <v>4680115882782</v>
      </c>
      <c r="E409" s="637" t="n"/>
      <c r="F409" s="669" t="n">
        <v>0.6</v>
      </c>
      <c r="G409" s="38" t="n">
        <v>6</v>
      </c>
      <c r="H409" s="669" t="n">
        <v>3.6</v>
      </c>
      <c r="I409" s="669" t="n">
        <v>3.84</v>
      </c>
      <c r="J409" s="38" t="n">
        <v>120</v>
      </c>
      <c r="K409" s="38" t="inlineStr">
        <is>
          <t>12</t>
        </is>
      </c>
      <c r="L409" s="39" t="inlineStr">
        <is>
          <t>СК1</t>
        </is>
      </c>
      <c r="M409" s="38" t="n">
        <v>50</v>
      </c>
      <c r="N409" s="894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O409" s="671" t="n"/>
      <c r="P409" s="671" t="n"/>
      <c r="Q409" s="671" t="n"/>
      <c r="R409" s="637" t="n"/>
      <c r="S409" s="40" t="inlineStr"/>
      <c r="T409" s="40" t="inlineStr"/>
      <c r="U409" s="41" t="inlineStr">
        <is>
          <t>кг</t>
        </is>
      </c>
      <c r="V409" s="672" t="n">
        <v>0</v>
      </c>
      <c r="W409" s="673">
        <f>IFERROR(IF(V409="",0,CEILING((V409/$H409),1)*$H409),"")</f>
        <v/>
      </c>
      <c r="X409" s="42">
        <f>IFERROR(IF(W409=0,"",ROUNDUP(W409/H409,0)*0.00937),"")</f>
        <v/>
      </c>
      <c r="Y409" s="69" t="inlineStr"/>
      <c r="Z409" s="70" t="inlineStr"/>
      <c r="AD409" s="71" t="n"/>
      <c r="BA409" s="290" t="inlineStr">
        <is>
          <t>КИ</t>
        </is>
      </c>
    </row>
    <row r="410" ht="27" customHeight="1">
      <c r="A410" s="64" t="inlineStr">
        <is>
          <t>SU002020</t>
        </is>
      </c>
      <c r="B410" s="64" t="inlineStr">
        <is>
          <t>P002308</t>
        </is>
      </c>
      <c r="C410" s="37" t="n">
        <v>4301011190</v>
      </c>
      <c r="D410" s="325" t="n">
        <v>4607091389098</v>
      </c>
      <c r="E410" s="637" t="n"/>
      <c r="F410" s="669" t="n">
        <v>0.4</v>
      </c>
      <c r="G410" s="38" t="n">
        <v>6</v>
      </c>
      <c r="H410" s="669" t="n">
        <v>2.4</v>
      </c>
      <c r="I410" s="669" t="n">
        <v>2.6</v>
      </c>
      <c r="J410" s="38" t="n">
        <v>156</v>
      </c>
      <c r="K410" s="38" t="inlineStr">
        <is>
          <t>12</t>
        </is>
      </c>
      <c r="L410" s="39" t="inlineStr">
        <is>
          <t>СК3</t>
        </is>
      </c>
      <c r="M410" s="38" t="n">
        <v>50</v>
      </c>
      <c r="N410" s="895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O410" s="671" t="n"/>
      <c r="P410" s="671" t="n"/>
      <c r="Q410" s="671" t="n"/>
      <c r="R410" s="637" t="n"/>
      <c r="S410" s="40" t="inlineStr"/>
      <c r="T410" s="40" t="inlineStr"/>
      <c r="U410" s="41" t="inlineStr">
        <is>
          <t>кг</t>
        </is>
      </c>
      <c r="V410" s="672" t="n">
        <v>0</v>
      </c>
      <c r="W410" s="673">
        <f>IFERROR(IF(V410="",0,CEILING((V410/$H410),1)*$H410),"")</f>
        <v/>
      </c>
      <c r="X410" s="42">
        <f>IFERROR(IF(W410=0,"",ROUNDUP(W410/H410,0)*0.00753),"")</f>
        <v/>
      </c>
      <c r="Y410" s="69" t="inlineStr"/>
      <c r="Z410" s="70" t="inlineStr"/>
      <c r="AD410" s="71" t="n"/>
      <c r="BA410" s="291" t="inlineStr">
        <is>
          <t>КИ</t>
        </is>
      </c>
    </row>
    <row r="411" ht="27" customHeight="1">
      <c r="A411" s="64" t="inlineStr">
        <is>
          <t>SU002631</t>
        </is>
      </c>
      <c r="B411" s="64" t="inlineStr">
        <is>
          <t>P002981</t>
        </is>
      </c>
      <c r="C411" s="37" t="n">
        <v>4301011366</v>
      </c>
      <c r="D411" s="325" t="n">
        <v>4607091389982</v>
      </c>
      <c r="E411" s="637" t="n"/>
      <c r="F411" s="669" t="n">
        <v>0.6</v>
      </c>
      <c r="G411" s="38" t="n">
        <v>6</v>
      </c>
      <c r="H411" s="669" t="n">
        <v>3.6</v>
      </c>
      <c r="I411" s="669" t="n">
        <v>3.84</v>
      </c>
      <c r="J411" s="38" t="n">
        <v>120</v>
      </c>
      <c r="K411" s="38" t="inlineStr">
        <is>
          <t>12</t>
        </is>
      </c>
      <c r="L411" s="39" t="inlineStr">
        <is>
          <t>СК1</t>
        </is>
      </c>
      <c r="M411" s="38" t="n">
        <v>55</v>
      </c>
      <c r="N411" s="896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O411" s="671" t="n"/>
      <c r="P411" s="671" t="n"/>
      <c r="Q411" s="671" t="n"/>
      <c r="R411" s="637" t="n"/>
      <c r="S411" s="40" t="inlineStr"/>
      <c r="T411" s="40" t="inlineStr"/>
      <c r="U411" s="41" t="inlineStr">
        <is>
          <t>кг</t>
        </is>
      </c>
      <c r="V411" s="672" t="n">
        <v>0</v>
      </c>
      <c r="W411" s="673">
        <f>IFERROR(IF(V411="",0,CEILING((V411/$H411),1)*$H411),"")</f>
        <v/>
      </c>
      <c r="X411" s="42">
        <f>IFERROR(IF(W411=0,"",ROUNDUP(W411/H411,0)*0.00937),"")</f>
        <v/>
      </c>
      <c r="Y411" s="69" t="inlineStr"/>
      <c r="Z411" s="70" t="inlineStr"/>
      <c r="AD411" s="71" t="n"/>
      <c r="BA411" s="292" t="inlineStr">
        <is>
          <t>КИ</t>
        </is>
      </c>
    </row>
    <row r="412">
      <c r="A412" s="320" t="n"/>
      <c r="B412" s="313" t="n"/>
      <c r="C412" s="313" t="n"/>
      <c r="D412" s="313" t="n"/>
      <c r="E412" s="313" t="n"/>
      <c r="F412" s="313" t="n"/>
      <c r="G412" s="313" t="n"/>
      <c r="H412" s="313" t="n"/>
      <c r="I412" s="313" t="n"/>
      <c r="J412" s="313" t="n"/>
      <c r="K412" s="313" t="n"/>
      <c r="L412" s="313" t="n"/>
      <c r="M412" s="674" t="n"/>
      <c r="N412" s="675" t="inlineStr">
        <is>
          <t>Итого</t>
        </is>
      </c>
      <c r="O412" s="645" t="n"/>
      <c r="P412" s="645" t="n"/>
      <c r="Q412" s="645" t="n"/>
      <c r="R412" s="645" t="n"/>
      <c r="S412" s="645" t="n"/>
      <c r="T412" s="646" t="n"/>
      <c r="U412" s="43" t="inlineStr">
        <is>
          <t>кор</t>
        </is>
      </c>
      <c r="V412" s="676">
        <f>IFERROR(V403/H403,"0")+IFERROR(V404/H404,"0")+IFERROR(V405/H405,"0")+IFERROR(V406/H406,"0")+IFERROR(V407/H407,"0")+IFERROR(V408/H408,"0")+IFERROR(V409/H409,"0")+IFERROR(V410/H410,"0")+IFERROR(V411/H411,"0")</f>
        <v/>
      </c>
      <c r="W412" s="676">
        <f>IFERROR(W403/H403,"0")+IFERROR(W404/H404,"0")+IFERROR(W405/H405,"0")+IFERROR(W406/H406,"0")+IFERROR(W407/H407,"0")+IFERROR(W408/H408,"0")+IFERROR(W409/H409,"0")+IFERROR(W410/H410,"0")+IFERROR(W411/H411,"0")</f>
        <v/>
      </c>
      <c r="X412" s="676">
        <f>IFERROR(IF(X403="",0,X403),"0")+IFERROR(IF(X404="",0,X404),"0")+IFERROR(IF(X405="",0,X405),"0")+IFERROR(IF(X406="",0,X406),"0")+IFERROR(IF(X407="",0,X407),"0")+IFERROR(IF(X408="",0,X408),"0")+IFERROR(IF(X409="",0,X409),"0")+IFERROR(IF(X410="",0,X410),"0")+IFERROR(IF(X411="",0,X411),"0")</f>
        <v/>
      </c>
      <c r="Y412" s="677" t="n"/>
      <c r="Z412" s="677" t="n"/>
    </row>
    <row r="413">
      <c r="A413" s="313" t="n"/>
      <c r="B413" s="313" t="n"/>
      <c r="C413" s="313" t="n"/>
      <c r="D413" s="313" t="n"/>
      <c r="E413" s="313" t="n"/>
      <c r="F413" s="313" t="n"/>
      <c r="G413" s="313" t="n"/>
      <c r="H413" s="313" t="n"/>
      <c r="I413" s="313" t="n"/>
      <c r="J413" s="313" t="n"/>
      <c r="K413" s="313" t="n"/>
      <c r="L413" s="313" t="n"/>
      <c r="M413" s="674" t="n"/>
      <c r="N413" s="675" t="inlineStr">
        <is>
          <t>Итого</t>
        </is>
      </c>
      <c r="O413" s="645" t="n"/>
      <c r="P413" s="645" t="n"/>
      <c r="Q413" s="645" t="n"/>
      <c r="R413" s="645" t="n"/>
      <c r="S413" s="645" t="n"/>
      <c r="T413" s="646" t="n"/>
      <c r="U413" s="43" t="inlineStr">
        <is>
          <t>кг</t>
        </is>
      </c>
      <c r="V413" s="676">
        <f>IFERROR(SUM(V403:V411),"0")</f>
        <v/>
      </c>
      <c r="W413" s="676">
        <f>IFERROR(SUM(W403:W411),"0")</f>
        <v/>
      </c>
      <c r="X413" s="43" t="n"/>
      <c r="Y413" s="677" t="n"/>
      <c r="Z413" s="677" t="n"/>
    </row>
    <row r="414" ht="14.25" customHeight="1">
      <c r="A414" s="330" t="inlineStr">
        <is>
          <t>Ветчины</t>
        </is>
      </c>
      <c r="B414" s="313" t="n"/>
      <c r="C414" s="313" t="n"/>
      <c r="D414" s="313" t="n"/>
      <c r="E414" s="313" t="n"/>
      <c r="F414" s="313" t="n"/>
      <c r="G414" s="313" t="n"/>
      <c r="H414" s="313" t="n"/>
      <c r="I414" s="313" t="n"/>
      <c r="J414" s="313" t="n"/>
      <c r="K414" s="313" t="n"/>
      <c r="L414" s="313" t="n"/>
      <c r="M414" s="313" t="n"/>
      <c r="N414" s="313" t="n"/>
      <c r="O414" s="313" t="n"/>
      <c r="P414" s="313" t="n"/>
      <c r="Q414" s="313" t="n"/>
      <c r="R414" s="313" t="n"/>
      <c r="S414" s="313" t="n"/>
      <c r="T414" s="313" t="n"/>
      <c r="U414" s="313" t="n"/>
      <c r="V414" s="313" t="n"/>
      <c r="W414" s="313" t="n"/>
      <c r="X414" s="313" t="n"/>
      <c r="Y414" s="330" t="n"/>
      <c r="Z414" s="330" t="n"/>
    </row>
    <row r="415" ht="16.5" customHeight="1">
      <c r="A415" s="64" t="inlineStr">
        <is>
          <t>SU002035</t>
        </is>
      </c>
      <c r="B415" s="64" t="inlineStr">
        <is>
          <t>P003146</t>
        </is>
      </c>
      <c r="C415" s="37" t="n">
        <v>4301020222</v>
      </c>
      <c r="D415" s="325" t="n">
        <v>4607091388930</v>
      </c>
      <c r="E415" s="637" t="n"/>
      <c r="F415" s="669" t="n">
        <v>0.88</v>
      </c>
      <c r="G415" s="38" t="n">
        <v>6</v>
      </c>
      <c r="H415" s="669" t="n">
        <v>5.28</v>
      </c>
      <c r="I415" s="669" t="n">
        <v>5.64</v>
      </c>
      <c r="J415" s="38" t="n">
        <v>104</v>
      </c>
      <c r="K415" s="38" t="inlineStr">
        <is>
          <t>8</t>
        </is>
      </c>
      <c r="L415" s="39" t="inlineStr">
        <is>
          <t>СК1</t>
        </is>
      </c>
      <c r="M415" s="38" t="n">
        <v>55</v>
      </c>
      <c r="N415" s="897">
        <f>HYPERLINK("https://abi.ru/products/Охлажденные/Дугушка/Дугушка/Ветчины/P003146/","Ветчины Дугушка Дугушка Вес б/о Дугушка")</f>
        <v/>
      </c>
      <c r="O415" s="671" t="n"/>
      <c r="P415" s="671" t="n"/>
      <c r="Q415" s="671" t="n"/>
      <c r="R415" s="637" t="n"/>
      <c r="S415" s="40" t="inlineStr"/>
      <c r="T415" s="40" t="inlineStr"/>
      <c r="U415" s="41" t="inlineStr">
        <is>
          <t>кг</t>
        </is>
      </c>
      <c r="V415" s="672" t="n">
        <v>0</v>
      </c>
      <c r="W415" s="673">
        <f>IFERROR(IF(V415="",0,CEILING((V415/$H415),1)*$H415),"")</f>
        <v/>
      </c>
      <c r="X415" s="42">
        <f>IFERROR(IF(W415=0,"",ROUNDUP(W415/H415,0)*0.01196),"")</f>
        <v/>
      </c>
      <c r="Y415" s="69" t="inlineStr"/>
      <c r="Z415" s="70" t="inlineStr"/>
      <c r="AD415" s="71" t="n"/>
      <c r="BA415" s="293" t="inlineStr">
        <is>
          <t>КИ</t>
        </is>
      </c>
    </row>
    <row r="416" ht="16.5" customHeight="1">
      <c r="A416" s="64" t="inlineStr">
        <is>
          <t>SU002643</t>
        </is>
      </c>
      <c r="B416" s="64" t="inlineStr">
        <is>
          <t>P002993</t>
        </is>
      </c>
      <c r="C416" s="37" t="n">
        <v>4301020206</v>
      </c>
      <c r="D416" s="325" t="n">
        <v>4680115880054</v>
      </c>
      <c r="E416" s="637" t="n"/>
      <c r="F416" s="669" t="n">
        <v>0.6</v>
      </c>
      <c r="G416" s="38" t="n">
        <v>6</v>
      </c>
      <c r="H416" s="669" t="n">
        <v>3.6</v>
      </c>
      <c r="I416" s="669" t="n">
        <v>3.84</v>
      </c>
      <c r="J416" s="38" t="n">
        <v>120</v>
      </c>
      <c r="K416" s="38" t="inlineStr">
        <is>
          <t>12</t>
        </is>
      </c>
      <c r="L416" s="39" t="inlineStr">
        <is>
          <t>СК1</t>
        </is>
      </c>
      <c r="M416" s="38" t="n">
        <v>55</v>
      </c>
      <c r="N416" s="898">
        <f>HYPERLINK("https://abi.ru/products/Охлажденные/Дугушка/Дугушка/Ветчины/P002993/","Ветчины «Дугушка» Фикс.вес 0,6 П/а ТМ «Дугушка»")</f>
        <v/>
      </c>
      <c r="O416" s="671" t="n"/>
      <c r="P416" s="671" t="n"/>
      <c r="Q416" s="671" t="n"/>
      <c r="R416" s="637" t="n"/>
      <c r="S416" s="40" t="inlineStr"/>
      <c r="T416" s="40" t="inlineStr"/>
      <c r="U416" s="41" t="inlineStr">
        <is>
          <t>кг</t>
        </is>
      </c>
      <c r="V416" s="672" t="n">
        <v>0</v>
      </c>
      <c r="W416" s="673">
        <f>IFERROR(IF(V416="",0,CEILING((V416/$H416),1)*$H416),"")</f>
        <v/>
      </c>
      <c r="X416" s="42">
        <f>IFERROR(IF(W416=0,"",ROUNDUP(W416/H416,0)*0.00937),"")</f>
        <v/>
      </c>
      <c r="Y416" s="69" t="inlineStr"/>
      <c r="Z416" s="70" t="inlineStr"/>
      <c r="AD416" s="71" t="n"/>
      <c r="BA416" s="294" t="inlineStr">
        <is>
          <t>КИ</t>
        </is>
      </c>
    </row>
    <row r="417">
      <c r="A417" s="320" t="n"/>
      <c r="B417" s="313" t="n"/>
      <c r="C417" s="313" t="n"/>
      <c r="D417" s="313" t="n"/>
      <c r="E417" s="313" t="n"/>
      <c r="F417" s="313" t="n"/>
      <c r="G417" s="313" t="n"/>
      <c r="H417" s="313" t="n"/>
      <c r="I417" s="313" t="n"/>
      <c r="J417" s="313" t="n"/>
      <c r="K417" s="313" t="n"/>
      <c r="L417" s="313" t="n"/>
      <c r="M417" s="674" t="n"/>
      <c r="N417" s="675" t="inlineStr">
        <is>
          <t>Итого</t>
        </is>
      </c>
      <c r="O417" s="645" t="n"/>
      <c r="P417" s="645" t="n"/>
      <c r="Q417" s="645" t="n"/>
      <c r="R417" s="645" t="n"/>
      <c r="S417" s="645" t="n"/>
      <c r="T417" s="646" t="n"/>
      <c r="U417" s="43" t="inlineStr">
        <is>
          <t>кор</t>
        </is>
      </c>
      <c r="V417" s="676">
        <f>IFERROR(V415/H415,"0")+IFERROR(V416/H416,"0")</f>
        <v/>
      </c>
      <c r="W417" s="676">
        <f>IFERROR(W415/H415,"0")+IFERROR(W416/H416,"0")</f>
        <v/>
      </c>
      <c r="X417" s="676">
        <f>IFERROR(IF(X415="",0,X415),"0")+IFERROR(IF(X416="",0,X416),"0")</f>
        <v/>
      </c>
      <c r="Y417" s="677" t="n"/>
      <c r="Z417" s="677" t="n"/>
    </row>
    <row r="418">
      <c r="A418" s="313" t="n"/>
      <c r="B418" s="313" t="n"/>
      <c r="C418" s="313" t="n"/>
      <c r="D418" s="313" t="n"/>
      <c r="E418" s="313" t="n"/>
      <c r="F418" s="313" t="n"/>
      <c r="G418" s="313" t="n"/>
      <c r="H418" s="313" t="n"/>
      <c r="I418" s="313" t="n"/>
      <c r="J418" s="313" t="n"/>
      <c r="K418" s="313" t="n"/>
      <c r="L418" s="313" t="n"/>
      <c r="M418" s="674" t="n"/>
      <c r="N418" s="675" t="inlineStr">
        <is>
          <t>Итого</t>
        </is>
      </c>
      <c r="O418" s="645" t="n"/>
      <c r="P418" s="645" t="n"/>
      <c r="Q418" s="645" t="n"/>
      <c r="R418" s="645" t="n"/>
      <c r="S418" s="645" t="n"/>
      <c r="T418" s="646" t="n"/>
      <c r="U418" s="43" t="inlineStr">
        <is>
          <t>кг</t>
        </is>
      </c>
      <c r="V418" s="676">
        <f>IFERROR(SUM(V415:V416),"0")</f>
        <v/>
      </c>
      <c r="W418" s="676">
        <f>IFERROR(SUM(W415:W416),"0")</f>
        <v/>
      </c>
      <c r="X418" s="43" t="n"/>
      <c r="Y418" s="677" t="n"/>
      <c r="Z418" s="677" t="n"/>
    </row>
    <row r="419" ht="14.25" customHeight="1">
      <c r="A419" s="330" t="inlineStr">
        <is>
          <t>Копченые колбасы</t>
        </is>
      </c>
      <c r="B419" s="313" t="n"/>
      <c r="C419" s="313" t="n"/>
      <c r="D419" s="313" t="n"/>
      <c r="E419" s="313" t="n"/>
      <c r="F419" s="313" t="n"/>
      <c r="G419" s="313" t="n"/>
      <c r="H419" s="313" t="n"/>
      <c r="I419" s="313" t="n"/>
      <c r="J419" s="313" t="n"/>
      <c r="K419" s="313" t="n"/>
      <c r="L419" s="313" t="n"/>
      <c r="M419" s="313" t="n"/>
      <c r="N419" s="313" t="n"/>
      <c r="O419" s="313" t="n"/>
      <c r="P419" s="313" t="n"/>
      <c r="Q419" s="313" t="n"/>
      <c r="R419" s="313" t="n"/>
      <c r="S419" s="313" t="n"/>
      <c r="T419" s="313" t="n"/>
      <c r="U419" s="313" t="n"/>
      <c r="V419" s="313" t="n"/>
      <c r="W419" s="313" t="n"/>
      <c r="X419" s="313" t="n"/>
      <c r="Y419" s="330" t="n"/>
      <c r="Z419" s="330" t="n"/>
    </row>
    <row r="420" ht="27" customHeight="1">
      <c r="A420" s="64" t="inlineStr">
        <is>
          <t>SU002150</t>
        </is>
      </c>
      <c r="B420" s="64" t="inlineStr">
        <is>
          <t>P003636</t>
        </is>
      </c>
      <c r="C420" s="37" t="n">
        <v>4301031252</v>
      </c>
      <c r="D420" s="325" t="n">
        <v>4680115883116</v>
      </c>
      <c r="E420" s="637" t="n"/>
      <c r="F420" s="669" t="n">
        <v>0.88</v>
      </c>
      <c r="G420" s="38" t="n">
        <v>6</v>
      </c>
      <c r="H420" s="669" t="n">
        <v>5.28</v>
      </c>
      <c r="I420" s="669" t="n">
        <v>5.64</v>
      </c>
      <c r="J420" s="38" t="n">
        <v>104</v>
      </c>
      <c r="K420" s="38" t="inlineStr">
        <is>
          <t>8</t>
        </is>
      </c>
      <c r="L420" s="39" t="inlineStr">
        <is>
          <t>СК1</t>
        </is>
      </c>
      <c r="M420" s="38" t="n">
        <v>60</v>
      </c>
      <c r="N420" s="899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O420" s="671" t="n"/>
      <c r="P420" s="671" t="n"/>
      <c r="Q420" s="671" t="n"/>
      <c r="R420" s="637" t="n"/>
      <c r="S420" s="40" t="inlineStr"/>
      <c r="T420" s="40" t="inlineStr"/>
      <c r="U420" s="41" t="inlineStr">
        <is>
          <t>кг</t>
        </is>
      </c>
      <c r="V420" s="672" t="n">
        <v>155</v>
      </c>
      <c r="W420" s="673">
        <f>IFERROR(IF(V420="",0,CEILING((V420/$H420),1)*$H420),"")</f>
        <v/>
      </c>
      <c r="X420" s="42">
        <f>IFERROR(IF(W420=0,"",ROUNDUP(W420/H420,0)*0.01196),"")</f>
        <v/>
      </c>
      <c r="Y420" s="69" t="inlineStr"/>
      <c r="Z420" s="70" t="inlineStr"/>
      <c r="AD420" s="71" t="n"/>
      <c r="BA420" s="295" t="inlineStr">
        <is>
          <t>КИ</t>
        </is>
      </c>
    </row>
    <row r="421" ht="27" customHeight="1">
      <c r="A421" s="64" t="inlineStr">
        <is>
          <t>SU002158</t>
        </is>
      </c>
      <c r="B421" s="64" t="inlineStr">
        <is>
          <t>P003632</t>
        </is>
      </c>
      <c r="C421" s="37" t="n">
        <v>4301031248</v>
      </c>
      <c r="D421" s="325" t="n">
        <v>4680115883093</v>
      </c>
      <c r="E421" s="637" t="n"/>
      <c r="F421" s="669" t="n">
        <v>0.88</v>
      </c>
      <c r="G421" s="38" t="n">
        <v>6</v>
      </c>
      <c r="H421" s="669" t="n">
        <v>5.28</v>
      </c>
      <c r="I421" s="669" t="n">
        <v>5.64</v>
      </c>
      <c r="J421" s="38" t="n">
        <v>104</v>
      </c>
      <c r="K421" s="38" t="inlineStr">
        <is>
          <t>8</t>
        </is>
      </c>
      <c r="L421" s="39" t="inlineStr">
        <is>
          <t>СК2</t>
        </is>
      </c>
      <c r="M421" s="38" t="n">
        <v>60</v>
      </c>
      <c r="N421" s="900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O421" s="671" t="n"/>
      <c r="P421" s="671" t="n"/>
      <c r="Q421" s="671" t="n"/>
      <c r="R421" s="637" t="n"/>
      <c r="S421" s="40" t="inlineStr"/>
      <c r="T421" s="40" t="inlineStr"/>
      <c r="U421" s="41" t="inlineStr">
        <is>
          <t>кг</t>
        </is>
      </c>
      <c r="V421" s="672" t="n">
        <v>0</v>
      </c>
      <c r="W421" s="673">
        <f>IFERROR(IF(V421="",0,CEILING((V421/$H421),1)*$H421),"")</f>
        <v/>
      </c>
      <c r="X421" s="42">
        <f>IFERROR(IF(W421=0,"",ROUNDUP(W421/H421,0)*0.01196),"")</f>
        <v/>
      </c>
      <c r="Y421" s="69" t="inlineStr"/>
      <c r="Z421" s="70" t="inlineStr"/>
      <c r="AD421" s="71" t="n"/>
      <c r="BA421" s="296" t="inlineStr">
        <is>
          <t>КИ</t>
        </is>
      </c>
    </row>
    <row r="422" ht="27" customHeight="1">
      <c r="A422" s="64" t="inlineStr">
        <is>
          <t>SU002151</t>
        </is>
      </c>
      <c r="B422" s="64" t="inlineStr">
        <is>
          <t>P003634</t>
        </is>
      </c>
      <c r="C422" s="37" t="n">
        <v>4301031250</v>
      </c>
      <c r="D422" s="325" t="n">
        <v>4680115883109</v>
      </c>
      <c r="E422" s="637" t="n"/>
      <c r="F422" s="669" t="n">
        <v>0.88</v>
      </c>
      <c r="G422" s="38" t="n">
        <v>6</v>
      </c>
      <c r="H422" s="669" t="n">
        <v>5.28</v>
      </c>
      <c r="I422" s="669" t="n">
        <v>5.64</v>
      </c>
      <c r="J422" s="38" t="n">
        <v>104</v>
      </c>
      <c r="K422" s="38" t="inlineStr">
        <is>
          <t>8</t>
        </is>
      </c>
      <c r="L422" s="39" t="inlineStr">
        <is>
          <t>СК2</t>
        </is>
      </c>
      <c r="M422" s="38" t="n">
        <v>60</v>
      </c>
      <c r="N422" s="901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O422" s="671" t="n"/>
      <c r="P422" s="671" t="n"/>
      <c r="Q422" s="671" t="n"/>
      <c r="R422" s="637" t="n"/>
      <c r="S422" s="40" t="inlineStr"/>
      <c r="T422" s="40" t="inlineStr"/>
      <c r="U422" s="41" t="inlineStr">
        <is>
          <t>кг</t>
        </is>
      </c>
      <c r="V422" s="672" t="n">
        <v>31</v>
      </c>
      <c r="W422" s="673">
        <f>IFERROR(IF(V422="",0,CEILING((V422/$H422),1)*$H422),"")</f>
        <v/>
      </c>
      <c r="X422" s="42">
        <f>IFERROR(IF(W422=0,"",ROUNDUP(W422/H422,0)*0.01196),"")</f>
        <v/>
      </c>
      <c r="Y422" s="69" t="inlineStr"/>
      <c r="Z422" s="70" t="inlineStr"/>
      <c r="AD422" s="71" t="n"/>
      <c r="BA422" s="297" t="inlineStr">
        <is>
          <t>КИ</t>
        </is>
      </c>
    </row>
    <row r="423" ht="27" customHeight="1">
      <c r="A423" s="64" t="inlineStr">
        <is>
          <t>SU002916</t>
        </is>
      </c>
      <c r="B423" s="64" t="inlineStr">
        <is>
          <t>P003633</t>
        </is>
      </c>
      <c r="C423" s="37" t="n">
        <v>4301031249</v>
      </c>
      <c r="D423" s="325" t="n">
        <v>4680115882072</v>
      </c>
      <c r="E423" s="637" t="n"/>
      <c r="F423" s="669" t="n">
        <v>0.6</v>
      </c>
      <c r="G423" s="38" t="n">
        <v>6</v>
      </c>
      <c r="H423" s="669" t="n">
        <v>3.6</v>
      </c>
      <c r="I423" s="669" t="n">
        <v>3.84</v>
      </c>
      <c r="J423" s="38" t="n">
        <v>120</v>
      </c>
      <c r="K423" s="38" t="inlineStr">
        <is>
          <t>12</t>
        </is>
      </c>
      <c r="L423" s="39" t="inlineStr">
        <is>
          <t>СК1</t>
        </is>
      </c>
      <c r="M423" s="38" t="n">
        <v>60</v>
      </c>
      <c r="N423" s="902" t="inlineStr">
        <is>
          <t>В/к колбасы «Рубленая Запеченная» Фикс.вес 0,6 Вектор ТМ «Дугушка»</t>
        </is>
      </c>
      <c r="O423" s="671" t="n"/>
      <c r="P423" s="671" t="n"/>
      <c r="Q423" s="671" t="n"/>
      <c r="R423" s="637" t="n"/>
      <c r="S423" s="40" t="inlineStr"/>
      <c r="T423" s="40" t="inlineStr"/>
      <c r="U423" s="41" t="inlineStr">
        <is>
          <t>кг</t>
        </is>
      </c>
      <c r="V423" s="672" t="n">
        <v>0</v>
      </c>
      <c r="W423" s="673">
        <f>IFERROR(IF(V423="",0,CEILING((V423/$H423),1)*$H423),"")</f>
        <v/>
      </c>
      <c r="X423" s="42">
        <f>IFERROR(IF(W423=0,"",ROUNDUP(W423/H423,0)*0.00937),"")</f>
        <v/>
      </c>
      <c r="Y423" s="69" t="inlineStr"/>
      <c r="Z423" s="70" t="inlineStr"/>
      <c r="AD423" s="71" t="n"/>
      <c r="BA423" s="298" t="inlineStr">
        <is>
          <t>КИ</t>
        </is>
      </c>
    </row>
    <row r="424" ht="27" customHeight="1">
      <c r="A424" s="64" t="inlineStr">
        <is>
          <t>SU002919</t>
        </is>
      </c>
      <c r="B424" s="64" t="inlineStr">
        <is>
          <t>P003635</t>
        </is>
      </c>
      <c r="C424" s="37" t="n">
        <v>4301031251</v>
      </c>
      <c r="D424" s="325" t="n">
        <v>4680115882102</v>
      </c>
      <c r="E424" s="637" t="n"/>
      <c r="F424" s="669" t="n">
        <v>0.6</v>
      </c>
      <c r="G424" s="38" t="n">
        <v>6</v>
      </c>
      <c r="H424" s="669" t="n">
        <v>3.6</v>
      </c>
      <c r="I424" s="669" t="n">
        <v>3.81</v>
      </c>
      <c r="J424" s="38" t="n">
        <v>120</v>
      </c>
      <c r="K424" s="38" t="inlineStr">
        <is>
          <t>12</t>
        </is>
      </c>
      <c r="L424" s="39" t="inlineStr">
        <is>
          <t>СК2</t>
        </is>
      </c>
      <c r="M424" s="38" t="n">
        <v>60</v>
      </c>
      <c r="N424" s="903" t="inlineStr">
        <is>
          <t>В/к колбасы «Салями Запеченая» Фикс.вес 0,6 Вектор ТМ «Дугушка»</t>
        </is>
      </c>
      <c r="O424" s="671" t="n"/>
      <c r="P424" s="671" t="n"/>
      <c r="Q424" s="671" t="n"/>
      <c r="R424" s="637" t="n"/>
      <c r="S424" s="40" t="inlineStr"/>
      <c r="T424" s="40" t="inlineStr"/>
      <c r="U424" s="41" t="inlineStr">
        <is>
          <t>кг</t>
        </is>
      </c>
      <c r="V424" s="672" t="n">
        <v>0</v>
      </c>
      <c r="W424" s="673">
        <f>IFERROR(IF(V424="",0,CEILING((V424/$H424),1)*$H424),"")</f>
        <v/>
      </c>
      <c r="X424" s="42">
        <f>IFERROR(IF(W424=0,"",ROUNDUP(W424/H424,0)*0.00937),"")</f>
        <v/>
      </c>
      <c r="Y424" s="69" t="inlineStr"/>
      <c r="Z424" s="70" t="inlineStr"/>
      <c r="AD424" s="71" t="n"/>
      <c r="BA424" s="299" t="inlineStr">
        <is>
          <t>КИ</t>
        </is>
      </c>
    </row>
    <row r="425" ht="27" customHeight="1">
      <c r="A425" s="64" t="inlineStr">
        <is>
          <t>SU002918</t>
        </is>
      </c>
      <c r="B425" s="64" t="inlineStr">
        <is>
          <t>P003637</t>
        </is>
      </c>
      <c r="C425" s="37" t="n">
        <v>4301031253</v>
      </c>
      <c r="D425" s="325" t="n">
        <v>4680115882096</v>
      </c>
      <c r="E425" s="637" t="n"/>
      <c r="F425" s="669" t="n">
        <v>0.6</v>
      </c>
      <c r="G425" s="38" t="n">
        <v>6</v>
      </c>
      <c r="H425" s="669" t="n">
        <v>3.6</v>
      </c>
      <c r="I425" s="669" t="n">
        <v>3.81</v>
      </c>
      <c r="J425" s="38" t="n">
        <v>120</v>
      </c>
      <c r="K425" s="38" t="inlineStr">
        <is>
          <t>12</t>
        </is>
      </c>
      <c r="L425" s="39" t="inlineStr">
        <is>
          <t>СК2</t>
        </is>
      </c>
      <c r="M425" s="38" t="n">
        <v>60</v>
      </c>
      <c r="N425" s="904" t="inlineStr">
        <is>
          <t>В/к колбасы «Сервелат Запеченный» Фикс.вес 0,6 Вектор ТМ «Дугушка»</t>
        </is>
      </c>
      <c r="O425" s="671" t="n"/>
      <c r="P425" s="671" t="n"/>
      <c r="Q425" s="671" t="n"/>
      <c r="R425" s="637" t="n"/>
      <c r="S425" s="40" t="inlineStr"/>
      <c r="T425" s="40" t="inlineStr"/>
      <c r="U425" s="41" t="inlineStr">
        <is>
          <t>кг</t>
        </is>
      </c>
      <c r="V425" s="672" t="n">
        <v>0</v>
      </c>
      <c r="W425" s="673">
        <f>IFERROR(IF(V425="",0,CEILING((V425/$H425),1)*$H425),"")</f>
        <v/>
      </c>
      <c r="X425" s="42">
        <f>IFERROR(IF(W425=0,"",ROUNDUP(W425/H425,0)*0.00937),"")</f>
        <v/>
      </c>
      <c r="Y425" s="69" t="inlineStr"/>
      <c r="Z425" s="70" t="inlineStr"/>
      <c r="AD425" s="71" t="n"/>
      <c r="BA425" s="300" t="inlineStr">
        <is>
          <t>КИ</t>
        </is>
      </c>
    </row>
    <row r="426">
      <c r="A426" s="320" t="n"/>
      <c r="B426" s="313" t="n"/>
      <c r="C426" s="313" t="n"/>
      <c r="D426" s="313" t="n"/>
      <c r="E426" s="313" t="n"/>
      <c r="F426" s="313" t="n"/>
      <c r="G426" s="313" t="n"/>
      <c r="H426" s="313" t="n"/>
      <c r="I426" s="313" t="n"/>
      <c r="J426" s="313" t="n"/>
      <c r="K426" s="313" t="n"/>
      <c r="L426" s="313" t="n"/>
      <c r="M426" s="674" t="n"/>
      <c r="N426" s="675" t="inlineStr">
        <is>
          <t>Итого</t>
        </is>
      </c>
      <c r="O426" s="645" t="n"/>
      <c r="P426" s="645" t="n"/>
      <c r="Q426" s="645" t="n"/>
      <c r="R426" s="645" t="n"/>
      <c r="S426" s="645" t="n"/>
      <c r="T426" s="646" t="n"/>
      <c r="U426" s="43" t="inlineStr">
        <is>
          <t>кор</t>
        </is>
      </c>
      <c r="V426" s="676">
        <f>IFERROR(V420/H420,"0")+IFERROR(V421/H421,"0")+IFERROR(V422/H422,"0")+IFERROR(V423/H423,"0")+IFERROR(V424/H424,"0")+IFERROR(V425/H425,"0")</f>
        <v/>
      </c>
      <c r="W426" s="676">
        <f>IFERROR(W420/H420,"0")+IFERROR(W421/H421,"0")+IFERROR(W422/H422,"0")+IFERROR(W423/H423,"0")+IFERROR(W424/H424,"0")+IFERROR(W425/H425,"0")</f>
        <v/>
      </c>
      <c r="X426" s="676">
        <f>IFERROR(IF(X420="",0,X420),"0")+IFERROR(IF(X421="",0,X421),"0")+IFERROR(IF(X422="",0,X422),"0")+IFERROR(IF(X423="",0,X423),"0")+IFERROR(IF(X424="",0,X424),"0")+IFERROR(IF(X425="",0,X425),"0")</f>
        <v/>
      </c>
      <c r="Y426" s="677" t="n"/>
      <c r="Z426" s="677" t="n"/>
    </row>
    <row r="427">
      <c r="A427" s="313" t="n"/>
      <c r="B427" s="313" t="n"/>
      <c r="C427" s="313" t="n"/>
      <c r="D427" s="313" t="n"/>
      <c r="E427" s="313" t="n"/>
      <c r="F427" s="313" t="n"/>
      <c r="G427" s="313" t="n"/>
      <c r="H427" s="313" t="n"/>
      <c r="I427" s="313" t="n"/>
      <c r="J427" s="313" t="n"/>
      <c r="K427" s="313" t="n"/>
      <c r="L427" s="313" t="n"/>
      <c r="M427" s="674" t="n"/>
      <c r="N427" s="675" t="inlineStr">
        <is>
          <t>Итого</t>
        </is>
      </c>
      <c r="O427" s="645" t="n"/>
      <c r="P427" s="645" t="n"/>
      <c r="Q427" s="645" t="n"/>
      <c r="R427" s="645" t="n"/>
      <c r="S427" s="645" t="n"/>
      <c r="T427" s="646" t="n"/>
      <c r="U427" s="43" t="inlineStr">
        <is>
          <t>кг</t>
        </is>
      </c>
      <c r="V427" s="676">
        <f>IFERROR(SUM(V420:V425),"0")</f>
        <v/>
      </c>
      <c r="W427" s="676">
        <f>IFERROR(SUM(W420:W425),"0")</f>
        <v/>
      </c>
      <c r="X427" s="43" t="n"/>
      <c r="Y427" s="677" t="n"/>
      <c r="Z427" s="677" t="n"/>
    </row>
    <row r="428" ht="14.25" customHeight="1">
      <c r="A428" s="330" t="inlineStr">
        <is>
          <t>Сосиски</t>
        </is>
      </c>
      <c r="B428" s="313" t="n"/>
      <c r="C428" s="313" t="n"/>
      <c r="D428" s="313" t="n"/>
      <c r="E428" s="313" t="n"/>
      <c r="F428" s="313" t="n"/>
      <c r="G428" s="313" t="n"/>
      <c r="H428" s="313" t="n"/>
      <c r="I428" s="313" t="n"/>
      <c r="J428" s="313" t="n"/>
      <c r="K428" s="313" t="n"/>
      <c r="L428" s="313" t="n"/>
      <c r="M428" s="313" t="n"/>
      <c r="N428" s="313" t="n"/>
      <c r="O428" s="313" t="n"/>
      <c r="P428" s="313" t="n"/>
      <c r="Q428" s="313" t="n"/>
      <c r="R428" s="313" t="n"/>
      <c r="S428" s="313" t="n"/>
      <c r="T428" s="313" t="n"/>
      <c r="U428" s="313" t="n"/>
      <c r="V428" s="313" t="n"/>
      <c r="W428" s="313" t="n"/>
      <c r="X428" s="313" t="n"/>
      <c r="Y428" s="330" t="n"/>
      <c r="Z428" s="330" t="n"/>
    </row>
    <row r="429" ht="16.5" customHeight="1">
      <c r="A429" s="64" t="inlineStr">
        <is>
          <t>SU002218</t>
        </is>
      </c>
      <c r="B429" s="64" t="inlineStr">
        <is>
          <t>P002854</t>
        </is>
      </c>
      <c r="C429" s="37" t="n">
        <v>4301051230</v>
      </c>
      <c r="D429" s="325" t="n">
        <v>4607091383409</v>
      </c>
      <c r="E429" s="637" t="n"/>
      <c r="F429" s="669" t="n">
        <v>1.3</v>
      </c>
      <c r="G429" s="38" t="n">
        <v>6</v>
      </c>
      <c r="H429" s="669" t="n">
        <v>7.8</v>
      </c>
      <c r="I429" s="669" t="n">
        <v>8.346</v>
      </c>
      <c r="J429" s="38" t="n">
        <v>56</v>
      </c>
      <c r="K429" s="38" t="inlineStr">
        <is>
          <t>8</t>
        </is>
      </c>
      <c r="L429" s="39" t="inlineStr">
        <is>
          <t>СК2</t>
        </is>
      </c>
      <c r="M429" s="38" t="n">
        <v>45</v>
      </c>
      <c r="N429" s="905">
        <f>HYPERLINK("https://abi.ru/products/Охлажденные/Дугушка/Дугушка/Сосиски/P002854/","Сосиски Молочные Дугушки Дугушка Весовые П/а мгс Дугушка")</f>
        <v/>
      </c>
      <c r="O429" s="671" t="n"/>
      <c r="P429" s="671" t="n"/>
      <c r="Q429" s="671" t="n"/>
      <c r="R429" s="637" t="n"/>
      <c r="S429" s="40" t="inlineStr"/>
      <c r="T429" s="40" t="inlineStr"/>
      <c r="U429" s="41" t="inlineStr">
        <is>
          <t>кг</t>
        </is>
      </c>
      <c r="V429" s="672" t="n">
        <v>0</v>
      </c>
      <c r="W429" s="673">
        <f>IFERROR(IF(V429="",0,CEILING((V429/$H429),1)*$H429),"")</f>
        <v/>
      </c>
      <c r="X429" s="42">
        <f>IFERROR(IF(W429=0,"",ROUNDUP(W429/H429,0)*0.02175),"")</f>
        <v/>
      </c>
      <c r="Y429" s="69" t="inlineStr"/>
      <c r="Z429" s="70" t="inlineStr"/>
      <c r="AD429" s="71" t="n"/>
      <c r="BA429" s="301" t="inlineStr">
        <is>
          <t>КИ</t>
        </is>
      </c>
    </row>
    <row r="430" ht="16.5" customHeight="1">
      <c r="A430" s="64" t="inlineStr">
        <is>
          <t>SU002219</t>
        </is>
      </c>
      <c r="B430" s="64" t="inlineStr">
        <is>
          <t>P002855</t>
        </is>
      </c>
      <c r="C430" s="37" t="n">
        <v>4301051231</v>
      </c>
      <c r="D430" s="325" t="n">
        <v>4607091383416</v>
      </c>
      <c r="E430" s="637" t="n"/>
      <c r="F430" s="669" t="n">
        <v>1.3</v>
      </c>
      <c r="G430" s="38" t="n">
        <v>6</v>
      </c>
      <c r="H430" s="669" t="n">
        <v>7.8</v>
      </c>
      <c r="I430" s="669" t="n">
        <v>8.346</v>
      </c>
      <c r="J430" s="38" t="n">
        <v>56</v>
      </c>
      <c r="K430" s="38" t="inlineStr">
        <is>
          <t>8</t>
        </is>
      </c>
      <c r="L430" s="39" t="inlineStr">
        <is>
          <t>СК2</t>
        </is>
      </c>
      <c r="M430" s="38" t="n">
        <v>45</v>
      </c>
      <c r="N430" s="906">
        <f>HYPERLINK("https://abi.ru/products/Охлажденные/Дугушка/Дугушка/Сосиски/P002855/","Сосиски Сливочные Дугушки Дугушка Весовые П/а мгс Дугушка")</f>
        <v/>
      </c>
      <c r="O430" s="671" t="n"/>
      <c r="P430" s="671" t="n"/>
      <c r="Q430" s="671" t="n"/>
      <c r="R430" s="637" t="n"/>
      <c r="S430" s="40" t="inlineStr"/>
      <c r="T430" s="40" t="inlineStr"/>
      <c r="U430" s="41" t="inlineStr">
        <is>
          <t>кг</t>
        </is>
      </c>
      <c r="V430" s="672" t="n">
        <v>0</v>
      </c>
      <c r="W430" s="673">
        <f>IFERROR(IF(V430="",0,CEILING((V430/$H430),1)*$H430),"")</f>
        <v/>
      </c>
      <c r="X430" s="42">
        <f>IFERROR(IF(W430=0,"",ROUNDUP(W430/H430,0)*0.02175),"")</f>
        <v/>
      </c>
      <c r="Y430" s="69" t="inlineStr"/>
      <c r="Z430" s="70" t="inlineStr"/>
      <c r="AD430" s="71" t="n"/>
      <c r="BA430" s="302" t="inlineStr">
        <is>
          <t>КИ</t>
        </is>
      </c>
    </row>
    <row r="431">
      <c r="A431" s="320" t="n"/>
      <c r="B431" s="313" t="n"/>
      <c r="C431" s="313" t="n"/>
      <c r="D431" s="313" t="n"/>
      <c r="E431" s="313" t="n"/>
      <c r="F431" s="313" t="n"/>
      <c r="G431" s="313" t="n"/>
      <c r="H431" s="313" t="n"/>
      <c r="I431" s="313" t="n"/>
      <c r="J431" s="313" t="n"/>
      <c r="K431" s="313" t="n"/>
      <c r="L431" s="313" t="n"/>
      <c r="M431" s="674" t="n"/>
      <c r="N431" s="675" t="inlineStr">
        <is>
          <t>Итого</t>
        </is>
      </c>
      <c r="O431" s="645" t="n"/>
      <c r="P431" s="645" t="n"/>
      <c r="Q431" s="645" t="n"/>
      <c r="R431" s="645" t="n"/>
      <c r="S431" s="645" t="n"/>
      <c r="T431" s="646" t="n"/>
      <c r="U431" s="43" t="inlineStr">
        <is>
          <t>кор</t>
        </is>
      </c>
      <c r="V431" s="676">
        <f>IFERROR(V429/H429,"0")+IFERROR(V430/H430,"0")</f>
        <v/>
      </c>
      <c r="W431" s="676">
        <f>IFERROR(W429/H429,"0")+IFERROR(W430/H430,"0")</f>
        <v/>
      </c>
      <c r="X431" s="676">
        <f>IFERROR(IF(X429="",0,X429),"0")+IFERROR(IF(X430="",0,X430),"0")</f>
        <v/>
      </c>
      <c r="Y431" s="677" t="n"/>
      <c r="Z431" s="677" t="n"/>
    </row>
    <row r="432">
      <c r="A432" s="313" t="n"/>
      <c r="B432" s="313" t="n"/>
      <c r="C432" s="313" t="n"/>
      <c r="D432" s="313" t="n"/>
      <c r="E432" s="313" t="n"/>
      <c r="F432" s="313" t="n"/>
      <c r="G432" s="313" t="n"/>
      <c r="H432" s="313" t="n"/>
      <c r="I432" s="313" t="n"/>
      <c r="J432" s="313" t="n"/>
      <c r="K432" s="313" t="n"/>
      <c r="L432" s="313" t="n"/>
      <c r="M432" s="674" t="n"/>
      <c r="N432" s="675" t="inlineStr">
        <is>
          <t>Итого</t>
        </is>
      </c>
      <c r="O432" s="645" t="n"/>
      <c r="P432" s="645" t="n"/>
      <c r="Q432" s="645" t="n"/>
      <c r="R432" s="645" t="n"/>
      <c r="S432" s="645" t="n"/>
      <c r="T432" s="646" t="n"/>
      <c r="U432" s="43" t="inlineStr">
        <is>
          <t>кг</t>
        </is>
      </c>
      <c r="V432" s="676">
        <f>IFERROR(SUM(V429:V430),"0")</f>
        <v/>
      </c>
      <c r="W432" s="676">
        <f>IFERROR(SUM(W429:W430),"0")</f>
        <v/>
      </c>
      <c r="X432" s="43" t="n"/>
      <c r="Y432" s="677" t="n"/>
      <c r="Z432" s="677" t="n"/>
    </row>
    <row r="433" ht="27.75" customHeight="1">
      <c r="A433" s="341" t="inlineStr">
        <is>
          <t>Зареченские</t>
        </is>
      </c>
      <c r="B433" s="668" t="n"/>
      <c r="C433" s="668" t="n"/>
      <c r="D433" s="668" t="n"/>
      <c r="E433" s="668" t="n"/>
      <c r="F433" s="668" t="n"/>
      <c r="G433" s="668" t="n"/>
      <c r="H433" s="668" t="n"/>
      <c r="I433" s="668" t="n"/>
      <c r="J433" s="668" t="n"/>
      <c r="K433" s="668" t="n"/>
      <c r="L433" s="668" t="n"/>
      <c r="M433" s="668" t="n"/>
      <c r="N433" s="668" t="n"/>
      <c r="O433" s="668" t="n"/>
      <c r="P433" s="668" t="n"/>
      <c r="Q433" s="668" t="n"/>
      <c r="R433" s="668" t="n"/>
      <c r="S433" s="668" t="n"/>
      <c r="T433" s="668" t="n"/>
      <c r="U433" s="668" t="n"/>
      <c r="V433" s="668" t="n"/>
      <c r="W433" s="668" t="n"/>
      <c r="X433" s="668" t="n"/>
      <c r="Y433" s="55" t="n"/>
      <c r="Z433" s="55" t="n"/>
    </row>
    <row r="434" ht="16.5" customHeight="1">
      <c r="A434" s="329" t="inlineStr">
        <is>
          <t>Зареченские продукты</t>
        </is>
      </c>
      <c r="B434" s="313" t="n"/>
      <c r="C434" s="313" t="n"/>
      <c r="D434" s="313" t="n"/>
      <c r="E434" s="313" t="n"/>
      <c r="F434" s="313" t="n"/>
      <c r="G434" s="313" t="n"/>
      <c r="H434" s="313" t="n"/>
      <c r="I434" s="313" t="n"/>
      <c r="J434" s="313" t="n"/>
      <c r="K434" s="313" t="n"/>
      <c r="L434" s="313" t="n"/>
      <c r="M434" s="313" t="n"/>
      <c r="N434" s="313" t="n"/>
      <c r="O434" s="313" t="n"/>
      <c r="P434" s="313" t="n"/>
      <c r="Q434" s="313" t="n"/>
      <c r="R434" s="313" t="n"/>
      <c r="S434" s="313" t="n"/>
      <c r="T434" s="313" t="n"/>
      <c r="U434" s="313" t="n"/>
      <c r="V434" s="313" t="n"/>
      <c r="W434" s="313" t="n"/>
      <c r="X434" s="313" t="n"/>
      <c r="Y434" s="329" t="n"/>
      <c r="Z434" s="329" t="n"/>
    </row>
    <row r="435" ht="14.25" customHeight="1">
      <c r="A435" s="330" t="inlineStr">
        <is>
          <t>Вареные колбасы</t>
        </is>
      </c>
      <c r="B435" s="313" t="n"/>
      <c r="C435" s="313" t="n"/>
      <c r="D435" s="313" t="n"/>
      <c r="E435" s="313" t="n"/>
      <c r="F435" s="313" t="n"/>
      <c r="G435" s="313" t="n"/>
      <c r="H435" s="313" t="n"/>
      <c r="I435" s="313" t="n"/>
      <c r="J435" s="313" t="n"/>
      <c r="K435" s="313" t="n"/>
      <c r="L435" s="313" t="n"/>
      <c r="M435" s="313" t="n"/>
      <c r="N435" s="313" t="n"/>
      <c r="O435" s="313" t="n"/>
      <c r="P435" s="313" t="n"/>
      <c r="Q435" s="313" t="n"/>
      <c r="R435" s="313" t="n"/>
      <c r="S435" s="313" t="n"/>
      <c r="T435" s="313" t="n"/>
      <c r="U435" s="313" t="n"/>
      <c r="V435" s="313" t="n"/>
      <c r="W435" s="313" t="n"/>
      <c r="X435" s="313" t="n"/>
      <c r="Y435" s="330" t="n"/>
      <c r="Z435" s="330" t="n"/>
    </row>
    <row r="436" ht="27" customHeight="1">
      <c r="A436" s="64" t="inlineStr">
        <is>
          <t>SU002807</t>
        </is>
      </c>
      <c r="B436" s="64" t="inlineStr">
        <is>
          <t>P003583</t>
        </is>
      </c>
      <c r="C436" s="37" t="n">
        <v>4301011585</v>
      </c>
      <c r="D436" s="325" t="n">
        <v>4640242180441</v>
      </c>
      <c r="E436" s="637" t="n"/>
      <c r="F436" s="669" t="n">
        <v>1.5</v>
      </c>
      <c r="G436" s="38" t="n">
        <v>8</v>
      </c>
      <c r="H436" s="669" t="n">
        <v>12</v>
      </c>
      <c r="I436" s="669" t="n">
        <v>12.48</v>
      </c>
      <c r="J436" s="38" t="n">
        <v>56</v>
      </c>
      <c r="K436" s="38" t="inlineStr">
        <is>
          <t>8</t>
        </is>
      </c>
      <c r="L436" s="39" t="inlineStr">
        <is>
          <t>СК1</t>
        </is>
      </c>
      <c r="M436" s="38" t="n">
        <v>50</v>
      </c>
      <c r="N436" s="907" t="inlineStr">
        <is>
          <t>Вареные колбасы «Муромская» Весовой п/а ТМ «Зареченские»</t>
        </is>
      </c>
      <c r="O436" s="671" t="n"/>
      <c r="P436" s="671" t="n"/>
      <c r="Q436" s="671" t="n"/>
      <c r="R436" s="637" t="n"/>
      <c r="S436" s="40" t="inlineStr"/>
      <c r="T436" s="40" t="inlineStr"/>
      <c r="U436" s="41" t="inlineStr">
        <is>
          <t>кг</t>
        </is>
      </c>
      <c r="V436" s="672" t="n">
        <v>8</v>
      </c>
      <c r="W436" s="673">
        <f>IFERROR(IF(V436="",0,CEILING((V436/$H436),1)*$H436),"")</f>
        <v/>
      </c>
      <c r="X436" s="42">
        <f>IFERROR(IF(W436=0,"",ROUNDUP(W436/H436,0)*0.02175),"")</f>
        <v/>
      </c>
      <c r="Y436" s="69" t="inlineStr"/>
      <c r="Z436" s="70" t="inlineStr"/>
      <c r="AD436" s="71" t="n"/>
      <c r="BA436" s="303" t="inlineStr">
        <is>
          <t>КИ</t>
        </is>
      </c>
    </row>
    <row r="437" ht="27" customHeight="1">
      <c r="A437" s="64" t="inlineStr">
        <is>
          <t>SU002808</t>
        </is>
      </c>
      <c r="B437" s="64" t="inlineStr">
        <is>
          <t>P003582</t>
        </is>
      </c>
      <c r="C437" s="37" t="n">
        <v>4301011584</v>
      </c>
      <c r="D437" s="325" t="n">
        <v>4640242180564</v>
      </c>
      <c r="E437" s="637" t="n"/>
      <c r="F437" s="669" t="n">
        <v>1.5</v>
      </c>
      <c r="G437" s="38" t="n">
        <v>8</v>
      </c>
      <c r="H437" s="669" t="n">
        <v>12</v>
      </c>
      <c r="I437" s="669" t="n">
        <v>12.48</v>
      </c>
      <c r="J437" s="38" t="n">
        <v>56</v>
      </c>
      <c r="K437" s="38" t="inlineStr">
        <is>
          <t>8</t>
        </is>
      </c>
      <c r="L437" s="39" t="inlineStr">
        <is>
          <t>СК1</t>
        </is>
      </c>
      <c r="M437" s="38" t="n">
        <v>50</v>
      </c>
      <c r="N437" s="908" t="inlineStr">
        <is>
          <t>Вареные колбасы «Нежная» НТУ Весовые П/а ТМ «Зареченские»</t>
        </is>
      </c>
      <c r="O437" s="671" t="n"/>
      <c r="P437" s="671" t="n"/>
      <c r="Q437" s="671" t="n"/>
      <c r="R437" s="637" t="n"/>
      <c r="S437" s="40" t="inlineStr"/>
      <c r="T437" s="40" t="inlineStr"/>
      <c r="U437" s="41" t="inlineStr">
        <is>
          <t>кг</t>
        </is>
      </c>
      <c r="V437" s="672" t="n">
        <v>0</v>
      </c>
      <c r="W437" s="673">
        <f>IFERROR(IF(V437="",0,CEILING((V437/$H437),1)*$H437),"")</f>
        <v/>
      </c>
      <c r="X437" s="42">
        <f>IFERROR(IF(W437=0,"",ROUNDUP(W437/H437,0)*0.02175),"")</f>
        <v/>
      </c>
      <c r="Y437" s="69" t="inlineStr"/>
      <c r="Z437" s="70" t="inlineStr"/>
      <c r="AD437" s="71" t="n"/>
      <c r="BA437" s="304" t="inlineStr">
        <is>
          <t>КИ</t>
        </is>
      </c>
    </row>
    <row r="438">
      <c r="A438" s="320" t="n"/>
      <c r="B438" s="313" t="n"/>
      <c r="C438" s="313" t="n"/>
      <c r="D438" s="313" t="n"/>
      <c r="E438" s="313" t="n"/>
      <c r="F438" s="313" t="n"/>
      <c r="G438" s="313" t="n"/>
      <c r="H438" s="313" t="n"/>
      <c r="I438" s="313" t="n"/>
      <c r="J438" s="313" t="n"/>
      <c r="K438" s="313" t="n"/>
      <c r="L438" s="313" t="n"/>
      <c r="M438" s="674" t="n"/>
      <c r="N438" s="675" t="inlineStr">
        <is>
          <t>Итого</t>
        </is>
      </c>
      <c r="O438" s="645" t="n"/>
      <c r="P438" s="645" t="n"/>
      <c r="Q438" s="645" t="n"/>
      <c r="R438" s="645" t="n"/>
      <c r="S438" s="645" t="n"/>
      <c r="T438" s="646" t="n"/>
      <c r="U438" s="43" t="inlineStr">
        <is>
          <t>кор</t>
        </is>
      </c>
      <c r="V438" s="676">
        <f>IFERROR(V436/H436,"0")+IFERROR(V437/H437,"0")</f>
        <v/>
      </c>
      <c r="W438" s="676">
        <f>IFERROR(W436/H436,"0")+IFERROR(W437/H437,"0")</f>
        <v/>
      </c>
      <c r="X438" s="676">
        <f>IFERROR(IF(X436="",0,X436),"0")+IFERROR(IF(X437="",0,X437),"0")</f>
        <v/>
      </c>
      <c r="Y438" s="677" t="n"/>
      <c r="Z438" s="677" t="n"/>
    </row>
    <row r="439">
      <c r="A439" s="313" t="n"/>
      <c r="B439" s="313" t="n"/>
      <c r="C439" s="313" t="n"/>
      <c r="D439" s="313" t="n"/>
      <c r="E439" s="313" t="n"/>
      <c r="F439" s="313" t="n"/>
      <c r="G439" s="313" t="n"/>
      <c r="H439" s="313" t="n"/>
      <c r="I439" s="313" t="n"/>
      <c r="J439" s="313" t="n"/>
      <c r="K439" s="313" t="n"/>
      <c r="L439" s="313" t="n"/>
      <c r="M439" s="674" t="n"/>
      <c r="N439" s="675" t="inlineStr">
        <is>
          <t>Итого</t>
        </is>
      </c>
      <c r="O439" s="645" t="n"/>
      <c r="P439" s="645" t="n"/>
      <c r="Q439" s="645" t="n"/>
      <c r="R439" s="645" t="n"/>
      <c r="S439" s="645" t="n"/>
      <c r="T439" s="646" t="n"/>
      <c r="U439" s="43" t="inlineStr">
        <is>
          <t>кг</t>
        </is>
      </c>
      <c r="V439" s="676">
        <f>IFERROR(SUM(V436:V437),"0")</f>
        <v/>
      </c>
      <c r="W439" s="676">
        <f>IFERROR(SUM(W436:W437),"0")</f>
        <v/>
      </c>
      <c r="X439" s="43" t="n"/>
      <c r="Y439" s="677" t="n"/>
      <c r="Z439" s="677" t="n"/>
    </row>
    <row r="440" ht="14.25" customHeight="1">
      <c r="A440" s="330" t="inlineStr">
        <is>
          <t>Ветчины</t>
        </is>
      </c>
      <c r="B440" s="313" t="n"/>
      <c r="C440" s="313" t="n"/>
      <c r="D440" s="313" t="n"/>
      <c r="E440" s="313" t="n"/>
      <c r="F440" s="313" t="n"/>
      <c r="G440" s="313" t="n"/>
      <c r="H440" s="313" t="n"/>
      <c r="I440" s="313" t="n"/>
      <c r="J440" s="313" t="n"/>
      <c r="K440" s="313" t="n"/>
      <c r="L440" s="313" t="n"/>
      <c r="M440" s="313" t="n"/>
      <c r="N440" s="313" t="n"/>
      <c r="O440" s="313" t="n"/>
      <c r="P440" s="313" t="n"/>
      <c r="Q440" s="313" t="n"/>
      <c r="R440" s="313" t="n"/>
      <c r="S440" s="313" t="n"/>
      <c r="T440" s="313" t="n"/>
      <c r="U440" s="313" t="n"/>
      <c r="V440" s="313" t="n"/>
      <c r="W440" s="313" t="n"/>
      <c r="X440" s="313" t="n"/>
      <c r="Y440" s="330" t="n"/>
      <c r="Z440" s="330" t="n"/>
    </row>
    <row r="441" ht="27" customHeight="1">
      <c r="A441" s="64" t="inlineStr">
        <is>
          <t>SU002811</t>
        </is>
      </c>
      <c r="B441" s="64" t="inlineStr">
        <is>
          <t>P003588</t>
        </is>
      </c>
      <c r="C441" s="37" t="n">
        <v>4301020260</v>
      </c>
      <c r="D441" s="325" t="n">
        <v>4640242180526</v>
      </c>
      <c r="E441" s="637" t="n"/>
      <c r="F441" s="669" t="n">
        <v>1.8</v>
      </c>
      <c r="G441" s="38" t="n">
        <v>6</v>
      </c>
      <c r="H441" s="669" t="n">
        <v>10.8</v>
      </c>
      <c r="I441" s="669" t="n">
        <v>11.28</v>
      </c>
      <c r="J441" s="38" t="n">
        <v>56</v>
      </c>
      <c r="K441" s="38" t="inlineStr">
        <is>
          <t>8</t>
        </is>
      </c>
      <c r="L441" s="39" t="inlineStr">
        <is>
          <t>СК1</t>
        </is>
      </c>
      <c r="M441" s="38" t="n">
        <v>50</v>
      </c>
      <c r="N441" s="909" t="inlineStr">
        <is>
          <t>Ветчины «Нежная» Весовой п/а ТМ «Зареченские» большой батон</t>
        </is>
      </c>
      <c r="O441" s="671" t="n"/>
      <c r="P441" s="671" t="n"/>
      <c r="Q441" s="671" t="n"/>
      <c r="R441" s="637" t="n"/>
      <c r="S441" s="40" t="inlineStr"/>
      <c r="T441" s="40" t="inlineStr"/>
      <c r="U441" s="41" t="inlineStr">
        <is>
          <t>кг</t>
        </is>
      </c>
      <c r="V441" s="672" t="n">
        <v>0</v>
      </c>
      <c r="W441" s="673">
        <f>IFERROR(IF(V441="",0,CEILING((V441/$H441),1)*$H441),"")</f>
        <v/>
      </c>
      <c r="X441" s="42">
        <f>IFERROR(IF(W441=0,"",ROUNDUP(W441/H441,0)*0.02175),"")</f>
        <v/>
      </c>
      <c r="Y441" s="69" t="inlineStr"/>
      <c r="Z441" s="70" t="inlineStr"/>
      <c r="AD441" s="71" t="n"/>
      <c r="BA441" s="305" t="inlineStr">
        <is>
          <t>КИ</t>
        </is>
      </c>
    </row>
    <row r="442" ht="16.5" customHeight="1">
      <c r="A442" s="64" t="inlineStr">
        <is>
          <t>SU002806</t>
        </is>
      </c>
      <c r="B442" s="64" t="inlineStr">
        <is>
          <t>P003591</t>
        </is>
      </c>
      <c r="C442" s="37" t="n">
        <v>4301020269</v>
      </c>
      <c r="D442" s="325" t="n">
        <v>4640242180519</v>
      </c>
      <c r="E442" s="637" t="n"/>
      <c r="F442" s="669" t="n">
        <v>1.35</v>
      </c>
      <c r="G442" s="38" t="n">
        <v>8</v>
      </c>
      <c r="H442" s="669" t="n">
        <v>10.8</v>
      </c>
      <c r="I442" s="669" t="n">
        <v>11.28</v>
      </c>
      <c r="J442" s="38" t="n">
        <v>56</v>
      </c>
      <c r="K442" s="38" t="inlineStr">
        <is>
          <t>8</t>
        </is>
      </c>
      <c r="L442" s="39" t="inlineStr">
        <is>
          <t>СК3</t>
        </is>
      </c>
      <c r="M442" s="38" t="n">
        <v>50</v>
      </c>
      <c r="N442" s="910" t="inlineStr">
        <is>
          <t>Ветчины «Нежная» Весовой п/а ТМ «Зареченские»</t>
        </is>
      </c>
      <c r="O442" s="671" t="n"/>
      <c r="P442" s="671" t="n"/>
      <c r="Q442" s="671" t="n"/>
      <c r="R442" s="637" t="n"/>
      <c r="S442" s="40" t="inlineStr"/>
      <c r="T442" s="40" t="inlineStr"/>
      <c r="U442" s="41" t="inlineStr">
        <is>
          <t>кг</t>
        </is>
      </c>
      <c r="V442" s="672" t="n">
        <v>0</v>
      </c>
      <c r="W442" s="673">
        <f>IFERROR(IF(V442="",0,CEILING((V442/$H442),1)*$H442),"")</f>
        <v/>
      </c>
      <c r="X442" s="42">
        <f>IFERROR(IF(W442=0,"",ROUNDUP(W442/H442,0)*0.02175),"")</f>
        <v/>
      </c>
      <c r="Y442" s="69" t="inlineStr"/>
      <c r="Z442" s="70" t="inlineStr"/>
      <c r="AD442" s="71" t="n"/>
      <c r="BA442" s="306" t="inlineStr">
        <is>
          <t>КИ</t>
        </is>
      </c>
    </row>
    <row r="443">
      <c r="A443" s="320" t="n"/>
      <c r="B443" s="313" t="n"/>
      <c r="C443" s="313" t="n"/>
      <c r="D443" s="313" t="n"/>
      <c r="E443" s="313" t="n"/>
      <c r="F443" s="313" t="n"/>
      <c r="G443" s="313" t="n"/>
      <c r="H443" s="313" t="n"/>
      <c r="I443" s="313" t="n"/>
      <c r="J443" s="313" t="n"/>
      <c r="K443" s="313" t="n"/>
      <c r="L443" s="313" t="n"/>
      <c r="M443" s="674" t="n"/>
      <c r="N443" s="675" t="inlineStr">
        <is>
          <t>Итого</t>
        </is>
      </c>
      <c r="O443" s="645" t="n"/>
      <c r="P443" s="645" t="n"/>
      <c r="Q443" s="645" t="n"/>
      <c r="R443" s="645" t="n"/>
      <c r="S443" s="645" t="n"/>
      <c r="T443" s="646" t="n"/>
      <c r="U443" s="43" t="inlineStr">
        <is>
          <t>кор</t>
        </is>
      </c>
      <c r="V443" s="676">
        <f>IFERROR(V441/H441,"0")+IFERROR(V442/H442,"0")</f>
        <v/>
      </c>
      <c r="W443" s="676">
        <f>IFERROR(W441/H441,"0")+IFERROR(W442/H442,"0")</f>
        <v/>
      </c>
      <c r="X443" s="676">
        <f>IFERROR(IF(X441="",0,X441),"0")+IFERROR(IF(X442="",0,X442),"0")</f>
        <v/>
      </c>
      <c r="Y443" s="677" t="n"/>
      <c r="Z443" s="677" t="n"/>
    </row>
    <row r="444">
      <c r="A444" s="313" t="n"/>
      <c r="B444" s="313" t="n"/>
      <c r="C444" s="313" t="n"/>
      <c r="D444" s="313" t="n"/>
      <c r="E444" s="313" t="n"/>
      <c r="F444" s="313" t="n"/>
      <c r="G444" s="313" t="n"/>
      <c r="H444" s="313" t="n"/>
      <c r="I444" s="313" t="n"/>
      <c r="J444" s="313" t="n"/>
      <c r="K444" s="313" t="n"/>
      <c r="L444" s="313" t="n"/>
      <c r="M444" s="674" t="n"/>
      <c r="N444" s="675" t="inlineStr">
        <is>
          <t>Итого</t>
        </is>
      </c>
      <c r="O444" s="645" t="n"/>
      <c r="P444" s="645" t="n"/>
      <c r="Q444" s="645" t="n"/>
      <c r="R444" s="645" t="n"/>
      <c r="S444" s="645" t="n"/>
      <c r="T444" s="646" t="n"/>
      <c r="U444" s="43" t="inlineStr">
        <is>
          <t>кг</t>
        </is>
      </c>
      <c r="V444" s="676">
        <f>IFERROR(SUM(V441:V442),"0")</f>
        <v/>
      </c>
      <c r="W444" s="676">
        <f>IFERROR(SUM(W441:W442),"0")</f>
        <v/>
      </c>
      <c r="X444" s="43" t="n"/>
      <c r="Y444" s="677" t="n"/>
      <c r="Z444" s="677" t="n"/>
    </row>
    <row r="445" ht="14.25" customHeight="1">
      <c r="A445" s="330" t="inlineStr">
        <is>
          <t>Копченые колбасы</t>
        </is>
      </c>
      <c r="B445" s="313" t="n"/>
      <c r="C445" s="313" t="n"/>
      <c r="D445" s="313" t="n"/>
      <c r="E445" s="313" t="n"/>
      <c r="F445" s="313" t="n"/>
      <c r="G445" s="313" t="n"/>
      <c r="H445" s="313" t="n"/>
      <c r="I445" s="313" t="n"/>
      <c r="J445" s="313" t="n"/>
      <c r="K445" s="313" t="n"/>
      <c r="L445" s="313" t="n"/>
      <c r="M445" s="313" t="n"/>
      <c r="N445" s="313" t="n"/>
      <c r="O445" s="313" t="n"/>
      <c r="P445" s="313" t="n"/>
      <c r="Q445" s="313" t="n"/>
      <c r="R445" s="313" t="n"/>
      <c r="S445" s="313" t="n"/>
      <c r="T445" s="313" t="n"/>
      <c r="U445" s="313" t="n"/>
      <c r="V445" s="313" t="n"/>
      <c r="W445" s="313" t="n"/>
      <c r="X445" s="313" t="n"/>
      <c r="Y445" s="330" t="n"/>
      <c r="Z445" s="330" t="n"/>
    </row>
    <row r="446" ht="27" customHeight="1">
      <c r="A446" s="64" t="inlineStr">
        <is>
          <t>SU002805</t>
        </is>
      </c>
      <c r="B446" s="64" t="inlineStr">
        <is>
          <t>P003584</t>
        </is>
      </c>
      <c r="C446" s="37" t="n">
        <v>4301031280</v>
      </c>
      <c r="D446" s="325" t="n">
        <v>4640242180816</v>
      </c>
      <c r="E446" s="637" t="n"/>
      <c r="F446" s="669" t="n">
        <v>0.7</v>
      </c>
      <c r="G446" s="38" t="n">
        <v>6</v>
      </c>
      <c r="H446" s="669" t="n">
        <v>4.2</v>
      </c>
      <c r="I446" s="669" t="n">
        <v>4.46</v>
      </c>
      <c r="J446" s="38" t="n">
        <v>156</v>
      </c>
      <c r="K446" s="38" t="inlineStr">
        <is>
          <t>12</t>
        </is>
      </c>
      <c r="L446" s="39" t="inlineStr">
        <is>
          <t>СК2</t>
        </is>
      </c>
      <c r="M446" s="38" t="n">
        <v>40</v>
      </c>
      <c r="N446" s="911" t="inlineStr">
        <is>
          <t>Копченые колбасы «Сервелат Пражский» Весовой фиброуз ТМ «Зареченские»</t>
        </is>
      </c>
      <c r="O446" s="671" t="n"/>
      <c r="P446" s="671" t="n"/>
      <c r="Q446" s="671" t="n"/>
      <c r="R446" s="637" t="n"/>
      <c r="S446" s="40" t="inlineStr"/>
      <c r="T446" s="40" t="inlineStr"/>
      <c r="U446" s="41" t="inlineStr">
        <is>
          <t>кг</t>
        </is>
      </c>
      <c r="V446" s="672" t="n">
        <v>0</v>
      </c>
      <c r="W446" s="673">
        <f>IFERROR(IF(V446="",0,CEILING((V446/$H446),1)*$H446),"")</f>
        <v/>
      </c>
      <c r="X446" s="42">
        <f>IFERROR(IF(W446=0,"",ROUNDUP(W446/H446,0)*0.00753),"")</f>
        <v/>
      </c>
      <c r="Y446" s="69" t="inlineStr"/>
      <c r="Z446" s="70" t="inlineStr"/>
      <c r="AD446" s="71" t="n"/>
      <c r="BA446" s="307" t="inlineStr">
        <is>
          <t>КИ</t>
        </is>
      </c>
    </row>
    <row r="447" ht="27" customHeight="1">
      <c r="A447" s="64" t="inlineStr">
        <is>
          <t>SU002809</t>
        </is>
      </c>
      <c r="B447" s="64" t="inlineStr">
        <is>
          <t>P003586</t>
        </is>
      </c>
      <c r="C447" s="37" t="n">
        <v>4301031244</v>
      </c>
      <c r="D447" s="325" t="n">
        <v>4640242180595</v>
      </c>
      <c r="E447" s="637" t="n"/>
      <c r="F447" s="669" t="n">
        <v>0.7</v>
      </c>
      <c r="G447" s="38" t="n">
        <v>6</v>
      </c>
      <c r="H447" s="669" t="n">
        <v>4.2</v>
      </c>
      <c r="I447" s="669" t="n">
        <v>4.46</v>
      </c>
      <c r="J447" s="38" t="n">
        <v>156</v>
      </c>
      <c r="K447" s="38" t="inlineStr">
        <is>
          <t>12</t>
        </is>
      </c>
      <c r="L447" s="39" t="inlineStr">
        <is>
          <t>СК2</t>
        </is>
      </c>
      <c r="M447" s="38" t="n">
        <v>40</v>
      </c>
      <c r="N447" s="912" t="inlineStr">
        <is>
          <t>В/к колбасы «Сервелат Рижский» НТУ Весовые Фиброуз в/у ТМ «Зареченские»</t>
        </is>
      </c>
      <c r="O447" s="671" t="n"/>
      <c r="P447" s="671" t="n"/>
      <c r="Q447" s="671" t="n"/>
      <c r="R447" s="637" t="n"/>
      <c r="S447" s="40" t="inlineStr"/>
      <c r="T447" s="40" t="inlineStr"/>
      <c r="U447" s="41" t="inlineStr">
        <is>
          <t>кг</t>
        </is>
      </c>
      <c r="V447" s="672" t="n">
        <v>0</v>
      </c>
      <c r="W447" s="673">
        <f>IFERROR(IF(V447="",0,CEILING((V447/$H447),1)*$H447),"")</f>
        <v/>
      </c>
      <c r="X447" s="42">
        <f>IFERROR(IF(W447=0,"",ROUNDUP(W447/H447,0)*0.00753),"")</f>
        <v/>
      </c>
      <c r="Y447" s="69" t="inlineStr"/>
      <c r="Z447" s="70" t="inlineStr"/>
      <c r="AD447" s="71" t="n"/>
      <c r="BA447" s="308" t="inlineStr">
        <is>
          <t>КИ</t>
        </is>
      </c>
    </row>
    <row r="448">
      <c r="A448" s="320" t="n"/>
      <c r="B448" s="313" t="n"/>
      <c r="C448" s="313" t="n"/>
      <c r="D448" s="313" t="n"/>
      <c r="E448" s="313" t="n"/>
      <c r="F448" s="313" t="n"/>
      <c r="G448" s="313" t="n"/>
      <c r="H448" s="313" t="n"/>
      <c r="I448" s="313" t="n"/>
      <c r="J448" s="313" t="n"/>
      <c r="K448" s="313" t="n"/>
      <c r="L448" s="313" t="n"/>
      <c r="M448" s="674" t="n"/>
      <c r="N448" s="675" t="inlineStr">
        <is>
          <t>Итого</t>
        </is>
      </c>
      <c r="O448" s="645" t="n"/>
      <c r="P448" s="645" t="n"/>
      <c r="Q448" s="645" t="n"/>
      <c r="R448" s="645" t="n"/>
      <c r="S448" s="645" t="n"/>
      <c r="T448" s="646" t="n"/>
      <c r="U448" s="43" t="inlineStr">
        <is>
          <t>кор</t>
        </is>
      </c>
      <c r="V448" s="676">
        <f>IFERROR(V446/H446,"0")+IFERROR(V447/H447,"0")</f>
        <v/>
      </c>
      <c r="W448" s="676">
        <f>IFERROR(W446/H446,"0")+IFERROR(W447/H447,"0")</f>
        <v/>
      </c>
      <c r="X448" s="676">
        <f>IFERROR(IF(X446="",0,X446),"0")+IFERROR(IF(X447="",0,X447),"0")</f>
        <v/>
      </c>
      <c r="Y448" s="677" t="n"/>
      <c r="Z448" s="677" t="n"/>
    </row>
    <row r="449">
      <c r="A449" s="313" t="n"/>
      <c r="B449" s="313" t="n"/>
      <c r="C449" s="313" t="n"/>
      <c r="D449" s="313" t="n"/>
      <c r="E449" s="313" t="n"/>
      <c r="F449" s="313" t="n"/>
      <c r="G449" s="313" t="n"/>
      <c r="H449" s="313" t="n"/>
      <c r="I449" s="313" t="n"/>
      <c r="J449" s="313" t="n"/>
      <c r="K449" s="313" t="n"/>
      <c r="L449" s="313" t="n"/>
      <c r="M449" s="674" t="n"/>
      <c r="N449" s="675" t="inlineStr">
        <is>
          <t>Итого</t>
        </is>
      </c>
      <c r="O449" s="645" t="n"/>
      <c r="P449" s="645" t="n"/>
      <c r="Q449" s="645" t="n"/>
      <c r="R449" s="645" t="n"/>
      <c r="S449" s="645" t="n"/>
      <c r="T449" s="646" t="n"/>
      <c r="U449" s="43" t="inlineStr">
        <is>
          <t>кг</t>
        </is>
      </c>
      <c r="V449" s="676">
        <f>IFERROR(SUM(V446:V447),"0")</f>
        <v/>
      </c>
      <c r="W449" s="676">
        <f>IFERROR(SUM(W446:W447),"0")</f>
        <v/>
      </c>
      <c r="X449" s="43" t="n"/>
      <c r="Y449" s="677" t="n"/>
      <c r="Z449" s="677" t="n"/>
    </row>
    <row r="450" ht="14.25" customHeight="1">
      <c r="A450" s="330" t="inlineStr">
        <is>
          <t>Сосиски</t>
        </is>
      </c>
      <c r="B450" s="313" t="n"/>
      <c r="C450" s="313" t="n"/>
      <c r="D450" s="313" t="n"/>
      <c r="E450" s="313" t="n"/>
      <c r="F450" s="313" t="n"/>
      <c r="G450" s="313" t="n"/>
      <c r="H450" s="313" t="n"/>
      <c r="I450" s="313" t="n"/>
      <c r="J450" s="313" t="n"/>
      <c r="K450" s="313" t="n"/>
      <c r="L450" s="313" t="n"/>
      <c r="M450" s="313" t="n"/>
      <c r="N450" s="313" t="n"/>
      <c r="O450" s="313" t="n"/>
      <c r="P450" s="313" t="n"/>
      <c r="Q450" s="313" t="n"/>
      <c r="R450" s="313" t="n"/>
      <c r="S450" s="313" t="n"/>
      <c r="T450" s="313" t="n"/>
      <c r="U450" s="313" t="n"/>
      <c r="V450" s="313" t="n"/>
      <c r="W450" s="313" t="n"/>
      <c r="X450" s="313" t="n"/>
      <c r="Y450" s="330" t="n"/>
      <c r="Z450" s="330" t="n"/>
    </row>
    <row r="451" ht="27" customHeight="1">
      <c r="A451" s="64" t="inlineStr">
        <is>
          <t>SU002803</t>
        </is>
      </c>
      <c r="B451" s="64" t="inlineStr">
        <is>
          <t>P003590</t>
        </is>
      </c>
      <c r="C451" s="37" t="n">
        <v>4301051510</v>
      </c>
      <c r="D451" s="325" t="n">
        <v>4640242180540</v>
      </c>
      <c r="E451" s="637" t="n"/>
      <c r="F451" s="669" t="n">
        <v>1.3</v>
      </c>
      <c r="G451" s="38" t="n">
        <v>6</v>
      </c>
      <c r="H451" s="669" t="n">
        <v>7.8</v>
      </c>
      <c r="I451" s="669" t="n">
        <v>8.364000000000001</v>
      </c>
      <c r="J451" s="38" t="n">
        <v>56</v>
      </c>
      <c r="K451" s="38" t="inlineStr">
        <is>
          <t>8</t>
        </is>
      </c>
      <c r="L451" s="39" t="inlineStr">
        <is>
          <t>СК2</t>
        </is>
      </c>
      <c r="M451" s="38" t="n">
        <v>30</v>
      </c>
      <c r="N451" s="913" t="inlineStr">
        <is>
          <t>Сосиски «Сочные» Весовой п/а ТМ «Зареченские»</t>
        </is>
      </c>
      <c r="O451" s="671" t="n"/>
      <c r="P451" s="671" t="n"/>
      <c r="Q451" s="671" t="n"/>
      <c r="R451" s="637" t="n"/>
      <c r="S451" s="40" t="inlineStr"/>
      <c r="T451" s="40" t="inlineStr"/>
      <c r="U451" s="41" t="inlineStr">
        <is>
          <t>кг</t>
        </is>
      </c>
      <c r="V451" s="672" t="n">
        <v>0</v>
      </c>
      <c r="W451" s="673">
        <f>IFERROR(IF(V451="",0,CEILING((V451/$H451),1)*$H451),"")</f>
        <v/>
      </c>
      <c r="X451" s="42">
        <f>IFERROR(IF(W451=0,"",ROUNDUP(W451/H451,0)*0.02175),"")</f>
        <v/>
      </c>
      <c r="Y451" s="69" t="inlineStr"/>
      <c r="Z451" s="70" t="inlineStr"/>
      <c r="AD451" s="71" t="n"/>
      <c r="BA451" s="309" t="inlineStr">
        <is>
          <t>КИ</t>
        </is>
      </c>
    </row>
    <row r="452" ht="27" customHeight="1">
      <c r="A452" s="64" t="inlineStr">
        <is>
          <t>SU002804</t>
        </is>
      </c>
      <c r="B452" s="64" t="inlineStr">
        <is>
          <t>P003585</t>
        </is>
      </c>
      <c r="C452" s="37" t="n">
        <v>4301051508</v>
      </c>
      <c r="D452" s="325" t="n">
        <v>4640242180557</v>
      </c>
      <c r="E452" s="637" t="n"/>
      <c r="F452" s="669" t="n">
        <v>0.5</v>
      </c>
      <c r="G452" s="38" t="n">
        <v>6</v>
      </c>
      <c r="H452" s="669" t="n">
        <v>3</v>
      </c>
      <c r="I452" s="669" t="n">
        <v>3.284</v>
      </c>
      <c r="J452" s="38" t="n">
        <v>156</v>
      </c>
      <c r="K452" s="38" t="inlineStr">
        <is>
          <t>12</t>
        </is>
      </c>
      <c r="L452" s="39" t="inlineStr">
        <is>
          <t>СК2</t>
        </is>
      </c>
      <c r="M452" s="38" t="n">
        <v>30</v>
      </c>
      <c r="N452" s="914" t="inlineStr">
        <is>
          <t>Сосиски «Сочные» Фикс.вес 0,5 п/а ТМ «Зареченские»</t>
        </is>
      </c>
      <c r="O452" s="671" t="n"/>
      <c r="P452" s="671" t="n"/>
      <c r="Q452" s="671" t="n"/>
      <c r="R452" s="637" t="n"/>
      <c r="S452" s="40" t="inlineStr"/>
      <c r="T452" s="40" t="inlineStr"/>
      <c r="U452" s="41" t="inlineStr">
        <is>
          <t>кг</t>
        </is>
      </c>
      <c r="V452" s="672" t="n">
        <v>0</v>
      </c>
      <c r="W452" s="673">
        <f>IFERROR(IF(V452="",0,CEILING((V452/$H452),1)*$H452),"")</f>
        <v/>
      </c>
      <c r="X452" s="42">
        <f>IFERROR(IF(W452=0,"",ROUNDUP(W452/H452,0)*0.00753),"")</f>
        <v/>
      </c>
      <c r="Y452" s="69" t="inlineStr"/>
      <c r="Z452" s="70" t="inlineStr"/>
      <c r="AD452" s="71" t="n"/>
      <c r="BA452" s="310" t="inlineStr">
        <is>
          <t>КИ</t>
        </is>
      </c>
    </row>
    <row r="453">
      <c r="A453" s="320" t="n"/>
      <c r="B453" s="313" t="n"/>
      <c r="C453" s="313" t="n"/>
      <c r="D453" s="313" t="n"/>
      <c r="E453" s="313" t="n"/>
      <c r="F453" s="313" t="n"/>
      <c r="G453" s="313" t="n"/>
      <c r="H453" s="313" t="n"/>
      <c r="I453" s="313" t="n"/>
      <c r="J453" s="313" t="n"/>
      <c r="K453" s="313" t="n"/>
      <c r="L453" s="313" t="n"/>
      <c r="M453" s="674" t="n"/>
      <c r="N453" s="675" t="inlineStr">
        <is>
          <t>Итого</t>
        </is>
      </c>
      <c r="O453" s="645" t="n"/>
      <c r="P453" s="645" t="n"/>
      <c r="Q453" s="645" t="n"/>
      <c r="R453" s="645" t="n"/>
      <c r="S453" s="645" t="n"/>
      <c r="T453" s="646" t="n"/>
      <c r="U453" s="43" t="inlineStr">
        <is>
          <t>кор</t>
        </is>
      </c>
      <c r="V453" s="676">
        <f>IFERROR(V451/H451,"0")+IFERROR(V452/H452,"0")</f>
        <v/>
      </c>
      <c r="W453" s="676">
        <f>IFERROR(W451/H451,"0")+IFERROR(W452/H452,"0")</f>
        <v/>
      </c>
      <c r="X453" s="676">
        <f>IFERROR(IF(X451="",0,X451),"0")+IFERROR(IF(X452="",0,X452),"0")</f>
        <v/>
      </c>
      <c r="Y453" s="677" t="n"/>
      <c r="Z453" s="677" t="n"/>
    </row>
    <row r="454">
      <c r="A454" s="313" t="n"/>
      <c r="B454" s="313" t="n"/>
      <c r="C454" s="313" t="n"/>
      <c r="D454" s="313" t="n"/>
      <c r="E454" s="313" t="n"/>
      <c r="F454" s="313" t="n"/>
      <c r="G454" s="313" t="n"/>
      <c r="H454" s="313" t="n"/>
      <c r="I454" s="313" t="n"/>
      <c r="J454" s="313" t="n"/>
      <c r="K454" s="313" t="n"/>
      <c r="L454" s="313" t="n"/>
      <c r="M454" s="674" t="n"/>
      <c r="N454" s="675" t="inlineStr">
        <is>
          <t>Итого</t>
        </is>
      </c>
      <c r="O454" s="645" t="n"/>
      <c r="P454" s="645" t="n"/>
      <c r="Q454" s="645" t="n"/>
      <c r="R454" s="645" t="n"/>
      <c r="S454" s="645" t="n"/>
      <c r="T454" s="646" t="n"/>
      <c r="U454" s="43" t="inlineStr">
        <is>
          <t>кг</t>
        </is>
      </c>
      <c r="V454" s="676">
        <f>IFERROR(SUM(V451:V452),"0")</f>
        <v/>
      </c>
      <c r="W454" s="676">
        <f>IFERROR(SUM(W451:W452),"0")</f>
        <v/>
      </c>
      <c r="X454" s="43" t="n"/>
      <c r="Y454" s="677" t="n"/>
      <c r="Z454" s="677" t="n"/>
    </row>
    <row r="455" ht="16.5" customHeight="1">
      <c r="A455" s="329" t="inlineStr">
        <is>
          <t>Выгодная цена</t>
        </is>
      </c>
      <c r="B455" s="313" t="n"/>
      <c r="C455" s="313" t="n"/>
      <c r="D455" s="313" t="n"/>
      <c r="E455" s="313" t="n"/>
      <c r="F455" s="313" t="n"/>
      <c r="G455" s="313" t="n"/>
      <c r="H455" s="313" t="n"/>
      <c r="I455" s="313" t="n"/>
      <c r="J455" s="313" t="n"/>
      <c r="K455" s="313" t="n"/>
      <c r="L455" s="313" t="n"/>
      <c r="M455" s="313" t="n"/>
      <c r="N455" s="313" t="n"/>
      <c r="O455" s="313" t="n"/>
      <c r="P455" s="313" t="n"/>
      <c r="Q455" s="313" t="n"/>
      <c r="R455" s="313" t="n"/>
      <c r="S455" s="313" t="n"/>
      <c r="T455" s="313" t="n"/>
      <c r="U455" s="313" t="n"/>
      <c r="V455" s="313" t="n"/>
      <c r="W455" s="313" t="n"/>
      <c r="X455" s="313" t="n"/>
      <c r="Y455" s="329" t="n"/>
      <c r="Z455" s="329" t="n"/>
    </row>
    <row r="456" ht="14.25" customHeight="1">
      <c r="A456" s="330" t="inlineStr">
        <is>
          <t>Сосиски</t>
        </is>
      </c>
      <c r="B456" s="313" t="n"/>
      <c r="C456" s="313" t="n"/>
      <c r="D456" s="313" t="n"/>
      <c r="E456" s="313" t="n"/>
      <c r="F456" s="313" t="n"/>
      <c r="G456" s="313" t="n"/>
      <c r="H456" s="313" t="n"/>
      <c r="I456" s="313" t="n"/>
      <c r="J456" s="313" t="n"/>
      <c r="K456" s="313" t="n"/>
      <c r="L456" s="313" t="n"/>
      <c r="M456" s="313" t="n"/>
      <c r="N456" s="313" t="n"/>
      <c r="O456" s="313" t="n"/>
      <c r="P456" s="313" t="n"/>
      <c r="Q456" s="313" t="n"/>
      <c r="R456" s="313" t="n"/>
      <c r="S456" s="313" t="n"/>
      <c r="T456" s="313" t="n"/>
      <c r="U456" s="313" t="n"/>
      <c r="V456" s="313" t="n"/>
      <c r="W456" s="313" t="n"/>
      <c r="X456" s="313" t="n"/>
      <c r="Y456" s="330" t="n"/>
      <c r="Z456" s="330" t="n"/>
    </row>
    <row r="457" ht="16.5" customHeight="1">
      <c r="A457" s="64" t="inlineStr">
        <is>
          <t>SU002655</t>
        </is>
      </c>
      <c r="B457" s="64" t="inlineStr">
        <is>
          <t>P003022</t>
        </is>
      </c>
      <c r="C457" s="37" t="n">
        <v>4301051310</v>
      </c>
      <c r="D457" s="325" t="n">
        <v>4680115880870</v>
      </c>
      <c r="E457" s="637" t="n"/>
      <c r="F457" s="669" t="n">
        <v>1.3</v>
      </c>
      <c r="G457" s="38" t="n">
        <v>6</v>
      </c>
      <c r="H457" s="669" t="n">
        <v>7.8</v>
      </c>
      <c r="I457" s="669" t="n">
        <v>8.364000000000001</v>
      </c>
      <c r="J457" s="38" t="n">
        <v>56</v>
      </c>
      <c r="K457" s="38" t="inlineStr">
        <is>
          <t>8</t>
        </is>
      </c>
      <c r="L457" s="39" t="inlineStr">
        <is>
          <t>СК3</t>
        </is>
      </c>
      <c r="M457" s="38" t="n">
        <v>40</v>
      </c>
      <c r="N457" s="915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O457" s="671" t="n"/>
      <c r="P457" s="671" t="n"/>
      <c r="Q457" s="671" t="n"/>
      <c r="R457" s="637" t="n"/>
      <c r="S457" s="40" t="inlineStr"/>
      <c r="T457" s="40" t="inlineStr"/>
      <c r="U457" s="41" t="inlineStr">
        <is>
          <t>кг</t>
        </is>
      </c>
      <c r="V457" s="672" t="n">
        <v>169</v>
      </c>
      <c r="W457" s="673">
        <f>IFERROR(IF(V457="",0,CEILING((V457/$H457),1)*$H457),"")</f>
        <v/>
      </c>
      <c r="X457" s="42">
        <f>IFERROR(IF(W457=0,"",ROUNDUP(W457/H457,0)*0.02175),"")</f>
        <v/>
      </c>
      <c r="Y457" s="69" t="inlineStr"/>
      <c r="Z457" s="70" t="inlineStr"/>
      <c r="AD457" s="71" t="n"/>
      <c r="BA457" s="311" t="inlineStr">
        <is>
          <t>КИ</t>
        </is>
      </c>
    </row>
    <row r="458">
      <c r="A458" s="320" t="n"/>
      <c r="B458" s="313" t="n"/>
      <c r="C458" s="313" t="n"/>
      <c r="D458" s="313" t="n"/>
      <c r="E458" s="313" t="n"/>
      <c r="F458" s="313" t="n"/>
      <c r="G458" s="313" t="n"/>
      <c r="H458" s="313" t="n"/>
      <c r="I458" s="313" t="n"/>
      <c r="J458" s="313" t="n"/>
      <c r="K458" s="313" t="n"/>
      <c r="L458" s="313" t="n"/>
      <c r="M458" s="674" t="n"/>
      <c r="N458" s="675" t="inlineStr">
        <is>
          <t>Итого</t>
        </is>
      </c>
      <c r="O458" s="645" t="n"/>
      <c r="P458" s="645" t="n"/>
      <c r="Q458" s="645" t="n"/>
      <c r="R458" s="645" t="n"/>
      <c r="S458" s="645" t="n"/>
      <c r="T458" s="646" t="n"/>
      <c r="U458" s="43" t="inlineStr">
        <is>
          <t>кор</t>
        </is>
      </c>
      <c r="V458" s="676">
        <f>IFERROR(V457/H457,"0")</f>
        <v/>
      </c>
      <c r="W458" s="676">
        <f>IFERROR(W457/H457,"0")</f>
        <v/>
      </c>
      <c r="X458" s="676">
        <f>IFERROR(IF(X457="",0,X457),"0")</f>
        <v/>
      </c>
      <c r="Y458" s="677" t="n"/>
      <c r="Z458" s="677" t="n"/>
    </row>
    <row r="459">
      <c r="A459" s="313" t="n"/>
      <c r="B459" s="313" t="n"/>
      <c r="C459" s="313" t="n"/>
      <c r="D459" s="313" t="n"/>
      <c r="E459" s="313" t="n"/>
      <c r="F459" s="313" t="n"/>
      <c r="G459" s="313" t="n"/>
      <c r="H459" s="313" t="n"/>
      <c r="I459" s="313" t="n"/>
      <c r="J459" s="313" t="n"/>
      <c r="K459" s="313" t="n"/>
      <c r="L459" s="313" t="n"/>
      <c r="M459" s="674" t="n"/>
      <c r="N459" s="675" t="inlineStr">
        <is>
          <t>Итого</t>
        </is>
      </c>
      <c r="O459" s="645" t="n"/>
      <c r="P459" s="645" t="n"/>
      <c r="Q459" s="645" t="n"/>
      <c r="R459" s="645" t="n"/>
      <c r="S459" s="645" t="n"/>
      <c r="T459" s="646" t="n"/>
      <c r="U459" s="43" t="inlineStr">
        <is>
          <t>кг</t>
        </is>
      </c>
      <c r="V459" s="676">
        <f>IFERROR(SUM(V457:V457),"0")</f>
        <v/>
      </c>
      <c r="W459" s="676">
        <f>IFERROR(SUM(W457:W457),"0")</f>
        <v/>
      </c>
      <c r="X459" s="43" t="n"/>
      <c r="Y459" s="677" t="n"/>
      <c r="Z459" s="677" t="n"/>
    </row>
    <row r="460" ht="15" customHeight="1">
      <c r="A460" s="324" t="n"/>
      <c r="B460" s="313" t="n"/>
      <c r="C460" s="313" t="n"/>
      <c r="D460" s="313" t="n"/>
      <c r="E460" s="313" t="n"/>
      <c r="F460" s="313" t="n"/>
      <c r="G460" s="313" t="n"/>
      <c r="H460" s="313" t="n"/>
      <c r="I460" s="313" t="n"/>
      <c r="J460" s="313" t="n"/>
      <c r="K460" s="313" t="n"/>
      <c r="L460" s="313" t="n"/>
      <c r="M460" s="634" t="n"/>
      <c r="N460" s="916" t="inlineStr">
        <is>
          <t>ИТОГО НЕТТО</t>
        </is>
      </c>
      <c r="O460" s="628" t="n"/>
      <c r="P460" s="628" t="n"/>
      <c r="Q460" s="628" t="n"/>
      <c r="R460" s="628" t="n"/>
      <c r="S460" s="628" t="n"/>
      <c r="T460" s="629" t="n"/>
      <c r="U460" s="43" t="inlineStr">
        <is>
          <t>кг</t>
        </is>
      </c>
      <c r="V460" s="676">
        <f>IFERROR(V24+V33+V37+V41+V45+V51+V59+V78+V88+V99+V111+V119+V126+V134+V146+V152+V157+V164+V184+V189+V207+V211+V218+V230+V236+V242+V248+V259+V264+V269+V274+V278+V282+V295+V301+V305+V309+V317+V322+V329+V333+V340+V356+V363+V367+V374+V379+V385+V395+V399+V413+V418+V427+V432+V439+V444+V449+V454+V459,"0")</f>
        <v/>
      </c>
      <c r="W460" s="676">
        <f>IFERROR(W24+W33+W37+W41+W45+W51+W59+W78+W88+W99+W111+W119+W126+W134+W146+W152+W157+W164+W184+W189+W207+W211+W218+W230+W236+W242+W248+W259+W264+W269+W274+W278+W282+W295+W301+W305+W309+W317+W322+W329+W333+W340+W356+W363+W367+W374+W379+W385+W395+W399+W413+W418+W427+W432+W439+W444+W449+W454+W459,"0")</f>
        <v/>
      </c>
      <c r="X460" s="43" t="n"/>
      <c r="Y460" s="677" t="n"/>
      <c r="Z460" s="677" t="n"/>
    </row>
    <row r="461">
      <c r="A461" s="313" t="n"/>
      <c r="B461" s="313" t="n"/>
      <c r="C461" s="313" t="n"/>
      <c r="D461" s="313" t="n"/>
      <c r="E461" s="313" t="n"/>
      <c r="F461" s="313" t="n"/>
      <c r="G461" s="313" t="n"/>
      <c r="H461" s="313" t="n"/>
      <c r="I461" s="313" t="n"/>
      <c r="J461" s="313" t="n"/>
      <c r="K461" s="313" t="n"/>
      <c r="L461" s="313" t="n"/>
      <c r="M461" s="634" t="n"/>
      <c r="N461" s="916" t="inlineStr">
        <is>
          <t>ИТОГО БРУТТО</t>
        </is>
      </c>
      <c r="O461" s="628" t="n"/>
      <c r="P461" s="628" t="n"/>
      <c r="Q461" s="628" t="n"/>
      <c r="R461" s="628" t="n"/>
      <c r="S461" s="628" t="n"/>
      <c r="T461" s="629" t="n"/>
      <c r="U461" s="43" t="inlineStr">
        <is>
          <t>кг</t>
        </is>
      </c>
      <c r="V461" s="676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54*I54/H54,"0")+IFERROR(V55*I55/H55,"0")+IFERROR(V56*I56/H56,"0")+IFERROR(V57*I57/H57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80*I80/H80,"0")+IFERROR(V81*I81/H81,"0")+IFERROR(V82*I82/H82,"0")+IFERROR(V83*I83/H83,"0")+IFERROR(V84*I84/H84,"0")+IFERROR(V85*I85/H85,"0")+IFERROR(V86*I86/H86,"0")+IFERROR(V90*I90/H90,"0")+IFERROR(V91*I91/H91,"0")+IFERROR(V92*I92/H92,"0")+IFERROR(V93*I93/H93,"0")+IFERROR(V94*I94/H94,"0")+IFERROR(V95*I95/H95,"0")+IFERROR(V96*I96/H96,"0")+IFERROR(V97*I97/H97,"0")+IFERROR(V101*I101/H101,"0")+IFERROR(V102*I102/H102,"0")+IFERROR(V103*I103/H103,"0")+IFERROR(V104*I104/H104,"0")+IFERROR(V105*I105/H105,"0")+IFERROR(V106*I106/H106,"0")+IFERROR(V107*I107/H107,"0")+IFERROR(V108*I108/H108,"0")+IFERROR(V109*I109/H109,"0")+IFERROR(V113*I113/H113,"0")+IFERROR(V114*I114/H114,"0")+IFERROR(V115*I115/H115,"0")+IFERROR(V116*I116/H116,"0")+IFERROR(V117*I117/H117,"0")+IFERROR(V122*I122/H122,"0")+IFERROR(V123*I123/H123,"0")+IFERROR(V124*I124/H124,"0")+IFERROR(V130*I130/H130,"0")+IFERROR(V131*I131/H131,"0")+IFERROR(V132*I132/H132,"0")+IFERROR(V137*I137/H137,"0")+IFERROR(V138*I138/H138,"0")+IFERROR(V139*I139/H139,"0")+IFERROR(V140*I140/H140,"0")+IFERROR(V141*I141/H141,"0")+IFERROR(V142*I142/H142,"0")+IFERROR(V143*I143/H143,"0")+IFERROR(V144*I144/H144,"0")+IFERROR(V149*I149/H149,"0")+IFERROR(V150*I150/H150,"0")+IFERROR(V154*I154/H154,"0")+IFERROR(V155*I155/H155,"0")+IFERROR(V159*I159/H159,"0")+IFERROR(V160*I160/H160,"0")+IFERROR(V161*I161/H161,"0")+IFERROR(V162*I162/H162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186*I186/H186,"0")+IFERROR(V187*I187/H187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209*I209/H209,"0")+IFERROR(V213*I213/H213,"0")+IFERROR(V214*I214/H214,"0")+IFERROR(V215*I215/H215,"0")+IFERROR(V216*I216/H216,"0")+IFERROR(V220*I220/H220,"0")+IFERROR(V221*I221/H221,"0")+IFERROR(V222*I222/H222,"0")+IFERROR(V223*I223/H223,"0")+IFERROR(V224*I224/H224,"0")+IFERROR(V225*I225/H225,"0")+IFERROR(V226*I226/H226,"0")+IFERROR(V227*I227/H227,"0")+IFERROR(V228*I228/H228,"0")+IFERROR(V232*I232/H232,"0")+IFERROR(V233*I233/H233,"0")+IFERROR(V234*I234/H234,"0")+IFERROR(V238*I238/H238,"0")+IFERROR(V239*I239/H239,"0")+IFERROR(V240*I240/H240,"0")+IFERROR(V244*I244/H244,"0")+IFERROR(V245*I245/H245,"0")+IFERROR(V246*I246/H246,"0")+IFERROR(V251*I251/H251,"0")+IFERROR(V252*I252/H252,"0")+IFERROR(V253*I253/H253,"0")+IFERROR(V254*I254/H254,"0")+IFERROR(V255*I255/H255,"0")+IFERROR(V256*I256/H256,"0")+IFERROR(V257*I257/H257,"0")+IFERROR(V261*I261/H261,"0")+IFERROR(V262*I262/H262,"0")+IFERROR(V267*I267/H267,"0")+IFERROR(V271*I271/H271,"0")+IFERROR(V272*I272/H272,"0")+IFERROR(V276*I276/H276,"0")+IFERROR(V280*I280/H280,"0")+IFERROR(V286*I286/H286,"0")+IFERROR(V287*I287/H287,"0")+IFERROR(V288*I288/H288,"0")+IFERROR(V289*I289/H289,"0")+IFERROR(V290*I290/H290,"0")+IFERROR(V291*I291/H291,"0")+IFERROR(V292*I292/H292,"0")+IFERROR(V293*I293/H293,"0")+IFERROR(V297*I297/H297,"0")+IFERROR(V298*I298/H298,"0")+IFERROR(V299*I299/H299,"0")+IFERROR(V303*I303/H303,"0")+IFERROR(V307*I307/H307,"0")+IFERROR(V312*I312/H312,"0")+IFERROR(V313*I313/H313,"0")+IFERROR(V314*I314/H314,"0")+IFERROR(V315*I315/H315,"0")+IFERROR(V319*I319/H319,"0")+IFERROR(V320*I320/H320,"0")+IFERROR(V324*I324/H324,"0")+IFERROR(V325*I325/H325,"0")+IFERROR(V326*I326/H326,"0")+IFERROR(V327*I327/H327,"0")+IFERROR(V331*I331/H331,"0")+IFERROR(V337*I337/H337,"0")+IFERROR(V338*I338/H338,"0")+IFERROR(V342*I342/H342,"0")+IFERROR(V343*I343/H343,"0")+IFERROR(V344*I344/H344,"0")+IFERROR(V345*I345/H345,"0")+IFERROR(V346*I346/H346,"0")+IFERROR(V347*I347/H347,"0")+IFERROR(V348*I348/H348,"0")+IFERROR(V349*I349/H349,"0")+IFERROR(V350*I350/H350,"0")+IFERROR(V351*I351/H351,"0")+IFERROR(V352*I352/H352,"0")+IFERROR(V353*I353/H353,"0")+IFERROR(V354*I354/H354,"0")+IFERROR(V358*I358/H358,"0")+IFERROR(V359*I359/H359,"0")+IFERROR(V360*I360/H360,"0")+IFERROR(V361*I361/H361,"0")+IFERROR(V365*I365/H365,"0")+IFERROR(V369*I369/H369,"0")+IFERROR(V370*I370/H370,"0")+IFERROR(V371*I371/H371,"0")+IFERROR(V372*I372/H372,"0")+IFERROR(V376*I376/H376,"0")+IFERROR(V377*I377/H377,"0")+IFERROR(V382*I382/H382,"0")+IFERROR(V383*I383/H383,"0")+IFERROR(V387*I387/H387,"0")+IFERROR(V388*I388/H388,"0")+IFERROR(V389*I389/H389,"0")+IFERROR(V390*I390/H390,"0")+IFERROR(V391*I391/H391,"0")+IFERROR(V392*I392/H392,"0")+IFERROR(V393*I393/H393,"0")+IFERROR(V397*I397/H397,"0")+IFERROR(V403*I403/H403,"0")+IFERROR(V404*I404/H404,"0")+IFERROR(V405*I405/H405,"0")+IFERROR(V406*I406/H406,"0")+IFERROR(V407*I407/H407,"0")+IFERROR(V408*I408/H408,"0")+IFERROR(V409*I409/H409,"0")+IFERROR(V410*I410/H410,"0")+IFERROR(V411*I411/H411,"0")+IFERROR(V415*I415/H415,"0")+IFERROR(V416*I416/H416,"0")+IFERROR(V420*I420/H420,"0")+IFERROR(V421*I421/H421,"0")+IFERROR(V422*I422/H422,"0")+IFERROR(V423*I423/H423,"0")+IFERROR(V424*I424/H424,"0")+IFERROR(V425*I425/H425,"0")+IFERROR(V429*I429/H429,"0")+IFERROR(V430*I430/H430,"0")+IFERROR(V436*I436/H436,"0")+IFERROR(V437*I437/H437,"0")+IFERROR(V441*I441/H441,"0")+IFERROR(V442*I442/H442,"0")+IFERROR(V446*I446/H446,"0")+IFERROR(V447*I447/H447,"0")+IFERROR(V451*I451/H451,"0")+IFERROR(V452*I452/H452,"0")+IFERROR(V457*I457/H457,"0"),"0")</f>
        <v/>
      </c>
      <c r="W461" s="676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54*I54/H54,"0")+IFERROR(W55*I55/H55,"0")+IFERROR(W56*I56/H56,"0")+IFERROR(W57*I57/H57,"0")+IFERROR(W62*I62/H62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80*I80/H80,"0")+IFERROR(W81*I81/H81,"0")+IFERROR(W82*I82/H82,"0")+IFERROR(W83*I83/H83,"0")+IFERROR(W84*I84/H84,"0")+IFERROR(W85*I85/H85,"0")+IFERROR(W86*I86/H86,"0")+IFERROR(W90*I90/H90,"0")+IFERROR(W91*I91/H91,"0")+IFERROR(W92*I92/H92,"0")+IFERROR(W93*I93/H93,"0")+IFERROR(W94*I94/H94,"0")+IFERROR(W95*I95/H95,"0")+IFERROR(W96*I96/H96,"0")+IFERROR(W97*I97/H97,"0")+IFERROR(W101*I101/H101,"0")+IFERROR(W102*I102/H102,"0")+IFERROR(W103*I103/H103,"0")+IFERROR(W104*I104/H104,"0")+IFERROR(W105*I105/H105,"0")+IFERROR(W106*I106/H106,"0")+IFERROR(W107*I107/H107,"0")+IFERROR(W108*I108/H108,"0")+IFERROR(W109*I109/H109,"0")+IFERROR(W113*I113/H113,"0")+IFERROR(W114*I114/H114,"0")+IFERROR(W115*I115/H115,"0")+IFERROR(W116*I116/H116,"0")+IFERROR(W117*I117/H117,"0")+IFERROR(W122*I122/H122,"0")+IFERROR(W123*I123/H123,"0")+IFERROR(W124*I124/H124,"0")+IFERROR(W130*I130/H130,"0")+IFERROR(W131*I131/H131,"0")+IFERROR(W132*I132/H132,"0")+IFERROR(W137*I137/H137,"0")+IFERROR(W138*I138/H138,"0")+IFERROR(W139*I139/H139,"0")+IFERROR(W140*I140/H140,"0")+IFERROR(W141*I141/H141,"0")+IFERROR(W142*I142/H142,"0")+IFERROR(W143*I143/H143,"0")+IFERROR(W144*I144/H144,"0")+IFERROR(W149*I149/H149,"0")+IFERROR(W150*I150/H150,"0")+IFERROR(W154*I154/H154,"0")+IFERROR(W155*I155/H155,"0")+IFERROR(W159*I159/H159,"0")+IFERROR(W160*I160/H160,"0")+IFERROR(W161*I161/H161,"0")+IFERROR(W162*I162/H162,"0")+IFERROR(W166*I166/H166,"0")+IFERROR(W167*I167/H167,"0")+IFERROR(W168*I168/H168,"0")+IFERROR(W169*I169/H169,"0")+IFERROR(W170*I170/H170,"0")+IFERROR(W171*I171/H171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186*I186/H186,"0")+IFERROR(W187*I187/H187,"0")+IFERROR(W192*I192/H192,"0")+IFERROR(W193*I193/H193,"0")+IFERROR(W194*I194/H194,"0")+IFERROR(W195*I195/H195,"0")+IFERROR(W196*I196/H196,"0")+IFERROR(W197*I197/H197,"0")+IFERROR(W198*I198/H198,"0")+IFERROR(W199*I199/H199,"0")+IFERROR(W200*I200/H200,"0")+IFERROR(W201*I201/H201,"0")+IFERROR(W202*I202/H202,"0")+IFERROR(W203*I203/H203,"0")+IFERROR(W204*I204/H204,"0")+IFERROR(W205*I205/H205,"0")+IFERROR(W209*I209/H209,"0")+IFERROR(W213*I213/H213,"0")+IFERROR(W214*I214/H214,"0")+IFERROR(W215*I215/H215,"0")+IFERROR(W216*I216/H216,"0")+IFERROR(W220*I220/H220,"0")+IFERROR(W221*I221/H221,"0")+IFERROR(W222*I222/H222,"0")+IFERROR(W223*I223/H223,"0")+IFERROR(W224*I224/H224,"0")+IFERROR(W225*I225/H225,"0")+IFERROR(W226*I226/H226,"0")+IFERROR(W227*I227/H227,"0")+IFERROR(W228*I228/H228,"0")+IFERROR(W232*I232/H232,"0")+IFERROR(W233*I233/H233,"0")+IFERROR(W234*I234/H234,"0")+IFERROR(W238*I238/H238,"0")+IFERROR(W239*I239/H239,"0")+IFERROR(W240*I240/H240,"0")+IFERROR(W244*I244/H244,"0")+IFERROR(W245*I245/H245,"0")+IFERROR(W246*I246/H246,"0")+IFERROR(W251*I251/H251,"0")+IFERROR(W252*I252/H252,"0")+IFERROR(W253*I253/H253,"0")+IFERROR(W254*I254/H254,"0")+IFERROR(W255*I255/H255,"0")+IFERROR(W256*I256/H256,"0")+IFERROR(W257*I257/H257,"0")+IFERROR(W261*I261/H261,"0")+IFERROR(W262*I262/H262,"0")+IFERROR(W267*I267/H267,"0")+IFERROR(W271*I271/H271,"0")+IFERROR(W272*I272/H272,"0")+IFERROR(W276*I276/H276,"0")+IFERROR(W280*I280/H280,"0")+IFERROR(W286*I286/H286,"0")+IFERROR(W287*I287/H287,"0")+IFERROR(W288*I288/H288,"0")+IFERROR(W289*I289/H289,"0")+IFERROR(W290*I290/H290,"0")+IFERROR(W291*I291/H291,"0")+IFERROR(W292*I292/H292,"0")+IFERROR(W293*I293/H293,"0")+IFERROR(W297*I297/H297,"0")+IFERROR(W298*I298/H298,"0")+IFERROR(W299*I299/H299,"0")+IFERROR(W303*I303/H303,"0")+IFERROR(W307*I307/H307,"0")+IFERROR(W312*I312/H312,"0")+IFERROR(W313*I313/H313,"0")+IFERROR(W314*I314/H314,"0")+IFERROR(W315*I315/H315,"0")+IFERROR(W319*I319/H319,"0")+IFERROR(W320*I320/H320,"0")+IFERROR(W324*I324/H324,"0")+IFERROR(W325*I325/H325,"0")+IFERROR(W326*I326/H326,"0")+IFERROR(W327*I327/H327,"0")+IFERROR(W331*I331/H331,"0")+IFERROR(W337*I337/H337,"0")+IFERROR(W338*I338/H338,"0")+IFERROR(W342*I342/H342,"0")+IFERROR(W343*I343/H343,"0")+IFERROR(W344*I344/H344,"0")+IFERROR(W345*I345/H345,"0")+IFERROR(W346*I346/H346,"0")+IFERROR(W347*I347/H347,"0")+IFERROR(W348*I348/H348,"0")+IFERROR(W349*I349/H349,"0")+IFERROR(W350*I350/H350,"0")+IFERROR(W351*I351/H351,"0")+IFERROR(W352*I352/H352,"0")+IFERROR(W353*I353/H353,"0")+IFERROR(W354*I354/H354,"0")+IFERROR(W358*I358/H358,"0")+IFERROR(W359*I359/H359,"0")+IFERROR(W360*I360/H360,"0")+IFERROR(W361*I361/H361,"0")+IFERROR(W365*I365/H365,"0")+IFERROR(W369*I369/H369,"0")+IFERROR(W370*I370/H370,"0")+IFERROR(W371*I371/H371,"0")+IFERROR(W372*I372/H372,"0")+IFERROR(W376*I376/H376,"0")+IFERROR(W377*I377/H377,"0")+IFERROR(W382*I382/H382,"0")+IFERROR(W383*I383/H383,"0")+IFERROR(W387*I387/H387,"0")+IFERROR(W388*I388/H388,"0")+IFERROR(W389*I389/H389,"0")+IFERROR(W390*I390/H390,"0")+IFERROR(W391*I391/H391,"0")+IFERROR(W392*I392/H392,"0")+IFERROR(W393*I393/H393,"0")+IFERROR(W397*I397/H397,"0")+IFERROR(W403*I403/H403,"0")+IFERROR(W404*I404/H404,"0")+IFERROR(W405*I405/H405,"0")+IFERROR(W406*I406/H406,"0")+IFERROR(W407*I407/H407,"0")+IFERROR(W408*I408/H408,"0")+IFERROR(W409*I409/H409,"0")+IFERROR(W410*I410/H410,"0")+IFERROR(W411*I411/H411,"0")+IFERROR(W415*I415/H415,"0")+IFERROR(W416*I416/H416,"0")+IFERROR(W420*I420/H420,"0")+IFERROR(W421*I421/H421,"0")+IFERROR(W422*I422/H422,"0")+IFERROR(W423*I423/H423,"0")+IFERROR(W424*I424/H424,"0")+IFERROR(W425*I425/H425,"0")+IFERROR(W429*I429/H429,"0")+IFERROR(W430*I430/H430,"0")+IFERROR(W436*I436/H436,"0")+IFERROR(W437*I437/H437,"0")+IFERROR(W441*I441/H441,"0")+IFERROR(W442*I442/H442,"0")+IFERROR(W446*I446/H446,"0")+IFERROR(W447*I447/H447,"0")+IFERROR(W451*I451/H451,"0")+IFERROR(W452*I452/H452,"0")+IFERROR(W457*I457/H457,"0"),"0")</f>
        <v/>
      </c>
      <c r="X461" s="43" t="n"/>
      <c r="Y461" s="677" t="n"/>
      <c r="Z461" s="677" t="n"/>
    </row>
    <row r="462">
      <c r="A462" s="313" t="n"/>
      <c r="B462" s="313" t="n"/>
      <c r="C462" s="313" t="n"/>
      <c r="D462" s="313" t="n"/>
      <c r="E462" s="313" t="n"/>
      <c r="F462" s="313" t="n"/>
      <c r="G462" s="313" t="n"/>
      <c r="H462" s="313" t="n"/>
      <c r="I462" s="313" t="n"/>
      <c r="J462" s="313" t="n"/>
      <c r="K462" s="313" t="n"/>
      <c r="L462" s="313" t="n"/>
      <c r="M462" s="634" t="n"/>
      <c r="N462" s="916" t="inlineStr">
        <is>
          <t>Кол-во паллет</t>
        </is>
      </c>
      <c r="O462" s="628" t="n"/>
      <c r="P462" s="628" t="n"/>
      <c r="Q462" s="628" t="n"/>
      <c r="R462" s="628" t="n"/>
      <c r="S462" s="628" t="n"/>
      <c r="T462" s="629" t="n"/>
      <c r="U462" s="43" t="inlineStr">
        <is>
          <t>шт</t>
        </is>
      </c>
      <c r="V462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49*(V49:V49/H49:H49)),"0")+IFERROR(SUMPRODUCT(1/J54:J57*(V54:V57/H54:H57)),"0")+IFERROR(SUMPRODUCT(1/J62:J76*(V62:V76/H62:H76)),"0")+IFERROR(SUMPRODUCT(1/J80:J86*(V80:V86/H80:H86)),"0")+IFERROR(SUMPRODUCT(1/J90:J97*(V90:V97/H90:H97)),"0")+IFERROR(SUMPRODUCT(1/J101:J109*(V101:V109/H101:H109)),"0")+IFERROR(SUMPRODUCT(1/J113:J117*(V113:V117/H113:H117)),"0")+IFERROR(SUMPRODUCT(1/J122:J124*(V122:V124/H122:H124)),"0")+IFERROR(SUMPRODUCT(1/J130:J132*(V130:V132/H130:H132)),"0")+IFERROR(SUMPRODUCT(1/J137:J144*(V137:V144/H137:H144)),"0")+IFERROR(SUMPRODUCT(1/J149:J150*(V149:V150/H149:H150)),"0")+IFERROR(SUMPRODUCT(1/J154:J155*(V154:V155/H154:H155)),"0")+IFERROR(SUMPRODUCT(1/J159:J162*(V159:V162/H159:H162)),"0")+IFERROR(SUMPRODUCT(1/J166:J182*(V166:V182/H166:H182)),"0")+IFERROR(SUMPRODUCT(1/J186:J187*(V186:V187/H186:H187)),"0")+IFERROR(SUMPRODUCT(1/J192:J205*(V192:V205/H192:H205)),"0")+IFERROR(SUMPRODUCT(1/J209:J209*(V209:V209/H209:H209)),"0")+IFERROR(SUMPRODUCT(1/J213:J216*(V213:V216/H213:H216)),"0")+IFERROR(SUMPRODUCT(1/J220:J228*(V220:V228/H220:H228)),"0")+IFERROR(SUMPRODUCT(1/J232:J234*(V232:V234/H232:H234)),"0")+IFERROR(SUMPRODUCT(1/J238:J240*(V238:V240/H238:H240)),"0")+IFERROR(SUMPRODUCT(1/J244:J246*(V244:V246/H244:H246)),"0")+IFERROR(SUMPRODUCT(1/J251:J257*(V251:V257/H251:H257)),"0")+IFERROR(SUMPRODUCT(1/J261:J262*(V261:V262/H261:H262)),"0")+IFERROR(SUMPRODUCT(1/J267:J267*(V267:V267/H267:H267)),"0")+IFERROR(SUMPRODUCT(1/J271:J272*(V271:V272/H271:H272)),"0")+IFERROR(SUMPRODUCT(1/J276:J276*(V276:V276/H276:H276)),"0")+IFERROR(SUMPRODUCT(1/J280:J280*(V280:V280/H280:H280)),"0")+IFERROR(SUMPRODUCT(1/J286:J293*(V286:V293/H286:H293)),"0")+IFERROR(SUMPRODUCT(1/J297:J299*(V297:V299/H297:H299)),"0")+IFERROR(SUMPRODUCT(1/J303:J303*(V303:V303/H303:H303)),"0")+IFERROR(SUMPRODUCT(1/J307:J307*(V307:V307/H307:H307)),"0")+IFERROR(SUMPRODUCT(1/J312:J315*(V312:V315/H312:H315)),"0")+IFERROR(SUMPRODUCT(1/J319:J320*(V319:V320/H319:H320)),"0")+IFERROR(SUMPRODUCT(1/J324:J327*(V324:V327/H324:H327)),"0")+IFERROR(SUMPRODUCT(1/J331:J331*(V331:V331/H331:H331)),"0")+IFERROR(SUMPRODUCT(1/J337:J338*(V337:V338/H337:H338)),"0")+IFERROR(SUMPRODUCT(1/J342:J354*(V342:V354/H342:H354)),"0")+IFERROR(SUMPRODUCT(1/J358:J361*(V358:V361/H358:H361)),"0")+IFERROR(SUMPRODUCT(1/J365:J365*(V365:V365/H365:H365)),"0")+IFERROR(SUMPRODUCT(1/J369:J372*(V369:V372/H369:H372)),"0")+IFERROR(SUMPRODUCT(1/J376:J377*(V376:V377/H376:H377)),"0")+IFERROR(SUMPRODUCT(1/J382:J383*(V382:V383/H382:H383)),"0")+IFERROR(SUMPRODUCT(1/J387:J393*(V387:V393/H387:H393)),"0")+IFERROR(SUMPRODUCT(1/J397:J397*(V397:V397/H397:H397)),"0")+IFERROR(SUMPRODUCT(1/J403:J411*(V403:V411/H403:H411)),"0")+IFERROR(SUMPRODUCT(1/J415:J416*(V415:V416/H415:H416)),"0")+IFERROR(SUMPRODUCT(1/J420:J425*(V420:V425/H420:H425)),"0")+IFERROR(SUMPRODUCT(1/J429:J430*(V429:V430/H429:H430)),"0")+IFERROR(SUMPRODUCT(1/J436:J437*(V436:V437/H436:H437)),"0")+IFERROR(SUMPRODUCT(1/J441:J442*(V441:V442/H441:H442)),"0")+IFERROR(SUMPRODUCT(1/J446:J447*(V446:V447/H446:H447)),"0")+IFERROR(SUMPRODUCT(1/J451:J452*(V451:V452/H451:H452)),"0")+IFERROR(SUMPRODUCT(1/J457:J457*(V457:V457/H457:H457)),"0"),0)</f>
        <v/>
      </c>
      <c r="W462" s="45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49*(W49:W49/H49:H49)),"0")+IFERROR(SUMPRODUCT(1/J54:J57*(W54:W57/H54:H57)),"0")+IFERROR(SUMPRODUCT(1/J62:J76*(W62:W76/H62:H76)),"0")+IFERROR(SUMPRODUCT(1/J80:J86*(W80:W86/H80:H86)),"0")+IFERROR(SUMPRODUCT(1/J90:J97*(W90:W97/H90:H97)),"0")+IFERROR(SUMPRODUCT(1/J101:J109*(W101:W109/H101:H109)),"0")+IFERROR(SUMPRODUCT(1/J113:J117*(W113:W117/H113:H117)),"0")+IFERROR(SUMPRODUCT(1/J122:J124*(W122:W124/H122:H124)),"0")+IFERROR(SUMPRODUCT(1/J130:J132*(W130:W132/H130:H132)),"0")+IFERROR(SUMPRODUCT(1/J137:J144*(W137:W144/H137:H144)),"0")+IFERROR(SUMPRODUCT(1/J149:J150*(W149:W150/H149:H150)),"0")+IFERROR(SUMPRODUCT(1/J154:J155*(W154:W155/H154:H155)),"0")+IFERROR(SUMPRODUCT(1/J159:J162*(W159:W162/H159:H162)),"0")+IFERROR(SUMPRODUCT(1/J166:J182*(W166:W182/H166:H182)),"0")+IFERROR(SUMPRODUCT(1/J186:J187*(W186:W187/H186:H187)),"0")+IFERROR(SUMPRODUCT(1/J192:J205*(W192:W205/H192:H205)),"0")+IFERROR(SUMPRODUCT(1/J209:J209*(W209:W209/H209:H209)),"0")+IFERROR(SUMPRODUCT(1/J213:J216*(W213:W216/H213:H216)),"0")+IFERROR(SUMPRODUCT(1/J220:J228*(W220:W228/H220:H228)),"0")+IFERROR(SUMPRODUCT(1/J232:J234*(W232:W234/H232:H234)),"0")+IFERROR(SUMPRODUCT(1/J238:J240*(W238:W240/H238:H240)),"0")+IFERROR(SUMPRODUCT(1/J244:J246*(W244:W246/H244:H246)),"0")+IFERROR(SUMPRODUCT(1/J251:J257*(W251:W257/H251:H257)),"0")+IFERROR(SUMPRODUCT(1/J261:J262*(W261:W262/H261:H262)),"0")+IFERROR(SUMPRODUCT(1/J267:J267*(W267:W267/H267:H267)),"0")+IFERROR(SUMPRODUCT(1/J271:J272*(W271:W272/H271:H272)),"0")+IFERROR(SUMPRODUCT(1/J276:J276*(W276:W276/H276:H276)),"0")+IFERROR(SUMPRODUCT(1/J280:J280*(W280:W280/H280:H280)),"0")+IFERROR(SUMPRODUCT(1/J286:J293*(W286:W293/H286:H293)),"0")+IFERROR(SUMPRODUCT(1/J297:J299*(W297:W299/H297:H299)),"0")+IFERROR(SUMPRODUCT(1/J303:J303*(W303:W303/H303:H303)),"0")+IFERROR(SUMPRODUCT(1/J307:J307*(W307:W307/H307:H307)),"0")+IFERROR(SUMPRODUCT(1/J312:J315*(W312:W315/H312:H315)),"0")+IFERROR(SUMPRODUCT(1/J319:J320*(W319:W320/H319:H320)),"0")+IFERROR(SUMPRODUCT(1/J324:J327*(W324:W327/H324:H327)),"0")+IFERROR(SUMPRODUCT(1/J331:J331*(W331:W331/H331:H331)),"0")+IFERROR(SUMPRODUCT(1/J337:J338*(W337:W338/H337:H338)),"0")+IFERROR(SUMPRODUCT(1/J342:J354*(W342:W354/H342:H354)),"0")+IFERROR(SUMPRODUCT(1/J358:J361*(W358:W361/H358:H361)),"0")+IFERROR(SUMPRODUCT(1/J365:J365*(W365:W365/H365:H365)),"0")+IFERROR(SUMPRODUCT(1/J369:J372*(W369:W372/H369:H372)),"0")+IFERROR(SUMPRODUCT(1/J376:J377*(W376:W377/H376:H377)),"0")+IFERROR(SUMPRODUCT(1/J382:J383*(W382:W383/H382:H383)),"0")+IFERROR(SUMPRODUCT(1/J387:J393*(W387:W393/H387:H393)),"0")+IFERROR(SUMPRODUCT(1/J397:J397*(W397:W397/H397:H397)),"0")+IFERROR(SUMPRODUCT(1/J403:J411*(W403:W411/H403:H411)),"0")+IFERROR(SUMPRODUCT(1/J415:J416*(W415:W416/H415:H416)),"0")+IFERROR(SUMPRODUCT(1/J420:J425*(W420:W425/H420:H425)),"0")+IFERROR(SUMPRODUCT(1/J429:J430*(W429:W430/H429:H430)),"0")+IFERROR(SUMPRODUCT(1/J436:J437*(W436:W437/H436:H437)),"0")+IFERROR(SUMPRODUCT(1/J441:J442*(W441:W442/H441:H442)),"0")+IFERROR(SUMPRODUCT(1/J446:J447*(W446:W447/H446:H447)),"0")+IFERROR(SUMPRODUCT(1/J451:J452*(W451:W452/H451:H452)),"0")+IFERROR(SUMPRODUCT(1/J457:J457*(W457:W457/H457:H457)),"0"),0)</f>
        <v/>
      </c>
      <c r="X462" s="43" t="n"/>
      <c r="Y462" s="677" t="n"/>
      <c r="Z462" s="677" t="n"/>
    </row>
    <row r="463">
      <c r="A463" s="313" t="n"/>
      <c r="B463" s="313" t="n"/>
      <c r="C463" s="313" t="n"/>
      <c r="D463" s="313" t="n"/>
      <c r="E463" s="313" t="n"/>
      <c r="F463" s="313" t="n"/>
      <c r="G463" s="313" t="n"/>
      <c r="H463" s="313" t="n"/>
      <c r="I463" s="313" t="n"/>
      <c r="J463" s="313" t="n"/>
      <c r="K463" s="313" t="n"/>
      <c r="L463" s="313" t="n"/>
      <c r="M463" s="634" t="n"/>
      <c r="N463" s="916" t="inlineStr">
        <is>
          <t>Вес брутто  с паллетами</t>
        </is>
      </c>
      <c r="O463" s="628" t="n"/>
      <c r="P463" s="628" t="n"/>
      <c r="Q463" s="628" t="n"/>
      <c r="R463" s="628" t="n"/>
      <c r="S463" s="628" t="n"/>
      <c r="T463" s="629" t="n"/>
      <c r="U463" s="43" t="inlineStr">
        <is>
          <t>кг</t>
        </is>
      </c>
      <c r="V463" s="676">
        <f>GrossWeightTotal+PalletQtyTotal*25</f>
        <v/>
      </c>
      <c r="W463" s="676">
        <f>GrossWeightTotalR+PalletQtyTotalR*25</f>
        <v/>
      </c>
      <c r="X463" s="43" t="n"/>
      <c r="Y463" s="677" t="n"/>
      <c r="Z463" s="677" t="n"/>
    </row>
    <row r="464">
      <c r="A464" s="313" t="n"/>
      <c r="B464" s="313" t="n"/>
      <c r="C464" s="313" t="n"/>
      <c r="D464" s="313" t="n"/>
      <c r="E464" s="313" t="n"/>
      <c r="F464" s="313" t="n"/>
      <c r="G464" s="313" t="n"/>
      <c r="H464" s="313" t="n"/>
      <c r="I464" s="313" t="n"/>
      <c r="J464" s="313" t="n"/>
      <c r="K464" s="313" t="n"/>
      <c r="L464" s="313" t="n"/>
      <c r="M464" s="634" t="n"/>
      <c r="N464" s="916" t="inlineStr">
        <is>
          <t>Кол-во коробок</t>
        </is>
      </c>
      <c r="O464" s="628" t="n"/>
      <c r="P464" s="628" t="n"/>
      <c r="Q464" s="628" t="n"/>
      <c r="R464" s="628" t="n"/>
      <c r="S464" s="628" t="n"/>
      <c r="T464" s="629" t="n"/>
      <c r="U464" s="43" t="inlineStr">
        <is>
          <t>шт</t>
        </is>
      </c>
      <c r="V464" s="676">
        <f>IFERROR(V23+V32+V36+V40+V44+V50+V58+V77+V87+V98+V110+V118+V125+V133+V145+V151+V156+V163+V183+V188+V206+V210+V217+V229+V235+V241+V247+V258+V263+V268+V273+V277+V281+V294+V300+V304+V308+V316+V321+V328+V332+V339+V355+V362+V366+V373+V378+V384+V394+V398+V412+V417+V426+V431+V438+V443+V448+V453+V458,"0")</f>
        <v/>
      </c>
      <c r="W464" s="676">
        <f>IFERROR(W23+W32+W36+W40+W44+W50+W58+W77+W87+W98+W110+W118+W125+W133+W145+W151+W156+W163+W183+W188+W206+W210+W217+W229+W235+W241+W247+W258+W263+W268+W273+W277+W281+W294+W300+W304+W308+W316+W321+W328+W332+W339+W355+W362+W366+W373+W378+W384+W394+W398+W412+W417+W426+W431+W438+W443+W448+W453+W458,"0")</f>
        <v/>
      </c>
      <c r="X464" s="43" t="n"/>
      <c r="Y464" s="677" t="n"/>
      <c r="Z464" s="677" t="n"/>
    </row>
    <row r="465" ht="14.25" customHeight="1">
      <c r="A465" s="313" t="n"/>
      <c r="B465" s="313" t="n"/>
      <c r="C465" s="313" t="n"/>
      <c r="D465" s="313" t="n"/>
      <c r="E465" s="313" t="n"/>
      <c r="F465" s="313" t="n"/>
      <c r="G465" s="313" t="n"/>
      <c r="H465" s="313" t="n"/>
      <c r="I465" s="313" t="n"/>
      <c r="J465" s="313" t="n"/>
      <c r="K465" s="313" t="n"/>
      <c r="L465" s="313" t="n"/>
      <c r="M465" s="634" t="n"/>
      <c r="N465" s="916" t="inlineStr">
        <is>
          <t>Объем заказа</t>
        </is>
      </c>
      <c r="O465" s="628" t="n"/>
      <c r="P465" s="628" t="n"/>
      <c r="Q465" s="628" t="n"/>
      <c r="R465" s="628" t="n"/>
      <c r="S465" s="628" t="n"/>
      <c r="T465" s="629" t="n"/>
      <c r="U465" s="46" t="inlineStr">
        <is>
          <t>м3</t>
        </is>
      </c>
      <c r="V465" s="43" t="n"/>
      <c r="W465" s="43" t="n"/>
      <c r="X465" s="43">
        <f>IFERROR(X23+X32+X36+X40+X44+X50+X58+X77+X87+X98+X110+X118+X125+X133+X145+X151+X156+X163+X183+X188+X206+X210+X217+X229+X235+X241+X247+X258+X263+X268+X273+X277+X281+X294+X300+X304+X308+X316+X321+X328+X332+X339+X355+X362+X366+X373+X378+X384+X394+X398+X412+X417+X426+X431+X438+X443+X448+X453+X458,"0")</f>
        <v/>
      </c>
      <c r="Y465" s="677" t="n"/>
      <c r="Z465" s="677" t="n"/>
    </row>
    <row r="466" ht="13.5" customHeight="1" thickBot="1"/>
    <row r="467" ht="27" customHeight="1" thickBot="1" thickTop="1">
      <c r="A467" s="47" t="inlineStr">
        <is>
          <t>ТОРГОВАЯ МАРКА</t>
        </is>
      </c>
      <c r="B467" s="312" t="inlineStr">
        <is>
          <t>Ядрена копоть</t>
        </is>
      </c>
      <c r="C467" s="312" t="inlineStr">
        <is>
          <t>Вязанка</t>
        </is>
      </c>
      <c r="D467" s="917" t="n"/>
      <c r="E467" s="917" t="n"/>
      <c r="F467" s="918" t="n"/>
      <c r="G467" s="312" t="inlineStr">
        <is>
          <t>Стародворье</t>
        </is>
      </c>
      <c r="H467" s="917" t="n"/>
      <c r="I467" s="917" t="n"/>
      <c r="J467" s="917" t="n"/>
      <c r="K467" s="917" t="n"/>
      <c r="L467" s="917" t="n"/>
      <c r="M467" s="918" t="n"/>
      <c r="N467" s="312" t="inlineStr">
        <is>
          <t>Особый рецепт</t>
        </is>
      </c>
      <c r="O467" s="918" t="n"/>
      <c r="P467" s="312" t="inlineStr">
        <is>
          <t>Баварушка</t>
        </is>
      </c>
      <c r="Q467" s="918" t="n"/>
      <c r="R467" s="312" t="inlineStr">
        <is>
          <t>Дугушка</t>
        </is>
      </c>
      <c r="S467" s="312" t="inlineStr">
        <is>
          <t>Зареченские</t>
        </is>
      </c>
      <c r="T467" s="918" t="n"/>
      <c r="U467" s="313" t="n"/>
      <c r="Z467" s="61" t="n"/>
      <c r="AC467" s="313" t="n"/>
    </row>
    <row r="468" ht="14.25" customHeight="1" thickTop="1">
      <c r="A468" s="314" t="inlineStr">
        <is>
          <t>СЕРИЯ</t>
        </is>
      </c>
      <c r="B468" s="312" t="inlineStr">
        <is>
          <t>Ядрена копоть</t>
        </is>
      </c>
      <c r="C468" s="312" t="inlineStr">
        <is>
          <t>Столичная</t>
        </is>
      </c>
      <c r="D468" s="312" t="inlineStr">
        <is>
          <t>Классическая</t>
        </is>
      </c>
      <c r="E468" s="312" t="inlineStr">
        <is>
          <t>Вязанка</t>
        </is>
      </c>
      <c r="F468" s="312" t="inlineStr">
        <is>
          <t>Сливушки</t>
        </is>
      </c>
      <c r="G468" s="312" t="inlineStr">
        <is>
          <t>Золоченная в печи</t>
        </is>
      </c>
      <c r="H468" s="312" t="inlineStr">
        <is>
          <t>Мясорубская</t>
        </is>
      </c>
      <c r="I468" s="312" t="inlineStr">
        <is>
          <t>Сочинка</t>
        </is>
      </c>
      <c r="J468" s="312" t="inlineStr">
        <is>
          <t>Бордо</t>
        </is>
      </c>
      <c r="K468" s="313" t="n"/>
      <c r="L468" s="312" t="inlineStr">
        <is>
          <t>Фирменная</t>
        </is>
      </c>
      <c r="M468" s="312" t="inlineStr">
        <is>
          <t>Бавария</t>
        </is>
      </c>
      <c r="N468" s="312" t="inlineStr">
        <is>
          <t>Особая</t>
        </is>
      </c>
      <c r="O468" s="312" t="inlineStr">
        <is>
          <t>Особая Без свинины</t>
        </is>
      </c>
      <c r="P468" s="312" t="inlineStr">
        <is>
          <t>Филейбургская</t>
        </is>
      </c>
      <c r="Q468" s="312" t="inlineStr">
        <is>
          <t>Балыкбургская</t>
        </is>
      </c>
      <c r="R468" s="312" t="inlineStr">
        <is>
          <t>Дугушка</t>
        </is>
      </c>
      <c r="S468" s="312" t="inlineStr">
        <is>
          <t>Зареченские продукты</t>
        </is>
      </c>
      <c r="T468" s="312" t="inlineStr">
        <is>
          <t>Выгодная цена</t>
        </is>
      </c>
      <c r="U468" s="313" t="n"/>
      <c r="Z468" s="61" t="n"/>
      <c r="AC468" s="313" t="n"/>
    </row>
    <row r="469" ht="13.5" customHeight="1" thickBot="1">
      <c r="A469" s="919" t="n"/>
      <c r="B469" s="920" t="n"/>
      <c r="C469" s="920" t="n"/>
      <c r="D469" s="920" t="n"/>
      <c r="E469" s="920" t="n"/>
      <c r="F469" s="920" t="n"/>
      <c r="G469" s="920" t="n"/>
      <c r="H469" s="920" t="n"/>
      <c r="I469" s="920" t="n"/>
      <c r="J469" s="920" t="n"/>
      <c r="K469" s="313" t="n"/>
      <c r="L469" s="920" t="n"/>
      <c r="M469" s="920" t="n"/>
      <c r="N469" s="920" t="n"/>
      <c r="O469" s="920" t="n"/>
      <c r="P469" s="920" t="n"/>
      <c r="Q469" s="920" t="n"/>
      <c r="R469" s="920" t="n"/>
      <c r="S469" s="920" t="n"/>
      <c r="T469" s="920" t="n"/>
      <c r="U469" s="313" t="n"/>
      <c r="Z469" s="61" t="n"/>
      <c r="AC469" s="313" t="n"/>
    </row>
    <row r="470" ht="18" customHeight="1" thickBot="1" thickTop="1">
      <c r="A470" s="47" t="inlineStr">
        <is>
          <t>ИТОГО, кг</t>
        </is>
      </c>
      <c r="B470" s="53">
        <f>IFERROR(W22*1,"0")+IFERROR(W26*1,"0")+IFERROR(W27*1,"0")+IFERROR(W28*1,"0")+IFERROR(W29*1,"0")+IFERROR(W30*1,"0")+IFERROR(W31*1,"0")+IFERROR(W35*1,"0")+IFERROR(W39*1,"0")+IFERROR(W43*1,"0")</f>
        <v/>
      </c>
      <c r="C470" s="53">
        <f>IFERROR(W49*1,"0")</f>
        <v/>
      </c>
      <c r="D470" s="53">
        <f>IFERROR(W54*1,"0")+IFERROR(W55*1,"0")+IFERROR(W56*1,"0")+IFERROR(W57*1,"0")</f>
        <v/>
      </c>
      <c r="E470" s="53">
        <f>IFERROR(W62*1,"0")+IFERROR(W63*1,"0")+IFERROR(W64*1,"0")+IFERROR(W65*1,"0")+IFERROR(W66*1,"0")+IFERROR(W67*1,"0")+IFERROR(W68*1,"0")+IFERROR(W69*1,"0")+IFERROR(W70*1,"0")+IFERROR(W71*1,"0")+IFERROR(W72*1,"0")+IFERROR(W73*1,"0")+IFERROR(W74*1,"0")+IFERROR(W75*1,"0")+IFERROR(W76*1,"0")+IFERROR(W80*1,"0")+IFERROR(W81*1,"0")+IFERROR(W82*1,"0")+IFERROR(W83*1,"0")+IFERROR(W84*1,"0")+IFERROR(W85*1,"0")+IFERROR(W86*1,"0")+IFERROR(W90*1,"0")+IFERROR(W91*1,"0")+IFERROR(W92*1,"0")+IFERROR(W93*1,"0")+IFERROR(W94*1,"0")+IFERROR(W95*1,"0")+IFERROR(W96*1,"0")+IFERROR(W97*1,"0")+IFERROR(W101*1,"0")+IFERROR(W102*1,"0")+IFERROR(W103*1,"0")+IFERROR(W104*1,"0")+IFERROR(W105*1,"0")+IFERROR(W106*1,"0")+IFERROR(W107*1,"0")+IFERROR(W108*1,"0")+IFERROR(W109*1,"0")+IFERROR(W113*1,"0")+IFERROR(W114*1,"0")+IFERROR(W115*1,"0")+IFERROR(W116*1,"0")+IFERROR(W117*1,"0")</f>
        <v/>
      </c>
      <c r="F470" s="53">
        <f>IFERROR(W122*1,"0")+IFERROR(W123*1,"0")+IFERROR(W124*1,"0")</f>
        <v/>
      </c>
      <c r="G470" s="53">
        <f>IFERROR(W130*1,"0")+IFERROR(W131*1,"0")+IFERROR(W132*1,"0")</f>
        <v/>
      </c>
      <c r="H470" s="53">
        <f>IFERROR(W137*1,"0")+IFERROR(W138*1,"0")+IFERROR(W139*1,"0")+IFERROR(W140*1,"0")+IFERROR(W141*1,"0")+IFERROR(W142*1,"0")+IFERROR(W143*1,"0")+IFERROR(W144*1,"0")</f>
        <v/>
      </c>
      <c r="I470" s="53">
        <f>IFERROR(W149*1,"0")+IFERROR(W150*1,"0")+IFERROR(W154*1,"0")+IFERROR(W155*1,"0")+IFERROR(W159*1,"0")+IFERROR(W160*1,"0")+IFERROR(W161*1,"0")+IFERROR(W162*1,"0")+IFERROR(W166*1,"0")+IFERROR(W167*1,"0")+IFERROR(W168*1,"0")+IFERROR(W169*1,"0")+IFERROR(W170*1,"0")+IFERROR(W171*1,"0")+IFERROR(W172*1,"0")+IFERROR(W173*1,"0")+IFERROR(W174*1,"0")+IFERROR(W175*1,"0")+IFERROR(W176*1,"0")+IFERROR(W177*1,"0")+IFERROR(W178*1,"0")+IFERROR(W179*1,"0")+IFERROR(W180*1,"0")+IFERROR(W181*1,"0")+IFERROR(W182*1,"0")+IFERROR(W186*1,"0")+IFERROR(W187*1,"0")</f>
        <v/>
      </c>
      <c r="J470" s="53">
        <f>IFERROR(W192*1,"0")+IFERROR(W193*1,"0")+IFERROR(W194*1,"0")+IFERROR(W195*1,"0")+IFERROR(W196*1,"0")+IFERROR(W197*1,"0")+IFERROR(W198*1,"0")+IFERROR(W199*1,"0")+IFERROR(W200*1,"0")+IFERROR(W201*1,"0")+IFERROR(W202*1,"0")+IFERROR(W203*1,"0")+IFERROR(W204*1,"0")+IFERROR(W205*1,"0")+IFERROR(W209*1,"0")+IFERROR(W213*1,"0")+IFERROR(W214*1,"0")+IFERROR(W215*1,"0")+IFERROR(W216*1,"0")+IFERROR(W220*1,"0")+IFERROR(W221*1,"0")+IFERROR(W222*1,"0")+IFERROR(W223*1,"0")+IFERROR(W224*1,"0")+IFERROR(W225*1,"0")+IFERROR(W226*1,"0")+IFERROR(W227*1,"0")+IFERROR(W228*1,"0")+IFERROR(W232*1,"0")+IFERROR(W233*1,"0")+IFERROR(W234*1,"0")+IFERROR(W238*1,"0")+IFERROR(W239*1,"0")+IFERROR(W240*1,"0")+IFERROR(W244*1,"0")+IFERROR(W245*1,"0")+IFERROR(W246*1,"0")</f>
        <v/>
      </c>
      <c r="K470" s="313" t="n"/>
      <c r="L470" s="53">
        <f>IFERROR(W251*1,"0")+IFERROR(W252*1,"0")+IFERROR(W253*1,"0")+IFERROR(W254*1,"0")+IFERROR(W255*1,"0")+IFERROR(W256*1,"0")+IFERROR(W257*1,"0")+IFERROR(W261*1,"0")+IFERROR(W262*1,"0")</f>
        <v/>
      </c>
      <c r="M470" s="53">
        <f>IFERROR(W267*1,"0")+IFERROR(W271*1,"0")+IFERROR(W272*1,"0")+IFERROR(W276*1,"0")+IFERROR(W280*1,"0")</f>
        <v/>
      </c>
      <c r="N470" s="53">
        <f>IFERROR(W286*1,"0")+IFERROR(W287*1,"0")+IFERROR(W288*1,"0")+IFERROR(W289*1,"0")+IFERROR(W290*1,"0")+IFERROR(W291*1,"0")+IFERROR(W292*1,"0")+IFERROR(W293*1,"0")+IFERROR(W297*1,"0")+IFERROR(W298*1,"0")+IFERROR(W299*1,"0")+IFERROR(W303*1,"0")+IFERROR(W307*1,"0")</f>
        <v/>
      </c>
      <c r="O470" s="53">
        <f>IFERROR(W312*1,"0")+IFERROR(W313*1,"0")+IFERROR(W314*1,"0")+IFERROR(W315*1,"0")+IFERROR(W319*1,"0")+IFERROR(W320*1,"0")+IFERROR(W324*1,"0")+IFERROR(W325*1,"0")+IFERROR(W326*1,"0")+IFERROR(W327*1,"0")+IFERROR(W331*1,"0")</f>
        <v/>
      </c>
      <c r="P470" s="53">
        <f>IFERROR(W337*1,"0")+IFERROR(W338*1,"0")+IFERROR(W342*1,"0")+IFERROR(W343*1,"0")+IFERROR(W344*1,"0")+IFERROR(W345*1,"0")+IFERROR(W346*1,"0")+IFERROR(W347*1,"0")+IFERROR(W348*1,"0")+IFERROR(W349*1,"0")+IFERROR(W350*1,"0")+IFERROR(W351*1,"0")+IFERROR(W352*1,"0")+IFERROR(W353*1,"0")+IFERROR(W354*1,"0")+IFERROR(W358*1,"0")+IFERROR(W359*1,"0")+IFERROR(W360*1,"0")+IFERROR(W361*1,"0")+IFERROR(W365*1,"0")+IFERROR(W369*1,"0")+IFERROR(W370*1,"0")+IFERROR(W371*1,"0")+IFERROR(W372*1,"0")+IFERROR(W376*1,"0")+IFERROR(W377*1,"0")</f>
        <v/>
      </c>
      <c r="Q470" s="53">
        <f>IFERROR(W382*1,"0")+IFERROR(W383*1,"0")+IFERROR(W387*1,"0")+IFERROR(W388*1,"0")+IFERROR(W389*1,"0")+IFERROR(W390*1,"0")+IFERROR(W391*1,"0")+IFERROR(W392*1,"0")+IFERROR(W393*1,"0")+IFERROR(W397*1,"0")</f>
        <v/>
      </c>
      <c r="R470" s="53">
        <f>IFERROR(W403*1,"0")+IFERROR(W404*1,"0")+IFERROR(W405*1,"0")+IFERROR(W406*1,"0")+IFERROR(W407*1,"0")+IFERROR(W408*1,"0")+IFERROR(W409*1,"0")+IFERROR(W410*1,"0")+IFERROR(W411*1,"0")+IFERROR(W415*1,"0")+IFERROR(W416*1,"0")+IFERROR(W420*1,"0")+IFERROR(W421*1,"0")+IFERROR(W422*1,"0")+IFERROR(W423*1,"0")+IFERROR(W424*1,"0")+IFERROR(W425*1,"0")+IFERROR(W429*1,"0")+IFERROR(W430*1,"0")</f>
        <v/>
      </c>
      <c r="S470" s="53">
        <f>IFERROR(W436*1,"0")+IFERROR(W437*1,"0")+IFERROR(W441*1,"0")+IFERROR(W442*1,"0")+IFERROR(W446*1,"0")+IFERROR(W447*1,"0")+IFERROR(W451*1,"0")+IFERROR(W452*1,"0")</f>
        <v/>
      </c>
      <c r="T470" s="53">
        <f>IFERROR(W457*1,"0")</f>
        <v/>
      </c>
      <c r="U470" s="313" t="n"/>
      <c r="Z470" s="61" t="n"/>
      <c r="AC470" s="313" t="n"/>
    </row>
    <row r="471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pFtdgDlj705/W2IQ7xpBmw==" formatRows="1" sort="0" spinCount="100000" hashValue="eS0ytoSh5NdJ9AXP8GqGHIhhqFpAtYE2lK7GVZWFmHLoZ4YOeJrAptO310WHyPbe90/r7djFsv8jFE5ESFI35A=="/>
  <autoFilter ref="B18:X18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835">
    <mergeCell ref="N315:R315"/>
    <mergeCell ref="N144:R144"/>
    <mergeCell ref="D187:E187"/>
    <mergeCell ref="D423:E423"/>
    <mergeCell ref="N87:T87"/>
    <mergeCell ref="D174:E174"/>
    <mergeCell ref="N258:T258"/>
    <mergeCell ref="N329:T329"/>
    <mergeCell ref="D410:E410"/>
    <mergeCell ref="A419:X419"/>
    <mergeCell ref="A36:M37"/>
    <mergeCell ref="N24:T24"/>
    <mergeCell ref="H9:I9"/>
    <mergeCell ref="N267:R267"/>
    <mergeCell ref="N453:T453"/>
    <mergeCell ref="D297:E297"/>
    <mergeCell ref="N155:R155"/>
    <mergeCell ref="N93:R93"/>
    <mergeCell ref="A468:A469"/>
    <mergeCell ref="N391:R391"/>
    <mergeCell ref="D70:E70"/>
    <mergeCell ref="D312:E312"/>
    <mergeCell ref="A273:M274"/>
    <mergeCell ref="N170:R170"/>
    <mergeCell ref="D238:E238"/>
    <mergeCell ref="N262:R262"/>
    <mergeCell ref="A38:X38"/>
    <mergeCell ref="N184:T184"/>
    <mergeCell ref="A147:X147"/>
    <mergeCell ref="D205:E205"/>
    <mergeCell ref="D376:E376"/>
    <mergeCell ref="A445:X445"/>
    <mergeCell ref="N172:R172"/>
    <mergeCell ref="N28:R28"/>
    <mergeCell ref="N199:R199"/>
    <mergeCell ref="N392:R392"/>
    <mergeCell ref="D71:E71"/>
    <mergeCell ref="N186:R186"/>
    <mergeCell ref="N457:R457"/>
    <mergeCell ref="D307:E307"/>
    <mergeCell ref="N30:R30"/>
    <mergeCell ref="A431:M432"/>
    <mergeCell ref="D73:E73"/>
    <mergeCell ref="A275:X275"/>
    <mergeCell ref="N44:T44"/>
    <mergeCell ref="T468:T469"/>
    <mergeCell ref="H5:L5"/>
    <mergeCell ref="N409:R409"/>
    <mergeCell ref="N257:R257"/>
    <mergeCell ref="N448:T448"/>
    <mergeCell ref="N104:R104"/>
    <mergeCell ref="N175:R175"/>
    <mergeCell ref="N346:R346"/>
    <mergeCell ref="B17:B18"/>
    <mergeCell ref="N54:R54"/>
    <mergeCell ref="D131:E131"/>
    <mergeCell ref="N106:R106"/>
    <mergeCell ref="N404:R404"/>
    <mergeCell ref="A50:M51"/>
    <mergeCell ref="A158:X158"/>
    <mergeCell ref="N81:R81"/>
    <mergeCell ref="N56:R56"/>
    <mergeCell ref="T10:U10"/>
    <mergeCell ref="D124:E124"/>
    <mergeCell ref="N252:R252"/>
    <mergeCell ref="D195:E195"/>
    <mergeCell ref="D360:E360"/>
    <mergeCell ref="A378:M379"/>
    <mergeCell ref="D287:E287"/>
    <mergeCell ref="A440:X440"/>
    <mergeCell ref="D66:E66"/>
    <mergeCell ref="N355:T355"/>
    <mergeCell ref="N181:R181"/>
    <mergeCell ref="A135:X135"/>
    <mergeCell ref="N32:T32"/>
    <mergeCell ref="D197:E197"/>
    <mergeCell ref="D253:E253"/>
    <mergeCell ref="A433:X433"/>
    <mergeCell ref="N134:T134"/>
    <mergeCell ref="N268:T268"/>
    <mergeCell ref="D289:E289"/>
    <mergeCell ref="D351:E351"/>
    <mergeCell ref="N395:T395"/>
    <mergeCell ref="D411:E411"/>
    <mergeCell ref="W17:W18"/>
    <mergeCell ref="A435:X435"/>
    <mergeCell ref="N332:T332"/>
    <mergeCell ref="N459:T459"/>
    <mergeCell ref="N178:R178"/>
    <mergeCell ref="N98:T98"/>
    <mergeCell ref="A373:M374"/>
    <mergeCell ref="D142:E142"/>
    <mergeCell ref="N461:T461"/>
    <mergeCell ref="N49:R49"/>
    <mergeCell ref="N359:R359"/>
    <mergeCell ref="R6:S9"/>
    <mergeCell ref="D365:E365"/>
    <mergeCell ref="N2:U3"/>
    <mergeCell ref="A61:X61"/>
    <mergeCell ref="BA17:BA18"/>
    <mergeCell ref="D144:E144"/>
    <mergeCell ref="D315:E315"/>
    <mergeCell ref="A153:X153"/>
    <mergeCell ref="D442:E442"/>
    <mergeCell ref="N113:R113"/>
    <mergeCell ref="N173:R173"/>
    <mergeCell ref="D429:E429"/>
    <mergeCell ref="N271:R271"/>
    <mergeCell ref="N94:R94"/>
    <mergeCell ref="D81:E81"/>
    <mergeCell ref="A212:X212"/>
    <mergeCell ref="AA17:AC18"/>
    <mergeCell ref="A283:X283"/>
    <mergeCell ref="A375:X375"/>
    <mergeCell ref="N118:T118"/>
    <mergeCell ref="D139:E139"/>
    <mergeCell ref="D406:E406"/>
    <mergeCell ref="N45:T45"/>
    <mergeCell ref="A285:X285"/>
    <mergeCell ref="A341:X341"/>
    <mergeCell ref="N281:T281"/>
    <mergeCell ref="A306:X306"/>
    <mergeCell ref="N62:R62"/>
    <mergeCell ref="N126:T126"/>
    <mergeCell ref="N218:T218"/>
    <mergeCell ref="A384:M385"/>
    <mergeCell ref="N176:R176"/>
    <mergeCell ref="N347:R347"/>
    <mergeCell ref="A163:M164"/>
    <mergeCell ref="D214:E214"/>
    <mergeCell ref="N64:R64"/>
    <mergeCell ref="A294:M295"/>
    <mergeCell ref="A321:M322"/>
    <mergeCell ref="N349:R349"/>
    <mergeCell ref="D28:E28"/>
    <mergeCell ref="D326:E326"/>
    <mergeCell ref="D313:E313"/>
    <mergeCell ref="N220:R220"/>
    <mergeCell ref="D117:E117"/>
    <mergeCell ref="D92:E92"/>
    <mergeCell ref="D55:E55"/>
    <mergeCell ref="D30:E30"/>
    <mergeCell ref="N407:R407"/>
    <mergeCell ref="D353:E353"/>
    <mergeCell ref="N195:R195"/>
    <mergeCell ref="D67:E67"/>
    <mergeCell ref="D5:E5"/>
    <mergeCell ref="N111:T111"/>
    <mergeCell ref="D303:E303"/>
    <mergeCell ref="N222:R222"/>
    <mergeCell ref="D290:E290"/>
    <mergeCell ref="D94:E94"/>
    <mergeCell ref="D361:E361"/>
    <mergeCell ref="A296:X296"/>
    <mergeCell ref="N197:R197"/>
    <mergeCell ref="D69:E69"/>
    <mergeCell ref="N119:T119"/>
    <mergeCell ref="N211:T211"/>
    <mergeCell ref="D354:E354"/>
    <mergeCell ref="A241:M242"/>
    <mergeCell ref="O10:P10"/>
    <mergeCell ref="N398:T398"/>
    <mergeCell ref="A412:M413"/>
    <mergeCell ref="G468:G469"/>
    <mergeCell ref="I468:I469"/>
    <mergeCell ref="P467:Q467"/>
    <mergeCell ref="N75:R75"/>
    <mergeCell ref="N342:R342"/>
    <mergeCell ref="N298:R298"/>
    <mergeCell ref="N206:T206"/>
    <mergeCell ref="A302:X302"/>
    <mergeCell ref="N102:R102"/>
    <mergeCell ref="D387:E387"/>
    <mergeCell ref="D272:E272"/>
    <mergeCell ref="D8:L8"/>
    <mergeCell ref="N39:R39"/>
    <mergeCell ref="N166:R166"/>
    <mergeCell ref="N337:R337"/>
    <mergeCell ref="N188:T188"/>
    <mergeCell ref="D209:E209"/>
    <mergeCell ref="N116:R116"/>
    <mergeCell ref="D245:E245"/>
    <mergeCell ref="D122:E122"/>
    <mergeCell ref="N352:R352"/>
    <mergeCell ref="N103:R103"/>
    <mergeCell ref="D224:E224"/>
    <mergeCell ref="F468:F469"/>
    <mergeCell ref="N295:T295"/>
    <mergeCell ref="D382:E382"/>
    <mergeCell ref="D1:F1"/>
    <mergeCell ref="N432:T432"/>
    <mergeCell ref="A125:M126"/>
    <mergeCell ref="A77:M78"/>
    <mergeCell ref="N282:T282"/>
    <mergeCell ref="H468:H469"/>
    <mergeCell ref="J17:J18"/>
    <mergeCell ref="D82:E82"/>
    <mergeCell ref="L17:L18"/>
    <mergeCell ref="A284:X284"/>
    <mergeCell ref="A455:X455"/>
    <mergeCell ref="D240:E240"/>
    <mergeCell ref="N226:R226"/>
    <mergeCell ref="N417:T417"/>
    <mergeCell ref="N65:R65"/>
    <mergeCell ref="N192:R192"/>
    <mergeCell ref="N228:R228"/>
    <mergeCell ref="A458:M459"/>
    <mergeCell ref="N17:R18"/>
    <mergeCell ref="N415:R415"/>
    <mergeCell ref="A110:M111"/>
    <mergeCell ref="O6:P6"/>
    <mergeCell ref="N63:R63"/>
    <mergeCell ref="N365:R365"/>
    <mergeCell ref="N221:R221"/>
    <mergeCell ref="N292:R292"/>
    <mergeCell ref="D31:E31"/>
    <mergeCell ref="N286:R286"/>
    <mergeCell ref="N379:T379"/>
    <mergeCell ref="A339:M340"/>
    <mergeCell ref="N131:R131"/>
    <mergeCell ref="N300:T300"/>
    <mergeCell ref="D108:E108"/>
    <mergeCell ref="N429:R429"/>
    <mergeCell ref="N223:R223"/>
    <mergeCell ref="D369:E369"/>
    <mergeCell ref="A453:M454"/>
    <mergeCell ref="N350:R350"/>
    <mergeCell ref="N145:T145"/>
    <mergeCell ref="N443:T443"/>
    <mergeCell ref="D160:E160"/>
    <mergeCell ref="I17:I18"/>
    <mergeCell ref="D141:E141"/>
    <mergeCell ref="D377:E377"/>
    <mergeCell ref="T12:U12"/>
    <mergeCell ref="N301:T301"/>
    <mergeCell ref="N51:T51"/>
    <mergeCell ref="D72:E72"/>
    <mergeCell ref="A323:X323"/>
    <mergeCell ref="N383:R383"/>
    <mergeCell ref="D451:E451"/>
    <mergeCell ref="D255:E255"/>
    <mergeCell ref="A23:M24"/>
    <mergeCell ref="N278:T278"/>
    <mergeCell ref="A308:M309"/>
    <mergeCell ref="O11:P11"/>
    <mergeCell ref="N149:R149"/>
    <mergeCell ref="N205:R205"/>
    <mergeCell ref="N314:R314"/>
    <mergeCell ref="N376:R376"/>
    <mergeCell ref="N447:R447"/>
    <mergeCell ref="A6:C6"/>
    <mergeCell ref="N124:R124"/>
    <mergeCell ref="D113:E113"/>
    <mergeCell ref="N422:R422"/>
    <mergeCell ref="N360:R360"/>
    <mergeCell ref="AD17:AD18"/>
    <mergeCell ref="N142:R142"/>
    <mergeCell ref="N80:R80"/>
    <mergeCell ref="D26:E26"/>
    <mergeCell ref="N403:R403"/>
    <mergeCell ref="D324:E324"/>
    <mergeCell ref="N55:R55"/>
    <mergeCell ref="D115:E115"/>
    <mergeCell ref="N424:R424"/>
    <mergeCell ref="N411:R411"/>
    <mergeCell ref="D90:E90"/>
    <mergeCell ref="D261:E261"/>
    <mergeCell ref="N367:T367"/>
    <mergeCell ref="A25:X25"/>
    <mergeCell ref="D388:E388"/>
    <mergeCell ref="N438:T438"/>
    <mergeCell ref="N133:T133"/>
    <mergeCell ref="D390:E390"/>
    <mergeCell ref="N418:T418"/>
    <mergeCell ref="N436:R436"/>
    <mergeCell ref="A5:C5"/>
    <mergeCell ref="N356:T356"/>
    <mergeCell ref="N71:R71"/>
    <mergeCell ref="N307:R307"/>
    <mergeCell ref="A263:M264"/>
    <mergeCell ref="D179:E179"/>
    <mergeCell ref="D166:E166"/>
    <mergeCell ref="D337:E337"/>
    <mergeCell ref="N73:R73"/>
    <mergeCell ref="N244:R244"/>
    <mergeCell ref="N437:R437"/>
    <mergeCell ref="N164:T164"/>
    <mergeCell ref="A17:A18"/>
    <mergeCell ref="K17:K18"/>
    <mergeCell ref="A20:X20"/>
    <mergeCell ref="C17:C18"/>
    <mergeCell ref="A318:X318"/>
    <mergeCell ref="D103:E103"/>
    <mergeCell ref="N358:R358"/>
    <mergeCell ref="A112:X112"/>
    <mergeCell ref="N371:R371"/>
    <mergeCell ref="D168:E168"/>
    <mergeCell ref="N137:R137"/>
    <mergeCell ref="D9:E9"/>
    <mergeCell ref="D180:E180"/>
    <mergeCell ref="A258:M259"/>
    <mergeCell ref="F9:G9"/>
    <mergeCell ref="A127:X127"/>
    <mergeCell ref="A249:X249"/>
    <mergeCell ref="D167:E167"/>
    <mergeCell ref="N289:R289"/>
    <mergeCell ref="N189:T189"/>
    <mergeCell ref="D161:E161"/>
    <mergeCell ref="N322:T322"/>
    <mergeCell ref="D232:E232"/>
    <mergeCell ref="D403:E403"/>
    <mergeCell ref="N309:T309"/>
    <mergeCell ref="A191:X191"/>
    <mergeCell ref="D169:E169"/>
    <mergeCell ref="A58:M59"/>
    <mergeCell ref="N146:T146"/>
    <mergeCell ref="N86:R86"/>
    <mergeCell ref="N317:T317"/>
    <mergeCell ref="N213:R213"/>
    <mergeCell ref="D63:E63"/>
    <mergeCell ref="N304:T304"/>
    <mergeCell ref="N150:R150"/>
    <mergeCell ref="N255:R255"/>
    <mergeCell ref="D96:E96"/>
    <mergeCell ref="N326:R326"/>
    <mergeCell ref="D350:E350"/>
    <mergeCell ref="A118:M119"/>
    <mergeCell ref="D27:E27"/>
    <mergeCell ref="N15:R16"/>
    <mergeCell ref="D325:E325"/>
    <mergeCell ref="P468:P469"/>
    <mergeCell ref="R468:R469"/>
    <mergeCell ref="D116:E116"/>
    <mergeCell ref="N464:T464"/>
    <mergeCell ref="D352:E352"/>
    <mergeCell ref="N194:R194"/>
    <mergeCell ref="D91:E91"/>
    <mergeCell ref="D162:E162"/>
    <mergeCell ref="N439:T439"/>
    <mergeCell ref="D327:E327"/>
    <mergeCell ref="A231:X231"/>
    <mergeCell ref="N452:R452"/>
    <mergeCell ref="N37:T37"/>
    <mergeCell ref="D106:E106"/>
    <mergeCell ref="D416:E416"/>
    <mergeCell ref="D93:E93"/>
    <mergeCell ref="D220:E220"/>
    <mergeCell ref="D391:E391"/>
    <mergeCell ref="A400:X400"/>
    <mergeCell ref="N235:T235"/>
    <mergeCell ref="A310:X310"/>
    <mergeCell ref="A44:M45"/>
    <mergeCell ref="A402:X402"/>
    <mergeCell ref="D251:E251"/>
    <mergeCell ref="N397:R397"/>
    <mergeCell ref="D343:E343"/>
    <mergeCell ref="N74:R74"/>
    <mergeCell ref="N372:R372"/>
    <mergeCell ref="D182:E182"/>
    <mergeCell ref="N88:T88"/>
    <mergeCell ref="N101:R101"/>
    <mergeCell ref="D109:E109"/>
    <mergeCell ref="N259:T259"/>
    <mergeCell ref="D280:E280"/>
    <mergeCell ref="D345:E345"/>
    <mergeCell ref="N138:R138"/>
    <mergeCell ref="N76:R76"/>
    <mergeCell ref="T5:U5"/>
    <mergeCell ref="N174:R174"/>
    <mergeCell ref="A128:X128"/>
    <mergeCell ref="U17:U18"/>
    <mergeCell ref="D246:E246"/>
    <mergeCell ref="A268:M269"/>
    <mergeCell ref="N361:R361"/>
    <mergeCell ref="A364:X364"/>
    <mergeCell ref="D233:E233"/>
    <mergeCell ref="D338:E338"/>
    <mergeCell ref="D409:E409"/>
    <mergeCell ref="N140:R140"/>
    <mergeCell ref="A136:X136"/>
    <mergeCell ref="A21:X21"/>
    <mergeCell ref="N232:R232"/>
    <mergeCell ref="D104:E104"/>
    <mergeCell ref="A428:X428"/>
    <mergeCell ref="J468:J469"/>
    <mergeCell ref="A355:M356"/>
    <mergeCell ref="T6:U9"/>
    <mergeCell ref="A129:X129"/>
    <mergeCell ref="N169:R169"/>
    <mergeCell ref="A366:M367"/>
    <mergeCell ref="N92:R92"/>
    <mergeCell ref="N156:T156"/>
    <mergeCell ref="N454:T454"/>
    <mergeCell ref="A151:M152"/>
    <mergeCell ref="D371:E371"/>
    <mergeCell ref="A188:M189"/>
    <mergeCell ref="D43:E43"/>
    <mergeCell ref="N29:R29"/>
    <mergeCell ref="A52:X52"/>
    <mergeCell ref="N200:R200"/>
    <mergeCell ref="N387:R387"/>
    <mergeCell ref="N385:T385"/>
    <mergeCell ref="D137:E137"/>
    <mergeCell ref="D422:E422"/>
    <mergeCell ref="N31:R31"/>
    <mergeCell ref="N151:T151"/>
    <mergeCell ref="N202:R202"/>
    <mergeCell ref="D74:E74"/>
    <mergeCell ref="D130:E130"/>
    <mergeCell ref="A34:X34"/>
    <mergeCell ref="D68:E68"/>
    <mergeCell ref="D201:E201"/>
    <mergeCell ref="N245:R245"/>
    <mergeCell ref="D372:E372"/>
    <mergeCell ref="A270:X270"/>
    <mergeCell ref="N451:R451"/>
    <mergeCell ref="N168:R168"/>
    <mergeCell ref="A368:X368"/>
    <mergeCell ref="D424:E424"/>
    <mergeCell ref="D286:E286"/>
    <mergeCell ref="N247:T247"/>
    <mergeCell ref="D132:E132"/>
    <mergeCell ref="A334:X334"/>
    <mergeCell ref="N274:T274"/>
    <mergeCell ref="D178:E178"/>
    <mergeCell ref="N26:R26"/>
    <mergeCell ref="D172:E172"/>
    <mergeCell ref="N40:T40"/>
    <mergeCell ref="O468:O469"/>
    <mergeCell ref="Q468:Q469"/>
    <mergeCell ref="N234:R234"/>
    <mergeCell ref="N405:R405"/>
    <mergeCell ref="A281:M282"/>
    <mergeCell ref="D7:L7"/>
    <mergeCell ref="N269:T269"/>
    <mergeCell ref="N171:R171"/>
    <mergeCell ref="N340:T340"/>
    <mergeCell ref="A87:M88"/>
    <mergeCell ref="N115:R115"/>
    <mergeCell ref="A145:M146"/>
    <mergeCell ref="A316:M317"/>
    <mergeCell ref="N238:R238"/>
    <mergeCell ref="D254:E254"/>
    <mergeCell ref="N382:R382"/>
    <mergeCell ref="A210:M211"/>
    <mergeCell ref="A443:M444"/>
    <mergeCell ref="D346:E346"/>
    <mergeCell ref="N179:R179"/>
    <mergeCell ref="N446:R446"/>
    <mergeCell ref="N240:R240"/>
    <mergeCell ref="N215:R215"/>
    <mergeCell ref="A265:X265"/>
    <mergeCell ref="E468:E469"/>
    <mergeCell ref="N460:T460"/>
    <mergeCell ref="D348:E348"/>
    <mergeCell ref="N467:O467"/>
    <mergeCell ref="D62:E62"/>
    <mergeCell ref="D56:E56"/>
    <mergeCell ref="D193:E193"/>
    <mergeCell ref="D176:E176"/>
    <mergeCell ref="N264:T264"/>
    <mergeCell ref="D114:E114"/>
    <mergeCell ref="D347:E347"/>
    <mergeCell ref="N462:T462"/>
    <mergeCell ref="D64:E64"/>
    <mergeCell ref="A266:X266"/>
    <mergeCell ref="A260:X260"/>
    <mergeCell ref="A60:X60"/>
    <mergeCell ref="N157:T157"/>
    <mergeCell ref="N328:T328"/>
    <mergeCell ref="D349:E349"/>
    <mergeCell ref="A460:M465"/>
    <mergeCell ref="N108:R108"/>
    <mergeCell ref="A229:M230"/>
    <mergeCell ref="N95:R95"/>
    <mergeCell ref="N70:R70"/>
    <mergeCell ref="A300:M301"/>
    <mergeCell ref="D138:E138"/>
    <mergeCell ref="N393:R393"/>
    <mergeCell ref="N331:R331"/>
    <mergeCell ref="D203:E203"/>
    <mergeCell ref="B468:B469"/>
    <mergeCell ref="N159:R159"/>
    <mergeCell ref="N97:R97"/>
    <mergeCell ref="D140:E140"/>
    <mergeCell ref="D267:E267"/>
    <mergeCell ref="A277:M278"/>
    <mergeCell ref="D425:E425"/>
    <mergeCell ref="N96:R96"/>
    <mergeCell ref="D359:E359"/>
    <mergeCell ref="A434:X434"/>
    <mergeCell ref="H17:H18"/>
    <mergeCell ref="N161:R161"/>
    <mergeCell ref="N183:T183"/>
    <mergeCell ref="D204:E204"/>
    <mergeCell ref="A42:X42"/>
    <mergeCell ref="D198:E198"/>
    <mergeCell ref="D75:E75"/>
    <mergeCell ref="N41:T41"/>
    <mergeCell ref="A386:X386"/>
    <mergeCell ref="N277:T277"/>
    <mergeCell ref="D298:E298"/>
    <mergeCell ref="D181:E181"/>
    <mergeCell ref="N123:R123"/>
    <mergeCell ref="A450:X450"/>
    <mergeCell ref="N421:R421"/>
    <mergeCell ref="N408:R408"/>
    <mergeCell ref="D39:E39"/>
    <mergeCell ref="N187:R187"/>
    <mergeCell ref="N423:R423"/>
    <mergeCell ref="N410:R410"/>
    <mergeCell ref="D393:E393"/>
    <mergeCell ref="N254:R254"/>
    <mergeCell ref="N216:R216"/>
    <mergeCell ref="N343:R343"/>
    <mergeCell ref="A98:M99"/>
    <mergeCell ref="N399:T399"/>
    <mergeCell ref="D420:E420"/>
    <mergeCell ref="N59:T59"/>
    <mergeCell ref="N230:T230"/>
    <mergeCell ref="N256:R256"/>
    <mergeCell ref="N109:R109"/>
    <mergeCell ref="H1:O1"/>
    <mergeCell ref="D199:E199"/>
    <mergeCell ref="N280:R280"/>
    <mergeCell ref="A330:X330"/>
    <mergeCell ref="A243:X243"/>
    <mergeCell ref="D186:E186"/>
    <mergeCell ref="N345:R345"/>
    <mergeCell ref="O9:P9"/>
    <mergeCell ref="A448:M449"/>
    <mergeCell ref="N22:R22"/>
    <mergeCell ref="N193:R193"/>
    <mergeCell ref="N463:T463"/>
    <mergeCell ref="D65:E65"/>
    <mergeCell ref="N36:T36"/>
    <mergeCell ref="N207:T207"/>
    <mergeCell ref="A381:X381"/>
    <mergeCell ref="N394:T394"/>
    <mergeCell ref="D415:E415"/>
    <mergeCell ref="D468:D469"/>
    <mergeCell ref="D194:E194"/>
    <mergeCell ref="Z17:Z18"/>
    <mergeCell ref="N167:R167"/>
    <mergeCell ref="N110:T110"/>
    <mergeCell ref="D446:E446"/>
    <mergeCell ref="A311:X311"/>
    <mergeCell ref="A32:M33"/>
    <mergeCell ref="N125:T125"/>
    <mergeCell ref="N162:R162"/>
    <mergeCell ref="D83:E83"/>
    <mergeCell ref="D143:E143"/>
    <mergeCell ref="A332:M333"/>
    <mergeCell ref="D319:E319"/>
    <mergeCell ref="D441:E441"/>
    <mergeCell ref="A279:X279"/>
    <mergeCell ref="N177:R177"/>
    <mergeCell ref="N412:T412"/>
    <mergeCell ref="D85:E85"/>
    <mergeCell ref="D256:E256"/>
    <mergeCell ref="N362:T362"/>
    <mergeCell ref="D383:E383"/>
    <mergeCell ref="C468:C469"/>
    <mergeCell ref="N114:R114"/>
    <mergeCell ref="D299:E299"/>
    <mergeCell ref="D370:E370"/>
    <mergeCell ref="N35:R35"/>
    <mergeCell ref="D222:E222"/>
    <mergeCell ref="G17:G18"/>
    <mergeCell ref="N426:T426"/>
    <mergeCell ref="D314:E314"/>
    <mergeCell ref="N413:T413"/>
    <mergeCell ref="H10:L10"/>
    <mergeCell ref="N287:R287"/>
    <mergeCell ref="D159:E159"/>
    <mergeCell ref="A46:X46"/>
    <mergeCell ref="D80:E80"/>
    <mergeCell ref="N66:R66"/>
    <mergeCell ref="A89:X89"/>
    <mergeCell ref="N351:R351"/>
    <mergeCell ref="N416:R416"/>
    <mergeCell ref="D288:E288"/>
    <mergeCell ref="N130:R130"/>
    <mergeCell ref="A398:M399"/>
    <mergeCell ref="N68:R68"/>
    <mergeCell ref="N117:R117"/>
    <mergeCell ref="N353:R353"/>
    <mergeCell ref="D154:E154"/>
    <mergeCell ref="D225:E225"/>
    <mergeCell ref="D200:E200"/>
    <mergeCell ref="A380:X380"/>
    <mergeCell ref="N290:R290"/>
    <mergeCell ref="D436:E436"/>
    <mergeCell ref="A100:X100"/>
    <mergeCell ref="D292:E292"/>
    <mergeCell ref="A165:X165"/>
    <mergeCell ref="D227:E227"/>
    <mergeCell ref="A336:X336"/>
    <mergeCell ref="A9:C9"/>
    <mergeCell ref="D202:E202"/>
    <mergeCell ref="N348:R348"/>
    <mergeCell ref="N273:T273"/>
    <mergeCell ref="N248:T248"/>
    <mergeCell ref="O12:P12"/>
    <mergeCell ref="N444:T444"/>
    <mergeCell ref="N442:R442"/>
    <mergeCell ref="A148:X148"/>
    <mergeCell ref="D358:E358"/>
    <mergeCell ref="L468:L469"/>
    <mergeCell ref="N468:N469"/>
    <mergeCell ref="D6:L6"/>
    <mergeCell ref="O13:P13"/>
    <mergeCell ref="A304:M305"/>
    <mergeCell ref="N339:T339"/>
    <mergeCell ref="N201:R201"/>
    <mergeCell ref="N139:R139"/>
    <mergeCell ref="N406:R406"/>
    <mergeCell ref="D389:E389"/>
    <mergeCell ref="N210:T210"/>
    <mergeCell ref="A417:M418"/>
    <mergeCell ref="D84:E84"/>
    <mergeCell ref="D22:E22"/>
    <mergeCell ref="D155:E155"/>
    <mergeCell ref="N203:R203"/>
    <mergeCell ref="D149:E149"/>
    <mergeCell ref="D320:E320"/>
    <mergeCell ref="D447:E447"/>
    <mergeCell ref="N239:R239"/>
    <mergeCell ref="N122:R122"/>
    <mergeCell ref="A120:X120"/>
    <mergeCell ref="N105:R105"/>
    <mergeCell ref="N217:T217"/>
    <mergeCell ref="N43:R43"/>
    <mergeCell ref="N214:R214"/>
    <mergeCell ref="N276:R276"/>
    <mergeCell ref="D86:E86"/>
    <mergeCell ref="D257:E257"/>
    <mergeCell ref="N363:T363"/>
    <mergeCell ref="D213:E213"/>
    <mergeCell ref="N107:R107"/>
    <mergeCell ref="D150:E150"/>
    <mergeCell ref="N305:T305"/>
    <mergeCell ref="A219:X219"/>
    <mergeCell ref="D215:E215"/>
    <mergeCell ref="N50:T50"/>
    <mergeCell ref="M17:M18"/>
    <mergeCell ref="N67:R67"/>
    <mergeCell ref="N236:T236"/>
    <mergeCell ref="A235:M236"/>
    <mergeCell ref="N132:R132"/>
    <mergeCell ref="N303:R303"/>
    <mergeCell ref="N430:R430"/>
    <mergeCell ref="O8:P8"/>
    <mergeCell ref="N69:R69"/>
    <mergeCell ref="N196:R196"/>
    <mergeCell ref="D177:E177"/>
    <mergeCell ref="N354:R354"/>
    <mergeCell ref="N288:R288"/>
    <mergeCell ref="N425:R425"/>
    <mergeCell ref="D226:E226"/>
    <mergeCell ref="A328:M329"/>
    <mergeCell ref="N198:R198"/>
    <mergeCell ref="N369:R369"/>
    <mergeCell ref="N225:R225"/>
    <mergeCell ref="D437:E437"/>
    <mergeCell ref="A250:X250"/>
    <mergeCell ref="D35:E35"/>
    <mergeCell ref="D228:E228"/>
    <mergeCell ref="A237:X237"/>
    <mergeCell ref="D404:E404"/>
    <mergeCell ref="D10:E10"/>
    <mergeCell ref="F10:G10"/>
    <mergeCell ref="N227:R227"/>
    <mergeCell ref="N78:T78"/>
    <mergeCell ref="N420:R420"/>
    <mergeCell ref="D397:E397"/>
    <mergeCell ref="N241:T241"/>
    <mergeCell ref="A12:L12"/>
    <mergeCell ref="N291:R291"/>
    <mergeCell ref="A456:X456"/>
    <mergeCell ref="D101:E101"/>
    <mergeCell ref="N209:R209"/>
    <mergeCell ref="N378:T378"/>
    <mergeCell ref="D76:E76"/>
    <mergeCell ref="F5:G5"/>
    <mergeCell ref="A14:L14"/>
    <mergeCell ref="A183:M184"/>
    <mergeCell ref="N224:R224"/>
    <mergeCell ref="A47:X47"/>
    <mergeCell ref="N251:R251"/>
    <mergeCell ref="D430:E430"/>
    <mergeCell ref="D175:E175"/>
    <mergeCell ref="A247:M248"/>
    <mergeCell ref="N82:R82"/>
    <mergeCell ref="N253:R253"/>
    <mergeCell ref="T11:U11"/>
    <mergeCell ref="D221:E221"/>
    <mergeCell ref="D392:E392"/>
    <mergeCell ref="A401:X401"/>
    <mergeCell ref="M468:M469"/>
    <mergeCell ref="N57:R57"/>
    <mergeCell ref="D457:E457"/>
    <mergeCell ref="A121:X121"/>
    <mergeCell ref="N293:R293"/>
    <mergeCell ref="A357:X357"/>
    <mergeCell ref="N373:T373"/>
    <mergeCell ref="D223:E223"/>
    <mergeCell ref="N58:T58"/>
    <mergeCell ref="N33:T33"/>
    <mergeCell ref="N294:T294"/>
    <mergeCell ref="N465:T465"/>
    <mergeCell ref="D29:E29"/>
    <mergeCell ref="N344:R344"/>
    <mergeCell ref="N319:R319"/>
    <mergeCell ref="N366:T366"/>
    <mergeCell ref="D216:E216"/>
    <mergeCell ref="A396:X396"/>
    <mergeCell ref="N431:T431"/>
    <mergeCell ref="D452:E452"/>
    <mergeCell ref="D252:E252"/>
    <mergeCell ref="N333:T333"/>
    <mergeCell ref="A40:M41"/>
    <mergeCell ref="N308:T308"/>
    <mergeCell ref="N204:R204"/>
    <mergeCell ref="N160:R160"/>
    <mergeCell ref="N141:R141"/>
    <mergeCell ref="N246:R246"/>
    <mergeCell ref="A335:X335"/>
    <mergeCell ref="N377:R377"/>
    <mergeCell ref="N233:R233"/>
    <mergeCell ref="A438:M439"/>
    <mergeCell ref="D105:E105"/>
    <mergeCell ref="D276:E276"/>
    <mergeCell ref="D170:E170"/>
    <mergeCell ref="N72:R72"/>
    <mergeCell ref="O5:P5"/>
    <mergeCell ref="A133:M134"/>
    <mergeCell ref="D49:E49"/>
    <mergeCell ref="N143:R143"/>
    <mergeCell ref="F17:F18"/>
    <mergeCell ref="N297:R297"/>
    <mergeCell ref="N370:R370"/>
    <mergeCell ref="A394:M395"/>
    <mergeCell ref="N441:R441"/>
    <mergeCell ref="D107:E107"/>
    <mergeCell ref="N384:T384"/>
    <mergeCell ref="D234:E234"/>
    <mergeCell ref="D405:E405"/>
    <mergeCell ref="A414:X414"/>
    <mergeCell ref="N449:T449"/>
    <mergeCell ref="N312:R312"/>
    <mergeCell ref="D244:E244"/>
    <mergeCell ref="N299:R299"/>
    <mergeCell ref="A53:X53"/>
    <mergeCell ref="D171:E171"/>
    <mergeCell ref="N321:T321"/>
    <mergeCell ref="D342:E342"/>
    <mergeCell ref="D407:E407"/>
    <mergeCell ref="N242:T242"/>
    <mergeCell ref="A13:L13"/>
    <mergeCell ref="A19:X19"/>
    <mergeCell ref="A190:X190"/>
    <mergeCell ref="D102:E102"/>
    <mergeCell ref="N152:T152"/>
    <mergeCell ref="N324:R324"/>
    <mergeCell ref="D196:E196"/>
    <mergeCell ref="A15:L15"/>
    <mergeCell ref="N23:T23"/>
    <mergeCell ref="A48:X48"/>
    <mergeCell ref="N90:R90"/>
    <mergeCell ref="N261:R261"/>
    <mergeCell ref="N388:R388"/>
    <mergeCell ref="D54:E54"/>
    <mergeCell ref="N427:T427"/>
    <mergeCell ref="J9:L9"/>
    <mergeCell ref="R5:S5"/>
    <mergeCell ref="N27:R27"/>
    <mergeCell ref="N83:R83"/>
    <mergeCell ref="A362:M363"/>
    <mergeCell ref="N154:R154"/>
    <mergeCell ref="N325:R325"/>
    <mergeCell ref="A79:X79"/>
    <mergeCell ref="D271:E271"/>
    <mergeCell ref="N390:R390"/>
    <mergeCell ref="D262:E262"/>
    <mergeCell ref="N91:R91"/>
    <mergeCell ref="A426:M427"/>
    <mergeCell ref="N85:R85"/>
    <mergeCell ref="N389:R389"/>
    <mergeCell ref="N327:R327"/>
    <mergeCell ref="S468:S469"/>
    <mergeCell ref="A208:X208"/>
    <mergeCell ref="G467:M467"/>
    <mergeCell ref="N99:T99"/>
    <mergeCell ref="D291:E291"/>
    <mergeCell ref="D239:E239"/>
    <mergeCell ref="D95:E95"/>
    <mergeCell ref="S17:T17"/>
    <mergeCell ref="N316:T316"/>
    <mergeCell ref="Y17:Y18"/>
    <mergeCell ref="D331:E331"/>
    <mergeCell ref="D57:E57"/>
    <mergeCell ref="A8:C8"/>
    <mergeCell ref="N163:T163"/>
    <mergeCell ref="D293:E293"/>
    <mergeCell ref="A185:X185"/>
    <mergeCell ref="D97:E97"/>
    <mergeCell ref="A217:M218"/>
    <mergeCell ref="N180:R180"/>
    <mergeCell ref="N374:T374"/>
    <mergeCell ref="A10:C10"/>
    <mergeCell ref="N272:R272"/>
    <mergeCell ref="N182:R182"/>
    <mergeCell ref="A206:M207"/>
    <mergeCell ref="N77:T77"/>
    <mergeCell ref="N84:R84"/>
    <mergeCell ref="A156:M157"/>
    <mergeCell ref="N320:R320"/>
    <mergeCell ref="D192:E192"/>
    <mergeCell ref="P1:R1"/>
    <mergeCell ref="N338:R338"/>
    <mergeCell ref="N263:T263"/>
    <mergeCell ref="D17:E18"/>
    <mergeCell ref="D173:E173"/>
    <mergeCell ref="D344:E344"/>
    <mergeCell ref="S467:T467"/>
    <mergeCell ref="N313:R313"/>
    <mergeCell ref="V17:V18"/>
    <mergeCell ref="X17:X18"/>
    <mergeCell ref="D123:E123"/>
    <mergeCell ref="N229:T229"/>
    <mergeCell ref="D421:E421"/>
    <mergeCell ref="D408:E408"/>
    <mergeCell ref="N458:T458"/>
    <mergeCell ref="C467:F467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CHOOSE($D$7,UnloadAdressList0001,UnloadAdressList0002,UnloadAdressList0003)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6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НВ, ООО 9001015535, Запорожская обл, Мелитополь г, 8 Марта ул, д. 43/1,</t>
        </is>
      </c>
      <c r="C6" s="54" t="inlineStr">
        <is>
          <t>596383_1</t>
        </is>
      </c>
      <c r="D6" s="54" t="inlineStr">
        <is>
          <t>1</t>
        </is>
      </c>
      <c r="E6" s="54" t="inlineStr"/>
    </row>
    <row r="7">
      <c r="B7" s="54" t="inlineStr">
        <is>
          <t>НВ, ООО 9001015535, Донецкая Народная Респ, Центральнозаводская ул, д. 14,</t>
        </is>
      </c>
      <c r="C7" s="54" t="inlineStr">
        <is>
          <t>596383_2</t>
        </is>
      </c>
      <c r="D7" s="54" t="inlineStr">
        <is>
          <t>2</t>
        </is>
      </c>
      <c r="E7" s="54" t="inlineStr"/>
    </row>
    <row r="8">
      <c r="B8" s="54" t="inlineStr">
        <is>
          <t>НВ, ООО 9001015535, Донецкая Народная Респ, Мариуполь г, Свободы ул, д. 20,</t>
        </is>
      </c>
      <c r="C8" s="54" t="inlineStr">
        <is>
          <t>596383_3</t>
        </is>
      </c>
      <c r="D8" s="54" t="inlineStr">
        <is>
          <t>3</t>
        </is>
      </c>
      <c r="E8" s="54" t="inlineStr"/>
    </row>
    <row r="10">
      <c r="B10" s="54" t="inlineStr">
        <is>
          <t>272319Российская Федерация, Запорожская обл, Мелитопольский р-н, Мелитополь г, 8 Марта ул, д. 43/1,</t>
        </is>
      </c>
      <c r="C10" s="54" t="inlineStr">
        <is>
          <t>596383_1</t>
        </is>
      </c>
      <c r="D10" s="54" t="inlineStr"/>
      <c r="E10" s="54" t="inlineStr"/>
    </row>
    <row r="12">
      <c r="B12" s="54" t="inlineStr">
        <is>
          <t>283037Российская Федерация, Донецкая Народная Респ, Донецк г, Центральнозаводская ул, д. 14,</t>
        </is>
      </c>
      <c r="C12" s="54" t="inlineStr">
        <is>
          <t>596383_2</t>
        </is>
      </c>
      <c r="D12" s="54" t="inlineStr"/>
      <c r="E12" s="54" t="inlineStr"/>
    </row>
    <row r="14">
      <c r="B14" s="54" t="inlineStr">
        <is>
          <t>287642Российская Федерация, Донецкая Народная Респ, Мариуполь г, Свободы ул, д. 20,</t>
        </is>
      </c>
      <c r="C14" s="54" t="inlineStr">
        <is>
          <t>596383_3</t>
        </is>
      </c>
      <c r="D14" s="54" t="inlineStr"/>
      <c r="E14" s="54" t="inlineStr"/>
    </row>
    <row r="16">
      <c r="B16" s="54" t="inlineStr">
        <is>
          <t>CFR</t>
        </is>
      </c>
      <c r="C16" s="54" t="inlineStr"/>
      <c r="D16" s="54" t="inlineStr"/>
      <c r="E16" s="54" t="inlineStr"/>
    </row>
    <row r="17">
      <c r="B17" s="54" t="inlineStr">
        <is>
          <t>CIF</t>
        </is>
      </c>
      <c r="C17" s="54" t="inlineStr"/>
      <c r="D17" s="54" t="inlineStr"/>
      <c r="E17" s="54" t="inlineStr"/>
    </row>
    <row r="18">
      <c r="B18" s="54" t="inlineStr">
        <is>
          <t>CIP</t>
        </is>
      </c>
      <c r="C18" s="54" t="inlineStr"/>
      <c r="D18" s="54" t="inlineStr"/>
      <c r="E18" s="54" t="inlineStr"/>
    </row>
    <row r="19">
      <c r="B19" s="54" t="inlineStr">
        <is>
          <t>CPT</t>
        </is>
      </c>
      <c r="C19" s="54" t="inlineStr"/>
      <c r="D19" s="54" t="inlineStr"/>
      <c r="E19" s="54" t="inlineStr"/>
    </row>
    <row r="20">
      <c r="B20" s="54" t="inlineStr">
        <is>
          <t>DAP</t>
        </is>
      </c>
      <c r="C20" s="54" t="inlineStr"/>
      <c r="D20" s="54" t="inlineStr"/>
      <c r="E20" s="54" t="inlineStr"/>
    </row>
    <row r="21">
      <c r="B21" s="54" t="inlineStr">
        <is>
          <t>DAT</t>
        </is>
      </c>
      <c r="C21" s="54" t="inlineStr"/>
      <c r="D21" s="54" t="inlineStr"/>
      <c r="E21" s="54" t="inlineStr"/>
    </row>
    <row r="22">
      <c r="B22" s="54" t="inlineStr">
        <is>
          <t>DDP</t>
        </is>
      </c>
      <c r="C22" s="54" t="inlineStr"/>
      <c r="D22" s="54" t="inlineStr"/>
      <c r="E22" s="54" t="inlineStr"/>
    </row>
    <row r="23">
      <c r="B23" s="54" t="inlineStr">
        <is>
          <t>EXW</t>
        </is>
      </c>
      <c r="C23" s="54" t="inlineStr"/>
      <c r="D23" s="54" t="inlineStr"/>
      <c r="E23" s="54" t="inlineStr"/>
    </row>
    <row r="24">
      <c r="B24" s="54" t="inlineStr">
        <is>
          <t>FAS</t>
        </is>
      </c>
      <c r="C24" s="54" t="inlineStr"/>
      <c r="D24" s="54" t="inlineStr"/>
      <c r="E24" s="54" t="inlineStr"/>
    </row>
    <row r="25">
      <c r="B25" s="54" t="inlineStr">
        <is>
          <t>FCA</t>
        </is>
      </c>
      <c r="C25" s="54" t="inlineStr"/>
      <c r="D25" s="54" t="inlineStr"/>
      <c r="E25" s="54" t="inlineStr"/>
    </row>
    <row r="26">
      <c r="B26" s="54" t="inlineStr">
        <is>
          <t>FOB</t>
        </is>
      </c>
      <c r="C26" s="54" t="inlineStr"/>
      <c r="D26" s="54" t="inlineStr"/>
      <c r="E26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UP5urQJrgVk/k1J62fn/Pw==" formatRows="1" sort="0" spinCount="100000" hashValue="Wrxq2HUs2jlIW2Uh7vwHvBSkvkyQwKDmAtO5N8UDqDSJ42EsdBxpHT/5Yo3SZOeAMhGB2rM1ap96q/Vo1/cuPw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2023-11-30T10:45:46Z</dcterms:modified>
  <cp:lastModifiedBy>Admin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