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1,23 Гурджий\1 заказ\"/>
    </mc:Choice>
  </mc:AlternateContent>
  <xr:revisionPtr revIDLastSave="0" documentId="13_ncr:1_{7A915D35-0858-4425-A43B-02EB900C4C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4" i="1"/>
  <c r="V463" i="1"/>
  <c r="W462" i="1"/>
  <c r="N462" i="1"/>
  <c r="V459" i="1"/>
  <c r="V458" i="1"/>
  <c r="W457" i="1"/>
  <c r="X457" i="1" s="1"/>
  <c r="W456" i="1"/>
  <c r="V454" i="1"/>
  <c r="V453" i="1"/>
  <c r="W452" i="1"/>
  <c r="X452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X434" i="1" s="1"/>
  <c r="X436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V423" i="1"/>
  <c r="V422" i="1"/>
  <c r="W421" i="1"/>
  <c r="X421" i="1" s="1"/>
  <c r="N421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89" i="1" s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X302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N277" i="1"/>
  <c r="W276" i="1"/>
  <c r="N276" i="1"/>
  <c r="V274" i="1"/>
  <c r="V273" i="1"/>
  <c r="W272" i="1"/>
  <c r="N272" i="1"/>
  <c r="V269" i="1"/>
  <c r="V268" i="1"/>
  <c r="W267" i="1"/>
  <c r="X267" i="1" s="1"/>
  <c r="N267" i="1"/>
  <c r="W266" i="1"/>
  <c r="X266" i="1" s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V246" i="1"/>
  <c r="W245" i="1"/>
  <c r="X245" i="1" s="1"/>
  <c r="N245" i="1"/>
  <c r="W244" i="1"/>
  <c r="X244" i="1" s="1"/>
  <c r="W243" i="1"/>
  <c r="X243" i="1" s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75" i="1" s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268" i="1" l="1"/>
  <c r="X451" i="1"/>
  <c r="X453" i="1" s="1"/>
  <c r="W453" i="1"/>
  <c r="V468" i="1"/>
  <c r="W192" i="1"/>
  <c r="W379" i="1"/>
  <c r="X246" i="1"/>
  <c r="X374" i="1"/>
  <c r="X378" i="1" s="1"/>
  <c r="W378" i="1"/>
  <c r="X336" i="1"/>
  <c r="X337" i="1" s="1"/>
  <c r="W337" i="1"/>
  <c r="X305" i="1"/>
  <c r="W188" i="1"/>
  <c r="X22" i="1"/>
  <c r="X23" i="1" s="1"/>
  <c r="X79" i="1"/>
  <c r="W115" i="1"/>
  <c r="X222" i="1"/>
  <c r="X281" i="1"/>
  <c r="X282" i="1" s="1"/>
  <c r="W282" i="1"/>
  <c r="X285" i="1"/>
  <c r="X286" i="1" s="1"/>
  <c r="W286" i="1"/>
  <c r="W367" i="1"/>
  <c r="W444" i="1"/>
  <c r="C475" i="1"/>
  <c r="X399" i="1"/>
  <c r="V465" i="1"/>
  <c r="W32" i="1"/>
  <c r="W90" i="1"/>
  <c r="W102" i="1"/>
  <c r="X105" i="1"/>
  <c r="X114" i="1" s="1"/>
  <c r="W123" i="1"/>
  <c r="W129" i="1"/>
  <c r="H475" i="1"/>
  <c r="W160" i="1"/>
  <c r="X170" i="1"/>
  <c r="X187" i="1" s="1"/>
  <c r="X190" i="1"/>
  <c r="X192" i="1" s="1"/>
  <c r="W212" i="1"/>
  <c r="X214" i="1"/>
  <c r="X215" i="1" s="1"/>
  <c r="W215" i="1"/>
  <c r="W246" i="1"/>
  <c r="X324" i="1"/>
  <c r="X326" i="1" s="1"/>
  <c r="X363" i="1"/>
  <c r="X367" i="1" s="1"/>
  <c r="W432" i="1"/>
  <c r="W431" i="1"/>
  <c r="X441" i="1"/>
  <c r="X443" i="1" s="1"/>
  <c r="W443" i="1"/>
  <c r="X32" i="1"/>
  <c r="X59" i="1"/>
  <c r="X102" i="1"/>
  <c r="X122" i="1"/>
  <c r="F9" i="1"/>
  <c r="J9" i="1"/>
  <c r="F10" i="1"/>
  <c r="W33" i="1"/>
  <c r="W37" i="1"/>
  <c r="W41" i="1"/>
  <c r="W45" i="1"/>
  <c r="W51" i="1"/>
  <c r="W60" i="1"/>
  <c r="W79" i="1"/>
  <c r="W89" i="1"/>
  <c r="W103" i="1"/>
  <c r="W114" i="1"/>
  <c r="W122" i="1"/>
  <c r="W130" i="1"/>
  <c r="W138" i="1"/>
  <c r="W149" i="1"/>
  <c r="W156" i="1"/>
  <c r="W161" i="1"/>
  <c r="W167" i="1"/>
  <c r="W187" i="1"/>
  <c r="W193" i="1"/>
  <c r="W211" i="1"/>
  <c r="W235" i="1"/>
  <c r="W240" i="1"/>
  <c r="X237" i="1"/>
  <c r="X240" i="1" s="1"/>
  <c r="W253" i="1"/>
  <c r="L475" i="1"/>
  <c r="W264" i="1"/>
  <c r="X256" i="1"/>
  <c r="X263" i="1" s="1"/>
  <c r="W263" i="1"/>
  <c r="W269" i="1"/>
  <c r="M475" i="1"/>
  <c r="W273" i="1"/>
  <c r="X272" i="1"/>
  <c r="X273" i="1" s="1"/>
  <c r="W274" i="1"/>
  <c r="W279" i="1"/>
  <c r="X276" i="1"/>
  <c r="X278" i="1" s="1"/>
  <c r="W299" i="1"/>
  <c r="W368" i="1"/>
  <c r="W371" i="1"/>
  <c r="X370" i="1"/>
  <c r="X371" i="1" s="1"/>
  <c r="W372" i="1"/>
  <c r="W383" i="1"/>
  <c r="X381" i="1"/>
  <c r="X383" i="1" s="1"/>
  <c r="W384" i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22" i="1"/>
  <c r="F475" i="1"/>
  <c r="O475" i="1"/>
  <c r="H9" i="1"/>
  <c r="W467" i="1"/>
  <c r="W466" i="1"/>
  <c r="V469" i="1"/>
  <c r="W24" i="1"/>
  <c r="X35" i="1"/>
  <c r="X36" i="1" s="1"/>
  <c r="X39" i="1"/>
  <c r="X40" i="1" s="1"/>
  <c r="X43" i="1"/>
  <c r="X44" i="1" s="1"/>
  <c r="X49" i="1"/>
  <c r="X51" i="1" s="1"/>
  <c r="W52" i="1"/>
  <c r="D475" i="1"/>
  <c r="W59" i="1"/>
  <c r="E475" i="1"/>
  <c r="W80" i="1"/>
  <c r="X82" i="1"/>
  <c r="X89" i="1" s="1"/>
  <c r="X126" i="1"/>
  <c r="X129" i="1" s="1"/>
  <c r="X134" i="1"/>
  <c r="X137" i="1" s="1"/>
  <c r="W137" i="1"/>
  <c r="X141" i="1"/>
  <c r="X149" i="1" s="1"/>
  <c r="W150" i="1"/>
  <c r="I475" i="1"/>
  <c r="W155" i="1"/>
  <c r="X163" i="1"/>
  <c r="X167" i="1" s="1"/>
  <c r="X196" i="1"/>
  <c r="X211" i="1" s="1"/>
  <c r="W222" i="1"/>
  <c r="W223" i="1"/>
  <c r="W234" i="1"/>
  <c r="X225" i="1"/>
  <c r="X234" i="1" s="1"/>
  <c r="W241" i="1"/>
  <c r="W247" i="1"/>
  <c r="W252" i="1"/>
  <c r="X249" i="1"/>
  <c r="X252" i="1" s="1"/>
  <c r="W268" i="1"/>
  <c r="W278" i="1"/>
  <c r="X299" i="1"/>
  <c r="P475" i="1"/>
  <c r="W437" i="1"/>
  <c r="W448" i="1"/>
  <c r="X446" i="1"/>
  <c r="X448" i="1" s="1"/>
  <c r="W449" i="1"/>
  <c r="W459" i="1"/>
  <c r="T475" i="1"/>
  <c r="W463" i="1"/>
  <c r="X462" i="1"/>
  <c r="X463" i="1" s="1"/>
  <c r="W464" i="1"/>
  <c r="B475" i="1"/>
  <c r="J475" i="1"/>
  <c r="S475" i="1"/>
  <c r="N475" i="1"/>
  <c r="W300" i="1"/>
  <c r="W305" i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W390" i="1"/>
  <c r="X387" i="1"/>
  <c r="X389" i="1" s="1"/>
  <c r="W399" i="1"/>
  <c r="X431" i="1"/>
  <c r="W436" i="1"/>
  <c r="W458" i="1"/>
  <c r="X456" i="1"/>
  <c r="X458" i="1" s="1"/>
  <c r="Q475" i="1"/>
  <c r="W344" i="1"/>
  <c r="W468" i="1" l="1"/>
  <c r="W469" i="1"/>
  <c r="X470" i="1"/>
  <c r="W465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<sst xmlns="http://schemas.openxmlformats.org/spreadsheetml/2006/main" count="1968" uniqueCount="671">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</sst>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topLeftCell="A8" zoomScaleNormal="100" zoomScaleSheetLayoutView="100" workbookViewId="0">
      <selection activeCell="Y26" sqref="Y26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46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9" t="s">
        <v>8</v>
      </c>
      <c r="B5" s="351"/>
      <c r="C5" s="352"/>
      <c r="D5" s="342"/>
      <c r="E5" s="344"/>
      <c r="F5" s="603" t="s">
        <v>9</v>
      </c>
      <c r="G5" s="352"/>
      <c r="H5" s="342"/>
      <c r="I5" s="343"/>
      <c r="J5" s="343"/>
      <c r="K5" s="343"/>
      <c r="L5" s="344"/>
      <c r="N5" s="24" t="s">
        <v>10</v>
      </c>
      <c r="O5" s="544">
        <v>45255</v>
      </c>
      <c r="P5" s="406"/>
      <c r="R5" s="632" t="s">
        <v>11</v>
      </c>
      <c r="S5" s="372"/>
      <c r="T5" s="485" t="s">
        <v>12</v>
      </c>
      <c r="U5" s="406"/>
      <c r="Z5" s="51"/>
      <c r="AA5" s="51"/>
      <c r="AB5" s="51"/>
    </row>
    <row r="6" spans="1:29" s="308" customFormat="1" ht="24" customHeight="1" x14ac:dyDescent="0.2">
      <c r="A6" s="449" t="s">
        <v>13</v>
      </c>
      <c r="B6" s="351"/>
      <c r="C6" s="352"/>
      <c r="D6" s="568" t="s">
        <v>14</v>
      </c>
      <c r="E6" s="569"/>
      <c r="F6" s="569"/>
      <c r="G6" s="569"/>
      <c r="H6" s="569"/>
      <c r="I6" s="569"/>
      <c r="J6" s="569"/>
      <c r="K6" s="569"/>
      <c r="L6" s="406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1" t="s">
        <v>16</v>
      </c>
      <c r="S6" s="372"/>
      <c r="T6" s="489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1" t="str">
        <f>IFERROR(VLOOKUP(DeliveryAddress,Table,3,0),1)</f>
        <v>1</v>
      </c>
      <c r="E7" s="512"/>
      <c r="F7" s="512"/>
      <c r="G7" s="512"/>
      <c r="H7" s="512"/>
      <c r="I7" s="512"/>
      <c r="J7" s="512"/>
      <c r="K7" s="512"/>
      <c r="L7" s="513"/>
      <c r="N7" s="24"/>
      <c r="O7" s="42"/>
      <c r="P7" s="42"/>
      <c r="R7" s="320"/>
      <c r="S7" s="372"/>
      <c r="T7" s="490"/>
      <c r="U7" s="491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10"/>
      <c r="E8" s="411"/>
      <c r="F8" s="411"/>
      <c r="G8" s="411"/>
      <c r="H8" s="411"/>
      <c r="I8" s="411"/>
      <c r="J8" s="411"/>
      <c r="K8" s="411"/>
      <c r="L8" s="412"/>
      <c r="N8" s="24" t="s">
        <v>19</v>
      </c>
      <c r="O8" s="405">
        <v>0.33333333333333331</v>
      </c>
      <c r="P8" s="406"/>
      <c r="R8" s="320"/>
      <c r="S8" s="372"/>
      <c r="T8" s="490"/>
      <c r="U8" s="491"/>
      <c r="Z8" s="51"/>
      <c r="AA8" s="51"/>
      <c r="AB8" s="51"/>
    </row>
    <row r="9" spans="1:29" s="308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7"/>
      <c r="E9" s="327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4"/>
      <c r="P9" s="406"/>
      <c r="R9" s="320"/>
      <c r="S9" s="372"/>
      <c r="T9" s="492"/>
      <c r="U9" s="493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7"/>
      <c r="E10" s="327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4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0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4"/>
      <c r="P12" s="513"/>
      <c r="Q12" s="23"/>
      <c r="S12" s="24"/>
      <c r="T12" s="418"/>
      <c r="U12" s="320"/>
      <c r="Z12" s="51"/>
      <c r="AA12" s="51"/>
      <c r="AB12" s="51"/>
    </row>
    <row r="13" spans="1:29" s="308" customFormat="1" ht="23.25" customHeight="1" x14ac:dyDescent="0.2">
      <c r="A13" s="600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0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8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1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3" t="s">
        <v>37</v>
      </c>
      <c r="D17" s="353" t="s">
        <v>38</v>
      </c>
      <c r="E17" s="42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6"/>
      <c r="P17" s="426"/>
      <c r="Q17" s="426"/>
      <c r="R17" s="427"/>
      <c r="S17" s="638" t="s">
        <v>48</v>
      </c>
      <c r="T17" s="352"/>
      <c r="U17" s="353" t="s">
        <v>49</v>
      </c>
      <c r="V17" s="353" t="s">
        <v>50</v>
      </c>
      <c r="W17" s="364" t="s">
        <v>51</v>
      </c>
      <c r="X17" s="353" t="s">
        <v>52</v>
      </c>
      <c r="Y17" s="384" t="s">
        <v>53</v>
      </c>
      <c r="Z17" s="384" t="s">
        <v>54</v>
      </c>
      <c r="AA17" s="384" t="s">
        <v>55</v>
      </c>
      <c r="AB17" s="385"/>
      <c r="AC17" s="386"/>
      <c r="AD17" s="451"/>
      <c r="BA17" s="375" t="s">
        <v>56</v>
      </c>
    </row>
    <row r="18" spans="1:53" ht="14.25" customHeight="1" x14ac:dyDescent="0.2">
      <c r="A18" s="354"/>
      <c r="B18" s="354"/>
      <c r="C18" s="354"/>
      <c r="D18" s="428"/>
      <c r="E18" s="430"/>
      <c r="F18" s="354"/>
      <c r="G18" s="354"/>
      <c r="H18" s="354"/>
      <c r="I18" s="354"/>
      <c r="J18" s="354"/>
      <c r="K18" s="354"/>
      <c r="L18" s="354"/>
      <c r="M18" s="354"/>
      <c r="N18" s="428"/>
      <c r="O18" s="429"/>
      <c r="P18" s="429"/>
      <c r="Q18" s="429"/>
      <c r="R18" s="430"/>
      <c r="S18" s="307" t="s">
        <v>57</v>
      </c>
      <c r="T18" s="307" t="s">
        <v>58</v>
      </c>
      <c r="U18" s="354"/>
      <c r="V18" s="354"/>
      <c r="W18" s="365"/>
      <c r="X18" s="354"/>
      <c r="Y18" s="546"/>
      <c r="Z18" s="546"/>
      <c r="AA18" s="387"/>
      <c r="AB18" s="388"/>
      <c r="AC18" s="389"/>
      <c r="AD18" s="452"/>
      <c r="BA18" s="320"/>
    </row>
    <row r="19" spans="1:53" ht="27.75" customHeight="1" x14ac:dyDescent="0.2">
      <c r="A19" s="366" t="s">
        <v>59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6" t="s">
        <v>93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500</v>
      </c>
      <c r="W49" s="311">
        <f>IFERROR(IF(V49="",0,CEILING((V49/$H49),1)*$H49),"")</f>
        <v>507.6</v>
      </c>
      <c r="X49" s="36">
        <f>IFERROR(IF(W49=0,"",ROUNDUP(W49/H49,0)*0.02175),"")</f>
        <v>1.0222499999999999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108</v>
      </c>
      <c r="W50" s="311">
        <f>IFERROR(IF(V50="",0,CEILING((V50/$H50),1)*$H50),"")</f>
        <v>108</v>
      </c>
      <c r="X50" s="36">
        <f>IFERROR(IF(W50=0,"",ROUNDUP(W50/H50,0)*0.00753),"")</f>
        <v>0.30120000000000002</v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86.296296296296291</v>
      </c>
      <c r="W51" s="312">
        <f>IFERROR(W49/H49,"0")+IFERROR(W50/H50,"0")</f>
        <v>87</v>
      </c>
      <c r="X51" s="312">
        <f>IFERROR(IF(X49="",0,X49),"0")+IFERROR(IF(X50="",0,X50),"0")</f>
        <v>1.3234499999999998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608</v>
      </c>
      <c r="W52" s="312">
        <f>IFERROR(SUM(W49:W50),"0")</f>
        <v>615.6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500</v>
      </c>
      <c r="W55" s="311">
        <f>IFERROR(IF(V55="",0,CEILING((V55/$H55),1)*$H55),"")</f>
        <v>507.6</v>
      </c>
      <c r="X55" s="36">
        <f>IFERROR(IF(W55=0,"",ROUNDUP(W55/H55,0)*0.02175),"")</f>
        <v>1.0222499999999999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135</v>
      </c>
      <c r="W57" s="311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9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76.296296296296291</v>
      </c>
      <c r="W59" s="312">
        <f>IFERROR(W55/H55,"0")+IFERROR(W56/H56,"0")+IFERROR(W57/H57,"0")+IFERROR(W58/H58,"0")</f>
        <v>77</v>
      </c>
      <c r="X59" s="312">
        <f>IFERROR(IF(X55="",0,X55),"0")+IFERROR(IF(X56="",0,X56),"0")+IFERROR(IF(X57="",0,X57),"0")+IFERROR(IF(X58="",0,X58),"0")</f>
        <v>1.30335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635</v>
      </c>
      <c r="W60" s="312">
        <f>IFERROR(SUM(W55:W58),"0")</f>
        <v>642.6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4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4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100</v>
      </c>
      <c r="W65" s="311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6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80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9.2592592592592595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0.21749999999999997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100</v>
      </c>
      <c r="W80" s="312">
        <f>IFERROR(SUM(W63:W78),"0")</f>
        <v>108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5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9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30</v>
      </c>
      <c r="W92" s="311">
        <f t="shared" ref="W92:W101" si="5">IFERROR(IF(V92="",0,CEILING((V92/$H92),1)*$H92),"")</f>
        <v>36</v>
      </c>
      <c r="X92" s="36">
        <f>IFERROR(IF(W92=0,"",ROUNDUP(W92/H92,0)*0.02175),"")</f>
        <v>8.6999999999999994E-2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30</v>
      </c>
      <c r="W93" s="311">
        <f t="shared" si="5"/>
        <v>33.6</v>
      </c>
      <c r="X93" s="36">
        <f>IFERROR(IF(W93=0,"",ROUNDUP(W93/H93,0)*0.00937),"")</f>
        <v>7.4959999999999999E-2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60</v>
      </c>
      <c r="W96" s="311">
        <f t="shared" si="5"/>
        <v>63</v>
      </c>
      <c r="X96" s="36">
        <f>IFERROR(IF(W96=0,"",ROUNDUP(W96/H96,0)*0.02175),"")</f>
        <v>0.15225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9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17.142857142857142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19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0.31420999999999999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120</v>
      </c>
      <c r="W103" s="312">
        <f>IFERROR(SUM(W92:W101),"0")</f>
        <v>132.6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8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0</v>
      </c>
      <c r="W106" s="311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2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0</v>
      </c>
      <c r="W107" s="31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3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7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7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7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0</v>
      </c>
      <c r="W114" s="312">
        <f>IFERROR(W105/H105,"0")+IFERROR(W106/H106,"0")+IFERROR(W107/H107,"0")+IFERROR(W108/H108,"0")+IFERROR(W109/H109,"0")+IFERROR(W110/H110,"0")+IFERROR(W111/H111,"0")+IFERROR(W112/H112,"0")+IFERROR(W113/H113,"0")</f>
        <v>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0</v>
      </c>
      <c r="W115" s="312">
        <f>IFERROR(SUM(W105:W113),"0")</f>
        <v>0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9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5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5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0</v>
      </c>
      <c r="W126" s="311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0</v>
      </c>
      <c r="W129" s="312">
        <f>IFERROR(W126/H126,"0")+IFERROR(W127/H127,"0")+IFERROR(W128/H128,"0")</f>
        <v>0</v>
      </c>
      <c r="X129" s="312">
        <f>IFERROR(IF(X126="",0,X126),"0")+IFERROR(IF(X127="",0,X127),"0")+IFERROR(IF(X128="",0,X128),"0")</f>
        <v>0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0</v>
      </c>
      <c r="W130" s="312">
        <f>IFERROR(SUM(W126:W128),"0")</f>
        <v>0</v>
      </c>
      <c r="X130" s="37"/>
      <c r="Y130" s="313"/>
      <c r="Z130" s="313"/>
    </row>
    <row r="131" spans="1:53" ht="27.75" customHeight="1" x14ac:dyDescent="0.2">
      <c r="A131" s="366" t="s">
        <v>236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0</v>
      </c>
      <c r="W165" s="311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0</v>
      </c>
      <c r="W166" s="31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0</v>
      </c>
      <c r="W168" s="312">
        <f>IFERROR(SUM(W163:W166),"0")</f>
        <v>0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0</v>
      </c>
      <c r="W170" s="311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4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8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0</v>
      </c>
      <c r="W173" s="311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1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0</v>
      </c>
      <c r="W176" s="311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1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0</v>
      </c>
      <c r="W180" s="311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1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0</v>
      </c>
      <c r="W185" s="311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0</v>
      </c>
      <c r="W186" s="311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0</v>
      </c>
      <c r="W188" s="312">
        <f>IFERROR(SUM(W170:W186),"0")</f>
        <v>0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0</v>
      </c>
      <c r="W191" s="311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0</v>
      </c>
      <c r="W192" s="312">
        <f>IFERROR(W190/H190,"0")+IFERROR(W191/H191,"0")</f>
        <v>0</v>
      </c>
      <c r="X192" s="312">
        <f>IFERROR(IF(X190="",0,X190),"0")+IFERROR(IF(X191="",0,X191),"0")</f>
        <v>0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0</v>
      </c>
      <c r="W193" s="312">
        <f>IFERROR(SUM(W190:W191),"0")</f>
        <v>0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500</v>
      </c>
      <c r="W198" s="311">
        <f t="shared" si="10"/>
        <v>507.6</v>
      </c>
      <c r="X198" s="36">
        <f>IFERROR(IF(W198=0,"",ROUNDUP(W198/H198,0)*0.02175),"")</f>
        <v>1.0222499999999999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150</v>
      </c>
      <c r="W201" s="311">
        <f t="shared" si="10"/>
        <v>151.20000000000002</v>
      </c>
      <c r="X201" s="36">
        <f>IFERROR(IF(W201=0,"",ROUNDUP(W201/H201,0)*0.02175),"")</f>
        <v>0.30449999999999999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100</v>
      </c>
      <c r="W202" s="311">
        <f t="shared" si="10"/>
        <v>108</v>
      </c>
      <c r="X202" s="36">
        <f>IFERROR(IF(W202=0,"",ROUNDUP(W202/H202,0)*0.02175),"")</f>
        <v>0.21749999999999997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80</v>
      </c>
      <c r="W204" s="311">
        <f t="shared" si="10"/>
        <v>80</v>
      </c>
      <c r="X204" s="36">
        <f t="shared" ref="X204:X210" si="11">IFERROR(IF(W204=0,"",ROUNDUP(W204/H204,0)*0.00937),"")</f>
        <v>0.14992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30</v>
      </c>
      <c r="W206" s="311">
        <f t="shared" si="10"/>
        <v>30</v>
      </c>
      <c r="X206" s="36">
        <f t="shared" si="11"/>
        <v>5.6219999999999999E-2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91.444444444444429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93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1.7503899999999999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860</v>
      </c>
      <c r="W212" s="312">
        <f>IFERROR(SUM(W196:W210),"0")</f>
        <v>876.80000000000007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100</v>
      </c>
      <c r="W218" s="311">
        <f>IFERROR(IF(V218="",0,CEILING((V218/$H218),1)*$H218),"")</f>
        <v>100.80000000000001</v>
      </c>
      <c r="X218" s="36">
        <f>IFERROR(IF(W218=0,"",ROUNDUP(W218/H218,0)*0.00753),"")</f>
        <v>0.18071999999999999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150</v>
      </c>
      <c r="W219" s="311">
        <f>IFERROR(IF(V219="",0,CEILING((V219/$H219),1)*$H219),"")</f>
        <v>151.20000000000002</v>
      </c>
      <c r="X219" s="36">
        <f>IFERROR(IF(W219=0,"",ROUNDUP(W219/H219,0)*0.00753),"")</f>
        <v>0.27107999999999999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59.523809523809526</v>
      </c>
      <c r="W222" s="312">
        <f>IFERROR(W218/H218,"0")+IFERROR(W219/H219,"0")+IFERROR(W220/H220,"0")+IFERROR(W221/H221,"0")</f>
        <v>60</v>
      </c>
      <c r="X222" s="312">
        <f>IFERROR(IF(X218="",0,X218),"0")+IFERROR(IF(X219="",0,X219),"0")+IFERROR(IF(X220="",0,X220),"0")+IFERROR(IF(X221="",0,X221),"0")</f>
        <v>0.45179999999999998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250</v>
      </c>
      <c r="W223" s="312">
        <f>IFERROR(SUM(W218:W221),"0")</f>
        <v>252.00000000000003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700</v>
      </c>
      <c r="W225" s="311">
        <f t="shared" ref="W225:W233" si="12">IFERROR(IF(V225="",0,CEILING((V225/$H225),1)*$H225),"")</f>
        <v>704.69999999999993</v>
      </c>
      <c r="X225" s="36">
        <f>IFERROR(IF(W225=0,"",ROUNDUP(W225/H225,0)*0.02175),"")</f>
        <v>1.8922499999999998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5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0</v>
      </c>
      <c r="W229" s="311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86.41975308641976</v>
      </c>
      <c r="W234" s="312">
        <f>IFERROR(W225/H225,"0")+IFERROR(W226/H226,"0")+IFERROR(W227/H227,"0")+IFERROR(W228/H228,"0")+IFERROR(W229/H229,"0")+IFERROR(W230/H230,"0")+IFERROR(W231/H231,"0")+IFERROR(W232/H232,"0")+IFERROR(W233/H233,"0")</f>
        <v>87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1.8922499999999998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700</v>
      </c>
      <c r="W235" s="312">
        <f>IFERROR(SUM(W225:W233),"0")</f>
        <v>704.69999999999993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0</v>
      </c>
      <c r="W237" s="311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18</v>
      </c>
      <c r="W238" s="311">
        <f>IFERROR(IF(V238="",0,CEILING((V238/$H238),1)*$H238),"")</f>
        <v>23.4</v>
      </c>
      <c r="X238" s="36">
        <f>IFERROR(IF(W238=0,"",ROUNDUP(W238/H238,0)*0.02175),"")</f>
        <v>6.5250000000000002E-2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18</v>
      </c>
      <c r="W239" s="311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4.4505494505494507</v>
      </c>
      <c r="W240" s="312">
        <f>IFERROR(W237/H237,"0")+IFERROR(W238/H238,"0")+IFERROR(W239/H239,"0")</f>
        <v>6</v>
      </c>
      <c r="X240" s="312">
        <f>IFERROR(IF(X237="",0,X237),"0")+IFERROR(IF(X238="",0,X238),"0")+IFERROR(IF(X239="",0,X239),"0")</f>
        <v>0.1305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36</v>
      </c>
      <c r="W241" s="312">
        <f>IFERROR(SUM(W237:W239),"0")</f>
        <v>48.6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6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2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2.72</v>
      </c>
      <c r="W245" s="311">
        <f>IFERROR(IF(V245="",0,CEILING((V245/$H245),1)*$H245),"")</f>
        <v>5.0999999999999996</v>
      </c>
      <c r="X245" s="36">
        <f>IFERROR(IF(W245=0,"",ROUNDUP(W245/H245,0)*0.00753),"")</f>
        <v>1.506E-2</v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1.0666666666666669</v>
      </c>
      <c r="W246" s="312">
        <f>IFERROR(W243/H243,"0")+IFERROR(W244/H244,"0")+IFERROR(W245/H245,"0")</f>
        <v>2</v>
      </c>
      <c r="X246" s="312">
        <f>IFERROR(IF(X243="",0,X243),"0")+IFERROR(IF(X244="",0,X244),"0")+IFERROR(IF(X245="",0,X245),"0")</f>
        <v>1.506E-2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2.72</v>
      </c>
      <c r="W247" s="312">
        <f>IFERROR(SUM(W243:W245),"0")</f>
        <v>5.0999999999999996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150</v>
      </c>
      <c r="W256" s="311">
        <f t="shared" ref="W256:W262" si="13">IFERROR(IF(V256="",0,CEILING((V256/$H256),1)*$H256),"")</f>
        <v>151.20000000000002</v>
      </c>
      <c r="X256" s="36">
        <f>IFERROR(IF(W256=0,"",ROUNDUP(W256/H256,0)*0.02175),"")</f>
        <v>0.30449999999999999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6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100</v>
      </c>
      <c r="W260" s="311">
        <f t="shared" si="13"/>
        <v>108</v>
      </c>
      <c r="X260" s="36">
        <f>IFERROR(IF(W260=0,"",ROUNDUP(W260/H260,0)*0.02175),"")</f>
        <v>0.21749999999999997</v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30</v>
      </c>
      <c r="W261" s="311">
        <f t="shared" si="13"/>
        <v>30</v>
      </c>
      <c r="X261" s="36">
        <f>IFERROR(IF(W261=0,"",ROUNDUP(W261/H261,0)*0.00937),"")</f>
        <v>5.6219999999999999E-2</v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29.148148148148145</v>
      </c>
      <c r="W263" s="312">
        <f>IFERROR(W256/H256,"0")+IFERROR(W257/H257,"0")+IFERROR(W258/H258,"0")+IFERROR(W259/H259,"0")+IFERROR(W260/H260,"0")+IFERROR(W261/H261,"0")+IFERROR(W262/H262,"0")</f>
        <v>30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0.57822000000000007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280</v>
      </c>
      <c r="W264" s="312">
        <f>IFERROR(SUM(W256:W262),"0")</f>
        <v>289.20000000000005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5.3999999999999986</v>
      </c>
      <c r="W272" s="311">
        <f>IFERROR(IF(V272="",0,CEILING((V272/$H272),1)*$H272),"")</f>
        <v>5.4</v>
      </c>
      <c r="X272" s="36">
        <f>IFERROR(IF(W272=0,"",ROUNDUP(W272/H272,0)*0.00753),"")</f>
        <v>2.2589999999999999E-2</v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2.9999999999999991</v>
      </c>
      <c r="W273" s="312">
        <f>IFERROR(W272/H272,"0")</f>
        <v>3</v>
      </c>
      <c r="X273" s="312">
        <f>IFERROR(IF(X272="",0,X272),"0")</f>
        <v>2.2589999999999999E-2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5.3999999999999986</v>
      </c>
      <c r="W274" s="312">
        <f>IFERROR(SUM(W272:W272),"0")</f>
        <v>5.4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0</v>
      </c>
      <c r="W277" s="31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0</v>
      </c>
      <c r="W278" s="312">
        <f>IFERROR(W276/H276,"0")+IFERROR(W277/H277,"0")</f>
        <v>0</v>
      </c>
      <c r="X278" s="312">
        <f>IFERROR(IF(X276="",0,X276),"0")+IFERROR(IF(X277="",0,X277),"0")</f>
        <v>0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0</v>
      </c>
      <c r="W279" s="312">
        <f>IFERROR(SUM(W276:W277),"0")</f>
        <v>0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6" t="s">
        <v>432</v>
      </c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7"/>
      <c r="N288" s="367"/>
      <c r="O288" s="367"/>
      <c r="P288" s="367"/>
      <c r="Q288" s="367"/>
      <c r="R288" s="367"/>
      <c r="S288" s="367"/>
      <c r="T288" s="367"/>
      <c r="U288" s="367"/>
      <c r="V288" s="367"/>
      <c r="W288" s="367"/>
      <c r="X288" s="367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500</v>
      </c>
      <c r="W291" s="311">
        <f t="shared" ref="W291:W298" si="14">IFERROR(IF(V291="",0,CEILING((V291/$H291),1)*$H291),"")</f>
        <v>510</v>
      </c>
      <c r="X291" s="36">
        <f>IFERROR(IF(W291=0,"",ROUNDUP(W291/H291,0)*0.02175),"")</f>
        <v>0.73949999999999994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0</v>
      </c>
      <c r="W293" s="311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400</v>
      </c>
      <c r="W295" s="311">
        <f t="shared" si="14"/>
        <v>405</v>
      </c>
      <c r="X295" s="36">
        <f>IFERROR(IF(W295=0,"",ROUNDUP(W295/H295,0)*0.02175),"")</f>
        <v>0.58724999999999994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3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60</v>
      </c>
      <c r="W299" s="312">
        <f>IFERROR(W291/H291,"0")+IFERROR(W292/H292,"0")+IFERROR(W293/H293,"0")+IFERROR(W294/H294,"0")+IFERROR(W295/H295,"0")+IFERROR(W296/H296,"0")+IFERROR(W297/H297,"0")+IFERROR(W298/H298,"0")</f>
        <v>61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1.3267499999999999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900</v>
      </c>
      <c r="W300" s="312">
        <f>IFERROR(SUM(W291:W298),"0")</f>
        <v>915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500</v>
      </c>
      <c r="W302" s="311">
        <f>IFERROR(IF(V302="",0,CEILING((V302/$H302),1)*$H302),"")</f>
        <v>510</v>
      </c>
      <c r="X302" s="36">
        <f>IFERROR(IF(W302=0,"",ROUNDUP(W302/H302,0)*0.02175),"")</f>
        <v>0.73949999999999994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4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33.333333333333336</v>
      </c>
      <c r="W305" s="312">
        <f>IFERROR(W302/H302,"0")+IFERROR(W303/H303,"0")+IFERROR(W304/H304,"0")</f>
        <v>34</v>
      </c>
      <c r="X305" s="312">
        <f>IFERROR(IF(X302="",0,X302),"0")+IFERROR(IF(X303="",0,X303),"0")+IFERROR(IF(X304="",0,X304),"0")</f>
        <v>0.73949999999999994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500</v>
      </c>
      <c r="W306" s="312">
        <f>IFERROR(SUM(W302:W304),"0")</f>
        <v>510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0</v>
      </c>
      <c r="W312" s="311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0</v>
      </c>
      <c r="W314" s="312">
        <f>IFERROR(SUM(W312:W312),"0")</f>
        <v>0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3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6" t="s">
        <v>482</v>
      </c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7"/>
      <c r="N339" s="367"/>
      <c r="O339" s="367"/>
      <c r="P339" s="367"/>
      <c r="Q339" s="367"/>
      <c r="R339" s="367"/>
      <c r="S339" s="367"/>
      <c r="T339" s="367"/>
      <c r="U339" s="367"/>
      <c r="V339" s="367"/>
      <c r="W339" s="367"/>
      <c r="X339" s="367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0</v>
      </c>
      <c r="W354" s="311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0</v>
      </c>
      <c r="W358" s="311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70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0</v>
      </c>
      <c r="W361" s="312">
        <f>IFERROR(SUM(W347:W359),"0")</f>
        <v>0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7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2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7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4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6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24</v>
      </c>
      <c r="W392" s="311">
        <f t="shared" ref="W392:W398" si="17">IFERROR(IF(V392="",0,CEILING((V392/$H392),1)*$H392),"")</f>
        <v>25.200000000000003</v>
      </c>
      <c r="X392" s="36">
        <f>IFERROR(IF(W392=0,"",ROUNDUP(W392/H392,0)*0.00753),"")</f>
        <v>4.5179999999999998E-2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0</v>
      </c>
      <c r="W394" s="311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2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5.7142857142857144</v>
      </c>
      <c r="W399" s="312">
        <f>IFERROR(W392/H392,"0")+IFERROR(W393/H393,"0")+IFERROR(W394/H394,"0")+IFERROR(W395/H395,"0")+IFERROR(W396/H396,"0")+IFERROR(W397/H397,"0")+IFERROR(W398/H398,"0")</f>
        <v>6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4.5179999999999998E-2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24</v>
      </c>
      <c r="W400" s="312">
        <f>IFERROR(SUM(W392:W398),"0")</f>
        <v>25.200000000000003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6" t="s">
        <v>569</v>
      </c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7"/>
      <c r="N405" s="367"/>
      <c r="O405" s="367"/>
      <c r="P405" s="367"/>
      <c r="Q405" s="367"/>
      <c r="R405" s="367"/>
      <c r="S405" s="367"/>
      <c r="T405" s="367"/>
      <c r="U405" s="367"/>
      <c r="V405" s="367"/>
      <c r="W405" s="367"/>
      <c r="X405" s="367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30</v>
      </c>
      <c r="W409" s="311">
        <f t="shared" si="18"/>
        <v>31.68</v>
      </c>
      <c r="X409" s="36">
        <f>IFERROR(IF(W409=0,"",ROUNDUP(W409/H409,0)*0.01196),"")</f>
        <v>7.1760000000000004E-2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30</v>
      </c>
      <c r="W411" s="311">
        <f t="shared" si="18"/>
        <v>31.68</v>
      </c>
      <c r="X411" s="36">
        <f>IFERROR(IF(W411=0,"",ROUNDUP(W411/H411,0)*0.01196),"")</f>
        <v>7.1760000000000004E-2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11.363636363636363</v>
      </c>
      <c r="W417" s="312">
        <f>IFERROR(W408/H408,"0")+IFERROR(W409/H409,"0")+IFERROR(W410/H410,"0")+IFERROR(W411/H411,"0")+IFERROR(W412/H412,"0")+IFERROR(W413/H413,"0")+IFERROR(W414/H414,"0")+IFERROR(W415/H415,"0")+IFERROR(W416/H416,"0")</f>
        <v>12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0.14352000000000001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60</v>
      </c>
      <c r="W418" s="312">
        <f>IFERROR(SUM(W408:W416),"0")</f>
        <v>63.36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30</v>
      </c>
      <c r="W420" s="311">
        <f>IFERROR(IF(V420="",0,CEILING((V420/$H420),1)*$H420),"")</f>
        <v>31.68</v>
      </c>
      <c r="X420" s="36">
        <f>IFERROR(IF(W420=0,"",ROUNDUP(W420/H420,0)*0.01196),"")</f>
        <v>7.1760000000000004E-2</v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5.6818181818181817</v>
      </c>
      <c r="W422" s="312">
        <f>IFERROR(W420/H420,"0")+IFERROR(W421/H421,"0")</f>
        <v>6</v>
      </c>
      <c r="X422" s="312">
        <f>IFERROR(IF(X420="",0,X420),"0")+IFERROR(IF(X421="",0,X421),"0")</f>
        <v>7.1760000000000004E-2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30</v>
      </c>
      <c r="W423" s="312">
        <f>IFERROR(SUM(W420:W421),"0")</f>
        <v>31.68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18</v>
      </c>
      <c r="W426" s="311">
        <f t="shared" si="19"/>
        <v>21.12</v>
      </c>
      <c r="X426" s="36">
        <f>IFERROR(IF(W426=0,"",ROUNDUP(W426/H426,0)*0.01196),"")</f>
        <v>4.7840000000000001E-2</v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4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2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5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3.4090909090909087</v>
      </c>
      <c r="W431" s="312">
        <f>IFERROR(W425/H425,"0")+IFERROR(W426/H426,"0")+IFERROR(W427/H427,"0")+IFERROR(W428/H428,"0")+IFERROR(W429/H429,"0")+IFERROR(W430/H430,"0")</f>
        <v>4</v>
      </c>
      <c r="X431" s="312">
        <f>IFERROR(IF(X425="",0,X425),"0")+IFERROR(IF(X426="",0,X426),"0")+IFERROR(IF(X427="",0,X427),"0")+IFERROR(IF(X428="",0,X428),"0")+IFERROR(IF(X429="",0,X429),"0")+IFERROR(IF(X430="",0,X430),"0")</f>
        <v>4.7840000000000001E-2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18</v>
      </c>
      <c r="W432" s="312">
        <f>IFERROR(SUM(W425:W430),"0")</f>
        <v>21.12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6" t="s">
        <v>611</v>
      </c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7"/>
      <c r="N438" s="367"/>
      <c r="O438" s="367"/>
      <c r="P438" s="367"/>
      <c r="Q438" s="367"/>
      <c r="R438" s="367"/>
      <c r="S438" s="367"/>
      <c r="T438" s="367"/>
      <c r="U438" s="367"/>
      <c r="V438" s="367"/>
      <c r="W438" s="367"/>
      <c r="X438" s="367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1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5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0</v>
      </c>
      <c r="W442" s="311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0</v>
      </c>
      <c r="W443" s="312">
        <f>IFERROR(W441/H441,"0")+IFERROR(W442/H442,"0")</f>
        <v>0</v>
      </c>
      <c r="X443" s="312">
        <f>IFERROR(IF(X441="",0,X441),"0")+IFERROR(IF(X442="",0,X442),"0")</f>
        <v>0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0</v>
      </c>
      <c r="W444" s="312">
        <f>IFERROR(SUM(W441:W442),"0")</f>
        <v>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20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400</v>
      </c>
      <c r="W446" s="311">
        <f>IFERROR(IF(V446="",0,CEILING((V446/$H446),1)*$H446),"")</f>
        <v>410.40000000000003</v>
      </c>
      <c r="X446" s="36">
        <f>IFERROR(IF(W446=0,"",ROUNDUP(W446/H446,0)*0.02175),"")</f>
        <v>0.8264999999999999</v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8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37.037037037037038</v>
      </c>
      <c r="W448" s="312">
        <f>IFERROR(W446/H446,"0")+IFERROR(W447/H447,"0")</f>
        <v>38</v>
      </c>
      <c r="X448" s="312">
        <f>IFERROR(IF(X446="",0,X446),"0")+IFERROR(IF(X447="",0,X447),"0")</f>
        <v>0.8264999999999999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400</v>
      </c>
      <c r="W449" s="312">
        <f>IFERROR(SUM(W446:W447),"0")</f>
        <v>410.40000000000003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4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300</v>
      </c>
      <c r="W452" s="311">
        <f>IFERROR(IF(V452="",0,CEILING((V452/$H452),1)*$H452),"")</f>
        <v>302.40000000000003</v>
      </c>
      <c r="X452" s="36">
        <f>IFERROR(IF(W452=0,"",ROUNDUP(W452/H452,0)*0.00753),"")</f>
        <v>0.54215999999999998</v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71.428571428571431</v>
      </c>
      <c r="W453" s="312">
        <f>IFERROR(W451/H451,"0")+IFERROR(W452/H452,"0")</f>
        <v>72</v>
      </c>
      <c r="X453" s="312">
        <f>IFERROR(IF(X451="",0,X451),"0")+IFERROR(IF(X452="",0,X452),"0")</f>
        <v>0.54215999999999998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300</v>
      </c>
      <c r="W454" s="312">
        <f>IFERROR(SUM(W451:W452),"0")</f>
        <v>302.40000000000003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7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0</v>
      </c>
      <c r="W462" s="311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0</v>
      </c>
      <c r="W463" s="312">
        <f>IFERROR(W462/H462,"0")</f>
        <v>0</v>
      </c>
      <c r="X463" s="312">
        <f>IFERROR(IF(X462="",0,X462),"0")</f>
        <v>0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0</v>
      </c>
      <c r="W464" s="312">
        <f>IFERROR(SUM(W462:W462),"0")</f>
        <v>0</v>
      </c>
      <c r="X464" s="37"/>
      <c r="Y464" s="313"/>
      <c r="Z464" s="313"/>
    </row>
    <row r="465" spans="1:29" ht="15" customHeight="1" x14ac:dyDescent="0.2">
      <c r="A465" s="548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2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5829.12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5959.7599999999993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2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6109.4891748251748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6246.8840000000009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2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10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11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2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6359.4891748251748</v>
      </c>
      <c r="W468" s="312">
        <f>GrossWeightTotalR+PalletQtyTotalR*25</f>
        <v>6521.8840000000009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2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692.01585328251986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707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2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11.742529999999999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1"/>
      <c r="E472" s="631"/>
      <c r="F472" s="403"/>
      <c r="G472" s="347" t="s">
        <v>236</v>
      </c>
      <c r="H472" s="631"/>
      <c r="I472" s="631"/>
      <c r="J472" s="631"/>
      <c r="K472" s="631"/>
      <c r="L472" s="631"/>
      <c r="M472" s="403"/>
      <c r="N472" s="347" t="s">
        <v>432</v>
      </c>
      <c r="O472" s="403"/>
      <c r="P472" s="347" t="s">
        <v>482</v>
      </c>
      <c r="Q472" s="403"/>
      <c r="R472" s="303" t="s">
        <v>569</v>
      </c>
      <c r="S472" s="347" t="s">
        <v>611</v>
      </c>
      <c r="T472" s="403"/>
      <c r="U472" s="304"/>
      <c r="Z472" s="52"/>
      <c r="AC472" s="304"/>
    </row>
    <row r="473" spans="1:29" ht="14.25" customHeight="1" thickTop="1" x14ac:dyDescent="0.2">
      <c r="A473" s="382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3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615.6</v>
      </c>
      <c r="D475" s="46">
        <f>IFERROR(W55*1,"0")+IFERROR(W56*1,"0")+IFERROR(W57*1,"0")+IFERROR(W58*1,"0")</f>
        <v>642.6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240.6</v>
      </c>
      <c r="F475" s="46">
        <f>IFERROR(W126*1,"0")+IFERROR(W127*1,"0")+IFERROR(W128*1,"0")</f>
        <v>0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1887.2</v>
      </c>
      <c r="K475" s="304"/>
      <c r="L475" s="46">
        <f>IFERROR(W256*1,"0")+IFERROR(W257*1,"0")+IFERROR(W258*1,"0")+IFERROR(W259*1,"0")+IFERROR(W260*1,"0")+IFERROR(W261*1,"0")+IFERROR(W262*1,"0")+IFERROR(W266*1,"0")+IFERROR(W267*1,"0")</f>
        <v>289.20000000000005</v>
      </c>
      <c r="M475" s="46">
        <f>IFERROR(W272*1,"0")+IFERROR(W276*1,"0")+IFERROR(W277*1,"0")+IFERROR(W281*1,"0")+IFERROR(W285*1,"0")</f>
        <v>5.4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1425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46">
        <f>IFERROR(W387*1,"0")+IFERROR(W388*1,"0")+IFERROR(W392*1,"0")+IFERROR(W393*1,"0")+IFERROR(W394*1,"0")+IFERROR(W395*1,"0")+IFERROR(W396*1,"0")+IFERROR(W397*1,"0")+IFERROR(W398*1,"0")+IFERROR(W402*1,"0")</f>
        <v>25.200000000000003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116.16</v>
      </c>
      <c r="S475" s="46">
        <f>IFERROR(W441*1,"0")+IFERROR(W442*1,"0")+IFERROR(W446*1,"0")+IFERROR(W447*1,"0")+IFERROR(W451*1,"0")+IFERROR(W452*1,"0")+IFERROR(W456*1,"0")+IFERROR(W457*1,"0")</f>
        <v>712.80000000000007</v>
      </c>
      <c r="T475" s="46">
        <f>IFERROR(W462*1,"0")</f>
        <v>0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N249:R249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320:R320"/>
    <mergeCell ref="D121:E121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451:R451"/>
    <mergeCell ref="N158:R158"/>
    <mergeCell ref="D74:E74"/>
    <mergeCell ref="A34:X34"/>
    <mergeCell ref="D68:E68"/>
    <mergeCell ref="D201:E201"/>
    <mergeCell ref="N245:R245"/>
    <mergeCell ref="N258:R258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329:R329"/>
    <mergeCell ref="N415:R415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295:E295"/>
    <mergeCell ref="D178:E178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2023-11-28T11:28:40Z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