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2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58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58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118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182" min="18" max="18"/>
    <col width="6.140625" customWidth="1" style="118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182" min="24" max="24"/>
    <col width="11" customWidth="1" style="1182" min="25" max="25"/>
    <col width="10" customWidth="1" style="1182" min="26" max="26"/>
    <col width="11.5703125" customWidth="1" style="1182" min="27" max="27"/>
    <col width="10.42578125" customWidth="1" style="1182" min="28" max="28"/>
    <col width="30" customWidth="1" style="1182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182" min="33" max="33"/>
    <col width="9.140625" customWidth="1" style="1182" min="34" max="16384"/>
  </cols>
  <sheetData>
    <row r="1" ht="45" customFormat="1" customHeight="1" s="801">
      <c r="A1" s="47" t="n"/>
      <c r="B1" s="47" t="n"/>
      <c r="C1" s="47" t="n"/>
      <c r="D1" s="760" t="inlineStr">
        <is>
          <t xml:space="preserve">  БЛАНК ЗАКАЗА </t>
        </is>
      </c>
      <c r="G1" s="14" t="inlineStr">
        <is>
          <t>КИ</t>
        </is>
      </c>
      <c r="H1" s="760" t="inlineStr">
        <is>
          <t>на отгрузку продукции с ООО Трейд-Сервис с</t>
        </is>
      </c>
      <c r="R1" s="761" t="inlineStr">
        <is>
          <t>24.02.2025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01">
      <c r="A2" s="34" t="inlineStr">
        <is>
          <t>бланк создан</t>
        </is>
      </c>
      <c r="B2" s="35" t="inlineStr">
        <is>
          <t>21.02.2025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6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2" t="n"/>
      <c r="R2" s="1182" t="n"/>
      <c r="S2" s="1182" t="n"/>
      <c r="T2" s="1182" t="n"/>
      <c r="U2" s="1182" t="n"/>
      <c r="V2" s="1182" t="n"/>
      <c r="W2" s="1182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182" t="n"/>
      <c r="Q3" s="1182" t="n"/>
      <c r="R3" s="1182" t="n"/>
      <c r="S3" s="1182" t="n"/>
      <c r="T3" s="1182" t="n"/>
      <c r="U3" s="1182" t="n"/>
      <c r="V3" s="1182" t="n"/>
      <c r="W3" s="1182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01">
      <c r="A5" s="764" t="inlineStr">
        <is>
          <t xml:space="preserve">Ваш контактный телефон и имя: </t>
        </is>
      </c>
      <c r="B5" s="1185" t="n"/>
      <c r="C5" s="1186" t="n"/>
      <c r="D5" s="765" t="n"/>
      <c r="E5" s="1187" t="n"/>
      <c r="F5" s="766" t="inlineStr">
        <is>
          <t>Комментарий к заказу:</t>
        </is>
      </c>
      <c r="G5" s="1186" t="n"/>
      <c r="H5" s="765" t="n"/>
      <c r="I5" s="1188" t="n"/>
      <c r="J5" s="1188" t="n"/>
      <c r="K5" s="1188" t="n"/>
      <c r="L5" s="1188" t="n"/>
      <c r="M5" s="1187" t="n"/>
      <c r="N5" s="72" t="n"/>
      <c r="P5" s="29" t="inlineStr">
        <is>
          <t>Дата загрузки</t>
        </is>
      </c>
      <c r="Q5" s="1189" t="n">
        <v>45716</v>
      </c>
      <c r="R5" s="768" t="n"/>
      <c r="T5" s="770" t="inlineStr">
        <is>
          <t>Способ доставки (доставка/самовывоз)</t>
        </is>
      </c>
      <c r="U5" s="1190" t="n"/>
      <c r="V5" s="1191" t="inlineStr">
        <is>
          <t>Самовывоз</t>
        </is>
      </c>
      <c r="W5" s="768" t="n"/>
      <c r="AB5" s="59" t="n"/>
      <c r="AC5" s="59" t="n"/>
      <c r="AD5" s="59" t="n"/>
      <c r="AE5" s="59" t="n"/>
    </row>
    <row r="6" ht="24" customFormat="1" customHeight="1" s="801">
      <c r="A6" s="764" t="inlineStr">
        <is>
          <t>Адрес доставки:</t>
        </is>
      </c>
      <c r="B6" s="1185" t="n"/>
      <c r="C6" s="1186" t="n"/>
      <c r="D6" s="773" t="inlineStr">
        <is>
          <t>КСК ТРЕЙД, ООО, Крым Респ, Симферополь г, Генерала Васильева ул, д. 44В, литера Ж, пом 5,</t>
        </is>
      </c>
      <c r="E6" s="1192" t="n"/>
      <c r="F6" s="1192" t="n"/>
      <c r="G6" s="1192" t="n"/>
      <c r="H6" s="1192" t="n"/>
      <c r="I6" s="1192" t="n"/>
      <c r="J6" s="1192" t="n"/>
      <c r="K6" s="1192" t="n"/>
      <c r="L6" s="1192" t="n"/>
      <c r="M6" s="768" t="n"/>
      <c r="N6" s="73" t="n"/>
      <c r="P6" s="29" t="inlineStr">
        <is>
          <t>День недели</t>
        </is>
      </c>
      <c r="Q6" s="774">
        <f>IF(Q5=0," ",CHOOSE(WEEKDAY(Q5,2),"Понедельник","Вторник","Среда","Четверг","Пятница","Суббота","Воскресенье"))</f>
        <v/>
      </c>
      <c r="R6" s="1193" t="n"/>
      <c r="T6" s="776" t="inlineStr">
        <is>
          <t>Наименование клиента</t>
        </is>
      </c>
      <c r="U6" s="1190" t="n"/>
      <c r="V6" s="1194" t="inlineStr">
        <is>
          <t>ОБЩЕСТВО С ОГРАНИЧЕННОЙ ОТВЕТСТВЕННОСТЬЮ "КСК ТРЕЙД"</t>
        </is>
      </c>
      <c r="W6" s="1195" t="n"/>
      <c r="AB6" s="59" t="n"/>
      <c r="AC6" s="59" t="n"/>
      <c r="AD6" s="59" t="n"/>
      <c r="AE6" s="59" t="n"/>
    </row>
    <row r="7" hidden="1" ht="21.75" customFormat="1" customHeight="1" s="801">
      <c r="A7" s="64" t="n"/>
      <c r="B7" s="64" t="n"/>
      <c r="C7" s="64" t="n"/>
      <c r="D7" s="1196">
        <f>IFERROR(VLOOKUP(DeliveryAddress,Table,3,0),1)</f>
        <v/>
      </c>
      <c r="E7" s="1197" t="n"/>
      <c r="F7" s="1197" t="n"/>
      <c r="G7" s="1197" t="n"/>
      <c r="H7" s="1197" t="n"/>
      <c r="I7" s="1197" t="n"/>
      <c r="J7" s="1197" t="n"/>
      <c r="K7" s="1197" t="n"/>
      <c r="L7" s="1197" t="n"/>
      <c r="M7" s="1198" t="n"/>
      <c r="N7" s="74" t="n"/>
      <c r="P7" s="29" t="n"/>
      <c r="Q7" s="48" t="n"/>
      <c r="R7" s="48" t="n"/>
      <c r="T7" s="1182" t="n"/>
      <c r="U7" s="1190" t="n"/>
      <c r="V7" s="1199" t="n"/>
      <c r="W7" s="1200" t="n"/>
      <c r="AB7" s="59" t="n"/>
      <c r="AC7" s="59" t="n"/>
      <c r="AD7" s="59" t="n"/>
      <c r="AE7" s="59" t="n"/>
    </row>
    <row r="8" ht="25.5" customFormat="1" customHeight="1" s="801">
      <c r="A8" s="786" t="inlineStr">
        <is>
          <t>Адрес сдачи груза:</t>
        </is>
      </c>
      <c r="B8" s="1201" t="n"/>
      <c r="C8" s="1202" t="n"/>
      <c r="D8" s="787" t="inlineStr">
        <is>
          <t>295051Российская Федерация, Крым Респ, Симферополь г, Генерала Васильева ул, д. 44В, литера Ж, пом 5,</t>
        </is>
      </c>
      <c r="E8" s="1203" t="n"/>
      <c r="F8" s="1203" t="n"/>
      <c r="G8" s="1203" t="n"/>
      <c r="H8" s="1203" t="n"/>
      <c r="I8" s="1203" t="n"/>
      <c r="J8" s="1203" t="n"/>
      <c r="K8" s="1203" t="n"/>
      <c r="L8" s="1203" t="n"/>
      <c r="M8" s="1204" t="n"/>
      <c r="N8" s="75" t="n"/>
      <c r="P8" s="29" t="inlineStr">
        <is>
          <t>Время загрузки</t>
        </is>
      </c>
      <c r="Q8" s="788" t="n">
        <v>0.375</v>
      </c>
      <c r="R8" s="1198" t="n"/>
      <c r="T8" s="1182" t="n"/>
      <c r="U8" s="1190" t="n"/>
      <c r="V8" s="1199" t="n"/>
      <c r="W8" s="1200" t="n"/>
      <c r="AB8" s="59" t="n"/>
      <c r="AC8" s="59" t="n"/>
      <c r="AD8" s="59" t="n"/>
      <c r="AE8" s="59" t="n"/>
    </row>
    <row r="9" ht="39.95" customFormat="1" customHeight="1" s="801">
      <c r="A9" s="7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82" t="n"/>
      <c r="C9" s="1182" t="n"/>
      <c r="D9" s="790" t="inlineStr"/>
      <c r="E9" s="3" t="n"/>
      <c r="F9" s="7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82" t="n"/>
      <c r="H9" s="7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92" t="n"/>
      <c r="P9" s="31" t="inlineStr">
        <is>
          <t>Дата доставки</t>
        </is>
      </c>
      <c r="Q9" s="1205" t="n"/>
      <c r="R9" s="1206" t="n"/>
      <c r="T9" s="1182" t="n"/>
      <c r="U9" s="1190" t="n"/>
      <c r="V9" s="1207" t="n"/>
      <c r="W9" s="1208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01">
      <c r="A10" s="7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82" t="n"/>
      <c r="C10" s="1182" t="n"/>
      <c r="D10" s="790" t="n"/>
      <c r="E10" s="3" t="n"/>
      <c r="F10" s="7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82" t="n"/>
      <c r="H10" s="794">
        <f>IFERROR(VLOOKUP($D$10,Proxy,2,FALSE),"")</f>
        <v/>
      </c>
      <c r="I10" s="1182" t="n"/>
      <c r="J10" s="1182" t="n"/>
      <c r="K10" s="1182" t="n"/>
      <c r="L10" s="1182" t="n"/>
      <c r="M10" s="1182" t="n"/>
      <c r="N10" s="794" t="n"/>
      <c r="P10" s="31" t="inlineStr">
        <is>
          <t>Время доставки</t>
        </is>
      </c>
      <c r="Q10" s="795" t="n"/>
      <c r="R10" s="1209" t="n"/>
      <c r="U10" s="29" t="inlineStr">
        <is>
          <t>КОД Аксапты Клиента</t>
        </is>
      </c>
      <c r="V10" s="1210" t="inlineStr">
        <is>
          <t>590943</t>
        </is>
      </c>
      <c r="W10" s="1195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98" t="n"/>
      <c r="R11" s="768" t="n"/>
      <c r="U11" s="29" t="inlineStr">
        <is>
          <t>Тип заказа</t>
        </is>
      </c>
      <c r="V11" s="799" t="inlineStr">
        <is>
          <t>Основной заказ</t>
        </is>
      </c>
      <c r="W11" s="1206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01">
      <c r="A12" s="800" t="inlineStr">
        <is>
          <t>Телефоны для заказов: 8(919)002-63-01  E-mail: kolbasa@abiproduct.ru  Телефон сотрудников склада: 8 (910) 775-52-91</t>
        </is>
      </c>
      <c r="B12" s="1185" t="n"/>
      <c r="C12" s="1185" t="n"/>
      <c r="D12" s="1185" t="n"/>
      <c r="E12" s="1185" t="n"/>
      <c r="F12" s="1185" t="n"/>
      <c r="G12" s="1185" t="n"/>
      <c r="H12" s="1185" t="n"/>
      <c r="I12" s="1185" t="n"/>
      <c r="J12" s="1185" t="n"/>
      <c r="K12" s="1185" t="n"/>
      <c r="L12" s="1185" t="n"/>
      <c r="M12" s="1186" t="n"/>
      <c r="N12" s="76" t="n"/>
      <c r="P12" s="29" t="inlineStr">
        <is>
          <t>Время доставки 3 машины</t>
        </is>
      </c>
      <c r="Q12" s="788" t="n"/>
      <c r="R12" s="1198" t="n"/>
      <c r="S12" s="28" t="n"/>
      <c r="U12" s="29" t="inlineStr"/>
      <c r="V12" s="801" t="n"/>
      <c r="W12" s="1182" t="n"/>
      <c r="AB12" s="59" t="n"/>
      <c r="AC12" s="59" t="n"/>
      <c r="AD12" s="59" t="n"/>
      <c r="AE12" s="59" t="n"/>
    </row>
    <row r="13" ht="23.25" customFormat="1" customHeight="1" s="801">
      <c r="A13" s="800" t="inlineStr">
        <is>
          <t>График приема заказов: Заказы принимаются за ДВА дня до отгрузки Пн-Пт: с 9:00 до 14:00, Суб., Вс. - до 12:00</t>
        </is>
      </c>
      <c r="B13" s="1185" t="n"/>
      <c r="C13" s="1185" t="n"/>
      <c r="D13" s="1185" t="n"/>
      <c r="E13" s="1185" t="n"/>
      <c r="F13" s="1185" t="n"/>
      <c r="G13" s="1185" t="n"/>
      <c r="H13" s="1185" t="n"/>
      <c r="I13" s="1185" t="n"/>
      <c r="J13" s="1185" t="n"/>
      <c r="K13" s="1185" t="n"/>
      <c r="L13" s="1185" t="n"/>
      <c r="M13" s="1186" t="n"/>
      <c r="N13" s="76" t="n"/>
      <c r="O13" s="31" t="n"/>
      <c r="P13" s="31" t="inlineStr">
        <is>
          <t>Время доставки 4 машины</t>
        </is>
      </c>
      <c r="Q13" s="799" t="n"/>
      <c r="R13" s="1206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01">
      <c r="A14" s="800" t="inlineStr">
        <is>
          <t>Телефон менеджера по логистике: 8 (919) 012-30-55 - по вопросам доставки продукции</t>
        </is>
      </c>
      <c r="B14" s="1185" t="n"/>
      <c r="C14" s="1185" t="n"/>
      <c r="D14" s="1185" t="n"/>
      <c r="E14" s="1185" t="n"/>
      <c r="F14" s="1185" t="n"/>
      <c r="G14" s="1185" t="n"/>
      <c r="H14" s="1185" t="n"/>
      <c r="I14" s="1185" t="n"/>
      <c r="J14" s="1185" t="n"/>
      <c r="K14" s="1185" t="n"/>
      <c r="L14" s="1185" t="n"/>
      <c r="M14" s="1186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01">
      <c r="A15" s="802" t="inlineStr">
        <is>
          <t>Телефон по работе с претензиями/жалобами (WhatSapp): 8 (980) 757-69-93       E-mail: Claims@abiproduct.ru</t>
        </is>
      </c>
      <c r="B15" s="1185" t="n"/>
      <c r="C15" s="1185" t="n"/>
      <c r="D15" s="1185" t="n"/>
      <c r="E15" s="1185" t="n"/>
      <c r="F15" s="1185" t="n"/>
      <c r="G15" s="1185" t="n"/>
      <c r="H15" s="1185" t="n"/>
      <c r="I15" s="1185" t="n"/>
      <c r="J15" s="1185" t="n"/>
      <c r="K15" s="1185" t="n"/>
      <c r="L15" s="1185" t="n"/>
      <c r="M15" s="1186" t="n"/>
      <c r="N15" s="77" t="n"/>
      <c r="P15" s="804" t="inlineStr">
        <is>
          <t>Кликните на продукт, чтобы просмотреть изображение</t>
        </is>
      </c>
      <c r="X15" s="801" t="n"/>
      <c r="Y15" s="801" t="n"/>
      <c r="Z15" s="801" t="n"/>
      <c r="AA15" s="801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11" t="n"/>
      <c r="Q16" s="1211" t="n"/>
      <c r="R16" s="1211" t="n"/>
      <c r="S16" s="1211" t="n"/>
      <c r="T16" s="1211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12" t="inlineStr">
        <is>
          <t>Код единицы продаж</t>
        </is>
      </c>
      <c r="B17" s="1212" t="inlineStr">
        <is>
          <t>Код продукта</t>
        </is>
      </c>
      <c r="C17" s="1213" t="inlineStr">
        <is>
          <t>Номер варианта</t>
        </is>
      </c>
      <c r="D17" s="1212" t="inlineStr">
        <is>
          <t xml:space="preserve">Штрих-код </t>
        </is>
      </c>
      <c r="E17" s="1214" t="n"/>
      <c r="F17" s="1212" t="inlineStr">
        <is>
          <t>Вес нетто штуки, кг</t>
        </is>
      </c>
      <c r="G17" s="1212" t="inlineStr">
        <is>
          <t>Кол-во штук в коробе, шт</t>
        </is>
      </c>
      <c r="H17" s="1212" t="inlineStr">
        <is>
          <t>Вес нетто короба, кг</t>
        </is>
      </c>
      <c r="I17" s="1212" t="inlineStr">
        <is>
          <t>Вес брутто короба, кг</t>
        </is>
      </c>
      <c r="J17" s="1212" t="inlineStr">
        <is>
          <t>Кол-во кор. на паллте, шт</t>
        </is>
      </c>
      <c r="K17" s="1212" t="inlineStr">
        <is>
          <t>Коробок в слое</t>
        </is>
      </c>
      <c r="L17" s="1212" t="inlineStr">
        <is>
          <t>Квант заказа</t>
        </is>
      </c>
      <c r="M17" s="1212" t="inlineStr">
        <is>
          <t>Завод</t>
        </is>
      </c>
      <c r="N17" s="1212" t="inlineStr">
        <is>
          <t>Внешний код номенклатуры</t>
        </is>
      </c>
      <c r="O17" s="1212" t="inlineStr">
        <is>
          <t>Срок годности, сут.</t>
        </is>
      </c>
      <c r="P17" s="1212" t="inlineStr">
        <is>
          <t>Наименование</t>
        </is>
      </c>
      <c r="Q17" s="1215" t="n"/>
      <c r="R17" s="1215" t="n"/>
      <c r="S17" s="1215" t="n"/>
      <c r="T17" s="1214" t="n"/>
      <c r="U17" s="83" t="inlineStr">
        <is>
          <t>Доступно к отгрузке</t>
        </is>
      </c>
      <c r="V17" s="1186" t="n"/>
      <c r="W17" s="1212" t="inlineStr">
        <is>
          <t>Ед. изм.</t>
        </is>
      </c>
      <c r="X17" s="1212" t="inlineStr">
        <is>
          <t>Заказ</t>
        </is>
      </c>
      <c r="Y17" s="1216" t="inlineStr">
        <is>
          <t>Заказ с округлением до короба</t>
        </is>
      </c>
      <c r="Z17" s="1217" t="inlineStr">
        <is>
          <t>Объём заказа, м3</t>
        </is>
      </c>
      <c r="AA17" s="1218" t="inlineStr">
        <is>
          <t>Примечание по продуктку</t>
        </is>
      </c>
      <c r="AB17" s="1218" t="inlineStr">
        <is>
          <t>Признак "НОВИНКА"</t>
        </is>
      </c>
      <c r="AC17" s="1218" t="inlineStr">
        <is>
          <t>Декларация/Сертификат</t>
        </is>
      </c>
      <c r="AD17" s="1218" t="inlineStr">
        <is>
          <t>Для формул</t>
        </is>
      </c>
      <c r="AE17" s="1219" t="n"/>
      <c r="AF17" s="1220" t="n"/>
      <c r="AG17" s="82" t="n"/>
      <c r="BD17" s="81" t="inlineStr">
        <is>
          <t>Вид продукции</t>
        </is>
      </c>
    </row>
    <row r="18" ht="14.25" customHeight="1">
      <c r="A18" s="1221" t="n"/>
      <c r="B18" s="1221" t="n"/>
      <c r="C18" s="1221" t="n"/>
      <c r="D18" s="1222" t="n"/>
      <c r="E18" s="1223" t="n"/>
      <c r="F18" s="1221" t="n"/>
      <c r="G18" s="1221" t="n"/>
      <c r="H18" s="1221" t="n"/>
      <c r="I18" s="1221" t="n"/>
      <c r="J18" s="1221" t="n"/>
      <c r="K18" s="1221" t="n"/>
      <c r="L18" s="1221" t="n"/>
      <c r="M18" s="1221" t="n"/>
      <c r="N18" s="1221" t="n"/>
      <c r="O18" s="1221" t="n"/>
      <c r="P18" s="1222" t="n"/>
      <c r="Q18" s="1224" t="n"/>
      <c r="R18" s="1224" t="n"/>
      <c r="S18" s="1224" t="n"/>
      <c r="T18" s="1223" t="n"/>
      <c r="U18" s="83" t="inlineStr">
        <is>
          <t>начиная с</t>
        </is>
      </c>
      <c r="V18" s="83" t="inlineStr">
        <is>
          <t>до</t>
        </is>
      </c>
      <c r="W18" s="1221" t="n"/>
      <c r="X18" s="1221" t="n"/>
      <c r="Y18" s="1225" t="n"/>
      <c r="Z18" s="1226" t="n"/>
      <c r="AA18" s="1227" t="n"/>
      <c r="AB18" s="1227" t="n"/>
      <c r="AC18" s="1227" t="n"/>
      <c r="AD18" s="1228" t="n"/>
      <c r="AE18" s="1229" t="n"/>
      <c r="AF18" s="1230" t="n"/>
      <c r="AG18" s="82" t="n"/>
      <c r="BD18" s="81" t="n"/>
    </row>
    <row r="19" ht="27.75" customHeight="1">
      <c r="A19" s="829" t="inlineStr">
        <is>
          <t>Ядрена копоть</t>
        </is>
      </c>
      <c r="B19" s="1231" t="n"/>
      <c r="C19" s="1231" t="n"/>
      <c r="D19" s="1231" t="n"/>
      <c r="E19" s="1231" t="n"/>
      <c r="F19" s="1231" t="n"/>
      <c r="G19" s="1231" t="n"/>
      <c r="H19" s="1231" t="n"/>
      <c r="I19" s="1231" t="n"/>
      <c r="J19" s="1231" t="n"/>
      <c r="K19" s="1231" t="n"/>
      <c r="L19" s="1231" t="n"/>
      <c r="M19" s="1231" t="n"/>
      <c r="N19" s="1231" t="n"/>
      <c r="O19" s="1231" t="n"/>
      <c r="P19" s="1231" t="n"/>
      <c r="Q19" s="1231" t="n"/>
      <c r="R19" s="1231" t="n"/>
      <c r="S19" s="1231" t="n"/>
      <c r="T19" s="1231" t="n"/>
      <c r="U19" s="1231" t="n"/>
      <c r="V19" s="1231" t="n"/>
      <c r="W19" s="1231" t="n"/>
      <c r="X19" s="1231" t="n"/>
      <c r="Y19" s="1231" t="n"/>
      <c r="Z19" s="1231" t="n"/>
      <c r="AA19" s="54" t="n"/>
      <c r="AB19" s="54" t="n"/>
      <c r="AC19" s="54" t="n"/>
    </row>
    <row r="20" ht="16.5" customHeight="1">
      <c r="A20" s="830" t="inlineStr">
        <is>
          <t>Ядрена копоть</t>
        </is>
      </c>
      <c r="B20" s="1182" t="n"/>
      <c r="C20" s="1182" t="n"/>
      <c r="D20" s="1182" t="n"/>
      <c r="E20" s="1182" t="n"/>
      <c r="F20" s="1182" t="n"/>
      <c r="G20" s="1182" t="n"/>
      <c r="H20" s="1182" t="n"/>
      <c r="I20" s="1182" t="n"/>
      <c r="J20" s="1182" t="n"/>
      <c r="K20" s="1182" t="n"/>
      <c r="L20" s="1182" t="n"/>
      <c r="M20" s="1182" t="n"/>
      <c r="N20" s="1182" t="n"/>
      <c r="O20" s="1182" t="n"/>
      <c r="P20" s="1182" t="n"/>
      <c r="Q20" s="1182" t="n"/>
      <c r="R20" s="1182" t="n"/>
      <c r="S20" s="1182" t="n"/>
      <c r="T20" s="1182" t="n"/>
      <c r="U20" s="1182" t="n"/>
      <c r="V20" s="1182" t="n"/>
      <c r="W20" s="1182" t="n"/>
      <c r="X20" s="1182" t="n"/>
      <c r="Y20" s="1182" t="n"/>
      <c r="Z20" s="1182" t="n"/>
      <c r="AA20" s="830" t="n"/>
      <c r="AB20" s="830" t="n"/>
      <c r="AC20" s="830" t="n"/>
    </row>
    <row r="21" ht="14.25" customHeight="1">
      <c r="A21" s="831" t="inlineStr">
        <is>
          <t>Сосиски</t>
        </is>
      </c>
      <c r="B21" s="1182" t="n"/>
      <c r="C21" s="1182" t="n"/>
      <c r="D21" s="1182" t="n"/>
      <c r="E21" s="1182" t="n"/>
      <c r="F21" s="1182" t="n"/>
      <c r="G21" s="1182" t="n"/>
      <c r="H21" s="1182" t="n"/>
      <c r="I21" s="1182" t="n"/>
      <c r="J21" s="1182" t="n"/>
      <c r="K21" s="1182" t="n"/>
      <c r="L21" s="1182" t="n"/>
      <c r="M21" s="1182" t="n"/>
      <c r="N21" s="1182" t="n"/>
      <c r="O21" s="1182" t="n"/>
      <c r="P21" s="1182" t="n"/>
      <c r="Q21" s="1182" t="n"/>
      <c r="R21" s="1182" t="n"/>
      <c r="S21" s="1182" t="n"/>
      <c r="T21" s="1182" t="n"/>
      <c r="U21" s="1182" t="n"/>
      <c r="V21" s="1182" t="n"/>
      <c r="W21" s="1182" t="n"/>
      <c r="X21" s="1182" t="n"/>
      <c r="Y21" s="1182" t="n"/>
      <c r="Z21" s="1182" t="n"/>
      <c r="AA21" s="831" t="n"/>
      <c r="AB21" s="831" t="n"/>
      <c r="AC21" s="831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832" t="n">
        <v>4680115885912</v>
      </c>
      <c r="E22" s="1193" t="n"/>
      <c r="F22" s="1232" t="n">
        <v>0.3</v>
      </c>
      <c r="G22" s="37" t="n">
        <v>6</v>
      </c>
      <c r="H22" s="1232" t="n">
        <v>1.8</v>
      </c>
      <c r="I22" s="1232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3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234" t="n"/>
      <c r="R22" s="1234" t="n"/>
      <c r="S22" s="1234" t="n"/>
      <c r="T22" s="1235" t="n"/>
      <c r="U22" s="39" t="inlineStr"/>
      <c r="V22" s="39" t="inlineStr"/>
      <c r="W22" s="40" t="inlineStr">
        <is>
          <t>кг</t>
        </is>
      </c>
      <c r="X22" s="1236" t="n">
        <v>0</v>
      </c>
      <c r="Y22" s="1237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832" t="n">
        <v>4607091388237</v>
      </c>
      <c r="E23" s="1193" t="n"/>
      <c r="F23" s="1232" t="n">
        <v>0.42</v>
      </c>
      <c r="G23" s="37" t="n">
        <v>6</v>
      </c>
      <c r="H23" s="1232" t="n">
        <v>2.52</v>
      </c>
      <c r="I23" s="1232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23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234" t="n"/>
      <c r="R23" s="1234" t="n"/>
      <c r="S23" s="1234" t="n"/>
      <c r="T23" s="1235" t="n"/>
      <c r="U23" s="39" t="inlineStr"/>
      <c r="V23" s="39" t="inlineStr"/>
      <c r="W23" s="40" t="inlineStr">
        <is>
          <t>кг</t>
        </is>
      </c>
      <c r="X23" s="1236" t="n">
        <v>0</v>
      </c>
      <c r="Y23" s="1237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832" t="n">
        <v>4680115885905</v>
      </c>
      <c r="E24" s="1193" t="n"/>
      <c r="F24" s="1232" t="n">
        <v>0.3</v>
      </c>
      <c r="G24" s="37" t="n">
        <v>6</v>
      </c>
      <c r="H24" s="1232" t="n">
        <v>1.8</v>
      </c>
      <c r="I24" s="1232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239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4" s="1234" t="n"/>
      <c r="R24" s="1234" t="n"/>
      <c r="S24" s="1234" t="n"/>
      <c r="T24" s="1235" t="n"/>
      <c r="U24" s="39" t="inlineStr"/>
      <c r="V24" s="39" t="inlineStr"/>
      <c r="W24" s="40" t="inlineStr">
        <is>
          <t>кг</t>
        </is>
      </c>
      <c r="X24" s="1236" t="n">
        <v>0</v>
      </c>
      <c r="Y24" s="1237">
        <f>IFERROR(IF(X24="",0,CEILING((X24/$H24),1)*$H24),"")</f>
        <v/>
      </c>
      <c r="Z24" s="41">
        <f>IFERROR(IF(Y24=0,"",ROUNDUP(Y24/H24,0)*0.00651),"")</f>
        <v/>
      </c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>
        <f>IFERROR(X24*I24/H24,"0")</f>
        <v/>
      </c>
      <c r="BN24" s="78">
        <f>IFERROR(Y24*I24/H24,"0")</f>
        <v/>
      </c>
      <c r="BO24" s="78">
        <f>IFERROR(1/J24*(X24/H24),"0")</f>
        <v/>
      </c>
      <c r="BP24" s="78">
        <f>IFERROR(1/J24*(Y24/H24),"0")</f>
        <v/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832" t="n">
        <v>4607091388244</v>
      </c>
      <c r="E25" s="1193" t="n"/>
      <c r="F25" s="1232" t="n">
        <v>0.42</v>
      </c>
      <c r="G25" s="37" t="n">
        <v>6</v>
      </c>
      <c r="H25" s="1232" t="n">
        <v>2.52</v>
      </c>
      <c r="I25" s="1232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240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5" s="1234" t="n"/>
      <c r="R25" s="1234" t="n"/>
      <c r="S25" s="1234" t="n"/>
      <c r="T25" s="1235" t="n"/>
      <c r="U25" s="39" t="inlineStr"/>
      <c r="V25" s="39" t="inlineStr"/>
      <c r="W25" s="40" t="inlineStr">
        <is>
          <t>кг</t>
        </is>
      </c>
      <c r="X25" s="1236" t="n">
        <v>0</v>
      </c>
      <c r="Y25" s="1237">
        <f>IFERROR(IF(X25="",0,CEILING((X25/$H25),1)*$H25),"")</f>
        <v/>
      </c>
      <c r="Z25" s="41">
        <f>IFERROR(IF(Y25=0,"",ROUNDUP(Y25/H25,0)*0.00651),"")</f>
        <v/>
      </c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>
        <f>IFERROR(X25*I25/H25,"0")</f>
        <v/>
      </c>
      <c r="BN25" s="78">
        <f>IFERROR(Y25*I25/H25,"0")</f>
        <v/>
      </c>
      <c r="BO25" s="78">
        <f>IFERROR(1/J25*(X25/H25),"0")</f>
        <v/>
      </c>
      <c r="BP25" s="78">
        <f>IFERROR(1/J25*(Y25/H25),"0")</f>
        <v/>
      </c>
    </row>
    <row r="26">
      <c r="A26" s="843" t="n"/>
      <c r="B26" s="1182" t="n"/>
      <c r="C26" s="1182" t="n"/>
      <c r="D26" s="1182" t="n"/>
      <c r="E26" s="1182" t="n"/>
      <c r="F26" s="1182" t="n"/>
      <c r="G26" s="1182" t="n"/>
      <c r="H26" s="1182" t="n"/>
      <c r="I26" s="1182" t="n"/>
      <c r="J26" s="1182" t="n"/>
      <c r="K26" s="1182" t="n"/>
      <c r="L26" s="1182" t="n"/>
      <c r="M26" s="1182" t="n"/>
      <c r="N26" s="1182" t="n"/>
      <c r="O26" s="1241" t="n"/>
      <c r="P26" s="1242" t="inlineStr">
        <is>
          <t>Итого</t>
        </is>
      </c>
      <c r="Q26" s="1201" t="n"/>
      <c r="R26" s="1201" t="n"/>
      <c r="S26" s="1201" t="n"/>
      <c r="T26" s="1201" t="n"/>
      <c r="U26" s="1201" t="n"/>
      <c r="V26" s="1202" t="n"/>
      <c r="W26" s="42" t="inlineStr">
        <is>
          <t>кор</t>
        </is>
      </c>
      <c r="X26" s="1243">
        <f>IFERROR(X22/H22,"0")+IFERROR(X23/H23,"0")+IFERROR(X24/H24,"0")+IFERROR(X25/H25,"0")</f>
        <v/>
      </c>
      <c r="Y26" s="1243">
        <f>IFERROR(Y22/H22,"0")+IFERROR(Y23/H23,"0")+IFERROR(Y24/H24,"0")+IFERROR(Y25/H25,"0")</f>
        <v/>
      </c>
      <c r="Z26" s="1243">
        <f>IFERROR(IF(Z22="",0,Z22),"0")+IFERROR(IF(Z23="",0,Z23),"0")+IFERROR(IF(Z24="",0,Z24),"0")+IFERROR(IF(Z25="",0,Z25),"0")</f>
        <v/>
      </c>
      <c r="AA26" s="1244" t="n"/>
      <c r="AB26" s="1244" t="n"/>
      <c r="AC26" s="1244" t="n"/>
    </row>
    <row r="27">
      <c r="A27" s="1182" t="n"/>
      <c r="B27" s="1182" t="n"/>
      <c r="C27" s="1182" t="n"/>
      <c r="D27" s="1182" t="n"/>
      <c r="E27" s="1182" t="n"/>
      <c r="F27" s="1182" t="n"/>
      <c r="G27" s="1182" t="n"/>
      <c r="H27" s="1182" t="n"/>
      <c r="I27" s="1182" t="n"/>
      <c r="J27" s="1182" t="n"/>
      <c r="K27" s="1182" t="n"/>
      <c r="L27" s="1182" t="n"/>
      <c r="M27" s="1182" t="n"/>
      <c r="N27" s="1182" t="n"/>
      <c r="O27" s="1241" t="n"/>
      <c r="P27" s="1242" t="inlineStr">
        <is>
          <t>Итого</t>
        </is>
      </c>
      <c r="Q27" s="1201" t="n"/>
      <c r="R27" s="1201" t="n"/>
      <c r="S27" s="1201" t="n"/>
      <c r="T27" s="1201" t="n"/>
      <c r="U27" s="1201" t="n"/>
      <c r="V27" s="1202" t="n"/>
      <c r="W27" s="42" t="inlineStr">
        <is>
          <t>кг</t>
        </is>
      </c>
      <c r="X27" s="1243">
        <f>IFERROR(SUM(X22:X25),"0")</f>
        <v/>
      </c>
      <c r="Y27" s="1243">
        <f>IFERROR(SUM(Y22:Y25),"0")</f>
        <v/>
      </c>
      <c r="Z27" s="42" t="n"/>
      <c r="AA27" s="1244" t="n"/>
      <c r="AB27" s="1244" t="n"/>
      <c r="AC27" s="1244" t="n"/>
    </row>
    <row r="28" ht="14.25" customHeight="1">
      <c r="A28" s="831" t="inlineStr">
        <is>
          <t>Сырокопченые колбасы</t>
        </is>
      </c>
      <c r="B28" s="1182" t="n"/>
      <c r="C28" s="1182" t="n"/>
      <c r="D28" s="1182" t="n"/>
      <c r="E28" s="1182" t="n"/>
      <c r="F28" s="1182" t="n"/>
      <c r="G28" s="1182" t="n"/>
      <c r="H28" s="1182" t="n"/>
      <c r="I28" s="1182" t="n"/>
      <c r="J28" s="1182" t="n"/>
      <c r="K28" s="1182" t="n"/>
      <c r="L28" s="1182" t="n"/>
      <c r="M28" s="1182" t="n"/>
      <c r="N28" s="1182" t="n"/>
      <c r="O28" s="1182" t="n"/>
      <c r="P28" s="1182" t="n"/>
      <c r="Q28" s="1182" t="n"/>
      <c r="R28" s="1182" t="n"/>
      <c r="S28" s="1182" t="n"/>
      <c r="T28" s="1182" t="n"/>
      <c r="U28" s="1182" t="n"/>
      <c r="V28" s="1182" t="n"/>
      <c r="W28" s="1182" t="n"/>
      <c r="X28" s="1182" t="n"/>
      <c r="Y28" s="1182" t="n"/>
      <c r="Z28" s="1182" t="n"/>
      <c r="AA28" s="831" t="n"/>
      <c r="AB28" s="831" t="n"/>
      <c r="AC28" s="831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832" t="n">
        <v>4607091388503</v>
      </c>
      <c r="E29" s="1193" t="n"/>
      <c r="F29" s="1232" t="n">
        <v>0.05</v>
      </c>
      <c r="G29" s="37" t="n">
        <v>12</v>
      </c>
      <c r="H29" s="1232" t="n">
        <v>0.6</v>
      </c>
      <c r="I29" s="1232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24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9" s="1234" t="n"/>
      <c r="R29" s="1234" t="n"/>
      <c r="S29" s="1234" t="n"/>
      <c r="T29" s="1235" t="n"/>
      <c r="U29" s="39" t="inlineStr"/>
      <c r="V29" s="39" t="inlineStr"/>
      <c r="W29" s="40" t="inlineStr">
        <is>
          <t>кг</t>
        </is>
      </c>
      <c r="X29" s="1236" t="n">
        <v>0</v>
      </c>
      <c r="Y29" s="1237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>
      <c r="A30" s="843" t="n"/>
      <c r="B30" s="1182" t="n"/>
      <c r="C30" s="1182" t="n"/>
      <c r="D30" s="1182" t="n"/>
      <c r="E30" s="1182" t="n"/>
      <c r="F30" s="1182" t="n"/>
      <c r="G30" s="1182" t="n"/>
      <c r="H30" s="1182" t="n"/>
      <c r="I30" s="1182" t="n"/>
      <c r="J30" s="1182" t="n"/>
      <c r="K30" s="1182" t="n"/>
      <c r="L30" s="1182" t="n"/>
      <c r="M30" s="1182" t="n"/>
      <c r="N30" s="1182" t="n"/>
      <c r="O30" s="1241" t="n"/>
      <c r="P30" s="1242" t="inlineStr">
        <is>
          <t>Итого</t>
        </is>
      </c>
      <c r="Q30" s="1201" t="n"/>
      <c r="R30" s="1201" t="n"/>
      <c r="S30" s="1201" t="n"/>
      <c r="T30" s="1201" t="n"/>
      <c r="U30" s="1201" t="n"/>
      <c r="V30" s="1202" t="n"/>
      <c r="W30" s="42" t="inlineStr">
        <is>
          <t>кор</t>
        </is>
      </c>
      <c r="X30" s="1243">
        <f>IFERROR(X29/H29,"0")</f>
        <v/>
      </c>
      <c r="Y30" s="1243">
        <f>IFERROR(Y29/H29,"0")</f>
        <v/>
      </c>
      <c r="Z30" s="1243">
        <f>IFERROR(IF(Z29="",0,Z29),"0")</f>
        <v/>
      </c>
      <c r="AA30" s="1244" t="n"/>
      <c r="AB30" s="1244" t="n"/>
      <c r="AC30" s="1244" t="n"/>
    </row>
    <row r="31">
      <c r="A31" s="1182" t="n"/>
      <c r="B31" s="1182" t="n"/>
      <c r="C31" s="1182" t="n"/>
      <c r="D31" s="1182" t="n"/>
      <c r="E31" s="1182" t="n"/>
      <c r="F31" s="1182" t="n"/>
      <c r="G31" s="1182" t="n"/>
      <c r="H31" s="1182" t="n"/>
      <c r="I31" s="1182" t="n"/>
      <c r="J31" s="1182" t="n"/>
      <c r="K31" s="1182" t="n"/>
      <c r="L31" s="1182" t="n"/>
      <c r="M31" s="1182" t="n"/>
      <c r="N31" s="1182" t="n"/>
      <c r="O31" s="1241" t="n"/>
      <c r="P31" s="1242" t="inlineStr">
        <is>
          <t>Итого</t>
        </is>
      </c>
      <c r="Q31" s="1201" t="n"/>
      <c r="R31" s="1201" t="n"/>
      <c r="S31" s="1201" t="n"/>
      <c r="T31" s="1201" t="n"/>
      <c r="U31" s="1201" t="n"/>
      <c r="V31" s="1202" t="n"/>
      <c r="W31" s="42" t="inlineStr">
        <is>
          <t>кг</t>
        </is>
      </c>
      <c r="X31" s="1243">
        <f>IFERROR(SUM(X29:X29),"0")</f>
        <v/>
      </c>
      <c r="Y31" s="1243">
        <f>IFERROR(SUM(Y29:Y29),"0")</f>
        <v/>
      </c>
      <c r="Z31" s="42" t="n"/>
      <c r="AA31" s="1244" t="n"/>
      <c r="AB31" s="1244" t="n"/>
      <c r="AC31" s="1244" t="n"/>
    </row>
    <row r="32" ht="27.75" customHeight="1">
      <c r="A32" s="829" t="inlineStr">
        <is>
          <t>Вязанка</t>
        </is>
      </c>
      <c r="B32" s="1231" t="n"/>
      <c r="C32" s="1231" t="n"/>
      <c r="D32" s="1231" t="n"/>
      <c r="E32" s="1231" t="n"/>
      <c r="F32" s="1231" t="n"/>
      <c r="G32" s="1231" t="n"/>
      <c r="H32" s="1231" t="n"/>
      <c r="I32" s="1231" t="n"/>
      <c r="J32" s="1231" t="n"/>
      <c r="K32" s="1231" t="n"/>
      <c r="L32" s="1231" t="n"/>
      <c r="M32" s="1231" t="n"/>
      <c r="N32" s="1231" t="n"/>
      <c r="O32" s="1231" t="n"/>
      <c r="P32" s="1231" t="n"/>
      <c r="Q32" s="1231" t="n"/>
      <c r="R32" s="1231" t="n"/>
      <c r="S32" s="1231" t="n"/>
      <c r="T32" s="1231" t="n"/>
      <c r="U32" s="1231" t="n"/>
      <c r="V32" s="1231" t="n"/>
      <c r="W32" s="1231" t="n"/>
      <c r="X32" s="1231" t="n"/>
      <c r="Y32" s="1231" t="n"/>
      <c r="Z32" s="1231" t="n"/>
      <c r="AA32" s="54" t="n"/>
      <c r="AB32" s="54" t="n"/>
      <c r="AC32" s="54" t="n"/>
    </row>
    <row r="33" ht="16.5" customHeight="1">
      <c r="A33" s="830" t="inlineStr">
        <is>
          <t>ГОСТ</t>
        </is>
      </c>
      <c r="B33" s="1182" t="n"/>
      <c r="C33" s="1182" t="n"/>
      <c r="D33" s="1182" t="n"/>
      <c r="E33" s="1182" t="n"/>
      <c r="F33" s="1182" t="n"/>
      <c r="G33" s="1182" t="n"/>
      <c r="H33" s="1182" t="n"/>
      <c r="I33" s="1182" t="n"/>
      <c r="J33" s="1182" t="n"/>
      <c r="K33" s="1182" t="n"/>
      <c r="L33" s="1182" t="n"/>
      <c r="M33" s="1182" t="n"/>
      <c r="N33" s="1182" t="n"/>
      <c r="O33" s="1182" t="n"/>
      <c r="P33" s="1182" t="n"/>
      <c r="Q33" s="1182" t="n"/>
      <c r="R33" s="1182" t="n"/>
      <c r="S33" s="1182" t="n"/>
      <c r="T33" s="1182" t="n"/>
      <c r="U33" s="1182" t="n"/>
      <c r="V33" s="1182" t="n"/>
      <c r="W33" s="1182" t="n"/>
      <c r="X33" s="1182" t="n"/>
      <c r="Y33" s="1182" t="n"/>
      <c r="Z33" s="1182" t="n"/>
      <c r="AA33" s="830" t="n"/>
      <c r="AB33" s="830" t="n"/>
      <c r="AC33" s="830" t="n"/>
    </row>
    <row r="34" ht="14.25" customHeight="1">
      <c r="A34" s="831" t="inlineStr">
        <is>
          <t>Вареные колбасы</t>
        </is>
      </c>
      <c r="B34" s="1182" t="n"/>
      <c r="C34" s="1182" t="n"/>
      <c r="D34" s="1182" t="n"/>
      <c r="E34" s="1182" t="n"/>
      <c r="F34" s="1182" t="n"/>
      <c r="G34" s="1182" t="n"/>
      <c r="H34" s="1182" t="n"/>
      <c r="I34" s="1182" t="n"/>
      <c r="J34" s="1182" t="n"/>
      <c r="K34" s="1182" t="n"/>
      <c r="L34" s="1182" t="n"/>
      <c r="M34" s="1182" t="n"/>
      <c r="N34" s="1182" t="n"/>
      <c r="O34" s="1182" t="n"/>
      <c r="P34" s="1182" t="n"/>
      <c r="Q34" s="1182" t="n"/>
      <c r="R34" s="1182" t="n"/>
      <c r="S34" s="1182" t="n"/>
      <c r="T34" s="1182" t="n"/>
      <c r="U34" s="1182" t="n"/>
      <c r="V34" s="1182" t="n"/>
      <c r="W34" s="1182" t="n"/>
      <c r="X34" s="1182" t="n"/>
      <c r="Y34" s="1182" t="n"/>
      <c r="Z34" s="1182" t="n"/>
      <c r="AA34" s="831" t="n"/>
      <c r="AB34" s="831" t="n"/>
      <c r="AC34" s="831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832" t="n">
        <v>4607091385670</v>
      </c>
      <c r="E35" s="1193" t="n"/>
      <c r="F35" s="1232" t="n">
        <v>1.35</v>
      </c>
      <c r="G35" s="37" t="n">
        <v>8</v>
      </c>
      <c r="H35" s="1232" t="n">
        <v>10.8</v>
      </c>
      <c r="I35" s="1232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246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5" s="1234" t="n"/>
      <c r="R35" s="1234" t="n"/>
      <c r="S35" s="1234" t="n"/>
      <c r="T35" s="1235" t="n"/>
      <c r="U35" s="39" t="inlineStr"/>
      <c r="V35" s="39" t="inlineStr"/>
      <c r="W35" s="40" t="inlineStr">
        <is>
          <t>кг</t>
        </is>
      </c>
      <c r="X35" s="1236" t="n">
        <v>120</v>
      </c>
      <c r="Y35" s="1237">
        <f>IFERROR(IF(X35="",0,CEILING((X35/$H35),1)*$H35),"")</f>
        <v/>
      </c>
      <c r="Z35" s="41">
        <f>IFERROR(IF(Y35=0,"",ROUNDUP(Y35/H35,0)*0.01898),"")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16.5" customHeight="1">
      <c r="A36" s="63" t="inlineStr">
        <is>
          <t>SU000722</t>
        </is>
      </c>
      <c r="B36" s="63" t="inlineStr">
        <is>
          <t>P003369</t>
        </is>
      </c>
      <c r="C36" s="36" t="n">
        <v>4301011540</v>
      </c>
      <c r="D36" s="832" t="n">
        <v>4607091385670</v>
      </c>
      <c r="E36" s="1193" t="n"/>
      <c r="F36" s="1232" t="n">
        <v>1.4</v>
      </c>
      <c r="G36" s="37" t="n">
        <v>8</v>
      </c>
      <c r="H36" s="1232" t="n">
        <v>11.2</v>
      </c>
      <c r="I36" s="1232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СК3</t>
        </is>
      </c>
      <c r="N36" s="38" t="n"/>
      <c r="O36" s="37" t="n">
        <v>50</v>
      </c>
      <c r="P36" s="1247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36" s="1234" t="n"/>
      <c r="R36" s="1234" t="n"/>
      <c r="S36" s="1234" t="n"/>
      <c r="T36" s="1235" t="n"/>
      <c r="U36" s="39" t="inlineStr"/>
      <c r="V36" s="39" t="inlineStr">
        <is>
          <t>26.02.2025</t>
        </is>
      </c>
      <c r="W36" s="40" t="inlineStr">
        <is>
          <t>кг</t>
        </is>
      </c>
      <c r="X36" s="1236" t="n">
        <v>0</v>
      </c>
      <c r="Y36" s="1237">
        <f>IFERROR(IF(X36="",0,CEILING((X36/$H36),1)*$H36),"")</f>
        <v/>
      </c>
      <c r="Z36" s="41">
        <f>IFERROR(IF(Y36=0,"",ROUNDUP(Y36/H36,0)*0.01898),"")</f>
        <v/>
      </c>
      <c r="AA36" s="68" t="inlineStr"/>
      <c r="AB36" s="69" t="inlineStr"/>
      <c r="AC36" s="98" t="inlineStr">
        <is>
          <t>ЕАЭС N RU Д-RU.РА02.В.62622/22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16.5" customHeight="1">
      <c r="A37" s="63" t="inlineStr">
        <is>
          <t>SU003111</t>
        </is>
      </c>
      <c r="B37" s="63" t="inlineStr">
        <is>
          <t>P003694</t>
        </is>
      </c>
      <c r="C37" s="36" t="n">
        <v>4301011625</v>
      </c>
      <c r="D37" s="832" t="n">
        <v>4680115883956</v>
      </c>
      <c r="E37" s="1193" t="n"/>
      <c r="F37" s="1232" t="n">
        <v>1.4</v>
      </c>
      <c r="G37" s="37" t="n">
        <v>8</v>
      </c>
      <c r="H37" s="1232" t="n">
        <v>11.2</v>
      </c>
      <c r="I37" s="1232" t="n">
        <v>11.635</v>
      </c>
      <c r="J37" s="37" t="n">
        <v>64</v>
      </c>
      <c r="K37" s="37" t="inlineStr">
        <is>
          <t>8</t>
        </is>
      </c>
      <c r="L37" s="37" t="inlineStr"/>
      <c r="M37" s="38" t="inlineStr">
        <is>
          <t>СК1</t>
        </is>
      </c>
      <c r="N37" s="38" t="n"/>
      <c r="O37" s="37" t="n">
        <v>50</v>
      </c>
      <c r="P37" s="124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37" s="1234" t="n"/>
      <c r="R37" s="1234" t="n"/>
      <c r="S37" s="1234" t="n"/>
      <c r="T37" s="1235" t="n"/>
      <c r="U37" s="39" t="inlineStr"/>
      <c r="V37" s="39" t="inlineStr"/>
      <c r="W37" s="40" t="inlineStr">
        <is>
          <t>кг</t>
        </is>
      </c>
      <c r="X37" s="1236" t="n">
        <v>0</v>
      </c>
      <c r="Y37" s="1237">
        <f>IFERROR(IF(X37="",0,CEILING((X37/$H37),1)*$H37),"")</f>
        <v/>
      </c>
      <c r="Z37" s="41">
        <f>IFERROR(IF(Y37=0,"",ROUNDUP(Y37/H37,0)*0.01898),"")</f>
        <v/>
      </c>
      <c r="AA37" s="68" t="inlineStr"/>
      <c r="AB37" s="69" t="inlineStr"/>
      <c r="AC37" s="100" t="inlineStr">
        <is>
          <t>ЕАЭС N RU Д-RU.РА08.В.47512/23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 ht="27" customHeight="1">
      <c r="A38" s="63" t="inlineStr">
        <is>
          <t>SU001485</t>
        </is>
      </c>
      <c r="B38" s="63" t="inlineStr">
        <is>
          <t>P003008</t>
        </is>
      </c>
      <c r="C38" s="36" t="n">
        <v>4301011382</v>
      </c>
      <c r="D38" s="832" t="n">
        <v>4607091385687</v>
      </c>
      <c r="E38" s="1193" t="n"/>
      <c r="F38" s="1232" t="n">
        <v>0.4</v>
      </c>
      <c r="G38" s="37" t="n">
        <v>10</v>
      </c>
      <c r="H38" s="1232" t="n">
        <v>4</v>
      </c>
      <c r="I38" s="1232" t="n">
        <v>4.21</v>
      </c>
      <c r="J38" s="37" t="n">
        <v>132</v>
      </c>
      <c r="K38" s="37" t="inlineStr">
        <is>
          <t>12</t>
        </is>
      </c>
      <c r="L38" s="37" t="inlineStr">
        <is>
          <t>Палетта, мин. 1</t>
        </is>
      </c>
      <c r="M38" s="38" t="inlineStr">
        <is>
          <t>СК3</t>
        </is>
      </c>
      <c r="N38" s="38" t="n"/>
      <c r="O38" s="37" t="n">
        <v>50</v>
      </c>
      <c r="P38" s="1249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8" s="1234" t="n"/>
      <c r="R38" s="1234" t="n"/>
      <c r="S38" s="1234" t="n"/>
      <c r="T38" s="1235" t="n"/>
      <c r="U38" s="39" t="inlineStr"/>
      <c r="V38" s="39" t="inlineStr"/>
      <c r="W38" s="40" t="inlineStr">
        <is>
          <t>кг</t>
        </is>
      </c>
      <c r="X38" s="1236" t="n">
        <v>240</v>
      </c>
      <c r="Y38" s="1237">
        <f>IFERROR(IF(X38="",0,CEILING((X38/$H38),1)*$H38),"")</f>
        <v/>
      </c>
      <c r="Z38" s="41">
        <f>IFERROR(IF(Y38=0,"",ROUNDUP(Y38/H38,0)*0.00902),"")</f>
        <v/>
      </c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>
        <is>
          <t>Палетта</t>
        </is>
      </c>
      <c r="AK38" s="84" t="n">
        <v>528</v>
      </c>
      <c r="BB38" s="103" t="inlineStr">
        <is>
          <t>КИ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 ht="27" customHeight="1">
      <c r="A39" s="63" t="inlineStr">
        <is>
          <t>SU002986</t>
        </is>
      </c>
      <c r="B39" s="63" t="inlineStr">
        <is>
          <t>P003429</t>
        </is>
      </c>
      <c r="C39" s="36" t="n">
        <v>4301011565</v>
      </c>
      <c r="D39" s="832" t="n">
        <v>4680115882539</v>
      </c>
      <c r="E39" s="1193" t="n"/>
      <c r="F39" s="1232" t="n">
        <v>0.37</v>
      </c>
      <c r="G39" s="37" t="n">
        <v>10</v>
      </c>
      <c r="H39" s="1232" t="n">
        <v>3.7</v>
      </c>
      <c r="I39" s="1232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СК3</t>
        </is>
      </c>
      <c r="N39" s="38" t="n"/>
      <c r="O39" s="37" t="n">
        <v>50</v>
      </c>
      <c r="P39" s="1250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9" s="1234" t="n"/>
      <c r="R39" s="1234" t="n"/>
      <c r="S39" s="1234" t="n"/>
      <c r="T39" s="1235" t="n"/>
      <c r="U39" s="39" t="inlineStr"/>
      <c r="V39" s="39" t="inlineStr"/>
      <c r="W39" s="40" t="inlineStr">
        <is>
          <t>кг</t>
        </is>
      </c>
      <c r="X39" s="1236" t="n">
        <v>0</v>
      </c>
      <c r="Y39" s="1237">
        <f>IFERROR(IF(X39="",0,CEILING((X39/$H39),1)*$H39),"")</f>
        <v/>
      </c>
      <c r="Z39" s="41">
        <f>IFERROR(IF(Y39=0,"",ROUNDUP(Y39/H39,0)*0.00902),"")</f>
        <v/>
      </c>
      <c r="AA39" s="68" t="inlineStr"/>
      <c r="AB39" s="69" t="inlineStr"/>
      <c r="AC39" s="104" t="inlineStr">
        <is>
          <t>ЕАЭС N RU Д- RU.РА01.В.79635/20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>
        <f>IFERROR(X39*I39/H39,"0")</f>
        <v/>
      </c>
      <c r="BN39" s="78">
        <f>IFERROR(Y39*I39/H39,"0")</f>
        <v/>
      </c>
      <c r="BO39" s="78">
        <f>IFERROR(1/J39*(X39/H39),"0")</f>
        <v/>
      </c>
      <c r="BP39" s="78">
        <f>IFERROR(1/J39*(Y39/H39),"0")</f>
        <v/>
      </c>
    </row>
    <row r="40" ht="27" customHeight="1">
      <c r="A40" s="63" t="inlineStr">
        <is>
          <t>SU003112</t>
        </is>
      </c>
      <c r="B40" s="63" t="inlineStr">
        <is>
          <t>P003695</t>
        </is>
      </c>
      <c r="C40" s="36" t="n">
        <v>4301011624</v>
      </c>
      <c r="D40" s="832" t="n">
        <v>4680115883949</v>
      </c>
      <c r="E40" s="1193" t="n"/>
      <c r="F40" s="1232" t="n">
        <v>0.37</v>
      </c>
      <c r="G40" s="37" t="n">
        <v>10</v>
      </c>
      <c r="H40" s="1232" t="n">
        <v>3.7</v>
      </c>
      <c r="I40" s="1232" t="n">
        <v>3.91</v>
      </c>
      <c r="J40" s="37" t="n">
        <v>132</v>
      </c>
      <c r="K40" s="37" t="inlineStr">
        <is>
          <t>12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125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40" s="1234" t="n"/>
      <c r="R40" s="1234" t="n"/>
      <c r="S40" s="1234" t="n"/>
      <c r="T40" s="1235" t="n"/>
      <c r="U40" s="39" t="inlineStr"/>
      <c r="V40" s="39" t="inlineStr"/>
      <c r="W40" s="40" t="inlineStr">
        <is>
          <t>кг</t>
        </is>
      </c>
      <c r="X40" s="1236" t="n">
        <v>0</v>
      </c>
      <c r="Y40" s="1237">
        <f>IFERROR(IF(X40="",0,CEILING((X40/$H40),1)*$H40),"")</f>
        <v/>
      </c>
      <c r="Z40" s="41">
        <f>IFERROR(IF(Y40=0,"",ROUNDUP(Y40/H40,0)*0.00902),"")</f>
        <v/>
      </c>
      <c r="AA40" s="68" t="inlineStr"/>
      <c r="AB40" s="69" t="inlineStr"/>
      <c r="AC40" s="106" t="inlineStr">
        <is>
          <t>ЕАЭС N RU Д-RU.РА08.В.47512/23</t>
        </is>
      </c>
      <c r="AG40" s="78" t="n"/>
      <c r="AJ40" s="84" t="inlineStr"/>
      <c r="AK40" s="84" t="n">
        <v>0</v>
      </c>
      <c r="BB40" s="107" t="inlineStr">
        <is>
          <t>КИ</t>
        </is>
      </c>
      <c r="BM40" s="78">
        <f>IFERROR(X40*I40/H40,"0")</f>
        <v/>
      </c>
      <c r="BN40" s="78">
        <f>IFERROR(Y40*I40/H40,"0")</f>
        <v/>
      </c>
      <c r="BO40" s="78">
        <f>IFERROR(1/J40*(X40/H40),"0")</f>
        <v/>
      </c>
      <c r="BP40" s="78">
        <f>IFERROR(1/J40*(Y40/H40),"0")</f>
        <v/>
      </c>
    </row>
    <row r="41">
      <c r="A41" s="843" t="n"/>
      <c r="B41" s="1182" t="n"/>
      <c r="C41" s="1182" t="n"/>
      <c r="D41" s="1182" t="n"/>
      <c r="E41" s="1182" t="n"/>
      <c r="F41" s="1182" t="n"/>
      <c r="G41" s="1182" t="n"/>
      <c r="H41" s="1182" t="n"/>
      <c r="I41" s="1182" t="n"/>
      <c r="J41" s="1182" t="n"/>
      <c r="K41" s="1182" t="n"/>
      <c r="L41" s="1182" t="n"/>
      <c r="M41" s="1182" t="n"/>
      <c r="N41" s="1182" t="n"/>
      <c r="O41" s="1241" t="n"/>
      <c r="P41" s="1242" t="inlineStr">
        <is>
          <t>Итого</t>
        </is>
      </c>
      <c r="Q41" s="1201" t="n"/>
      <c r="R41" s="1201" t="n"/>
      <c r="S41" s="1201" t="n"/>
      <c r="T41" s="1201" t="n"/>
      <c r="U41" s="1201" t="n"/>
      <c r="V41" s="1202" t="n"/>
      <c r="W41" s="42" t="inlineStr">
        <is>
          <t>кор</t>
        </is>
      </c>
      <c r="X41" s="1243">
        <f>IFERROR(X35/H35,"0")+IFERROR(X36/H36,"0")+IFERROR(X37/H37,"0")+IFERROR(X38/H38,"0")+IFERROR(X39/H39,"0")+IFERROR(X40/H40,"0")</f>
        <v/>
      </c>
      <c r="Y41" s="1243">
        <f>IFERROR(Y35/H35,"0")+IFERROR(Y36/H36,"0")+IFERROR(Y37/H37,"0")+IFERROR(Y38/H38,"0")+IFERROR(Y39/H39,"0")+IFERROR(Y40/H40,"0")</f>
        <v/>
      </c>
      <c r="Z41" s="1243">
        <f>IFERROR(IF(Z35="",0,Z35),"0")+IFERROR(IF(Z36="",0,Z36),"0")+IFERROR(IF(Z37="",0,Z37),"0")+IFERROR(IF(Z38="",0,Z38),"0")+IFERROR(IF(Z39="",0,Z39),"0")+IFERROR(IF(Z40="",0,Z40),"0")</f>
        <v/>
      </c>
      <c r="AA41" s="1244" t="n"/>
      <c r="AB41" s="1244" t="n"/>
      <c r="AC41" s="1244" t="n"/>
    </row>
    <row r="42">
      <c r="A42" s="1182" t="n"/>
      <c r="B42" s="1182" t="n"/>
      <c r="C42" s="1182" t="n"/>
      <c r="D42" s="1182" t="n"/>
      <c r="E42" s="1182" t="n"/>
      <c r="F42" s="1182" t="n"/>
      <c r="G42" s="1182" t="n"/>
      <c r="H42" s="1182" t="n"/>
      <c r="I42" s="1182" t="n"/>
      <c r="J42" s="1182" t="n"/>
      <c r="K42" s="1182" t="n"/>
      <c r="L42" s="1182" t="n"/>
      <c r="M42" s="1182" t="n"/>
      <c r="N42" s="1182" t="n"/>
      <c r="O42" s="1241" t="n"/>
      <c r="P42" s="1242" t="inlineStr">
        <is>
          <t>Итого</t>
        </is>
      </c>
      <c r="Q42" s="1201" t="n"/>
      <c r="R42" s="1201" t="n"/>
      <c r="S42" s="1201" t="n"/>
      <c r="T42" s="1201" t="n"/>
      <c r="U42" s="1201" t="n"/>
      <c r="V42" s="1202" t="n"/>
      <c r="W42" s="42" t="inlineStr">
        <is>
          <t>кг</t>
        </is>
      </c>
      <c r="X42" s="1243">
        <f>IFERROR(SUM(X35:X40),"0")</f>
        <v/>
      </c>
      <c r="Y42" s="1243">
        <f>IFERROR(SUM(Y35:Y40),"0")</f>
        <v/>
      </c>
      <c r="Z42" s="42" t="n"/>
      <c r="AA42" s="1244" t="n"/>
      <c r="AB42" s="1244" t="n"/>
      <c r="AC42" s="1244" t="n"/>
    </row>
    <row r="43" ht="14.25" customHeight="1">
      <c r="A43" s="831" t="inlineStr">
        <is>
          <t>Сосиски</t>
        </is>
      </c>
      <c r="B43" s="1182" t="n"/>
      <c r="C43" s="1182" t="n"/>
      <c r="D43" s="1182" t="n"/>
      <c r="E43" s="1182" t="n"/>
      <c r="F43" s="1182" t="n"/>
      <c r="G43" s="1182" t="n"/>
      <c r="H43" s="1182" t="n"/>
      <c r="I43" s="1182" t="n"/>
      <c r="J43" s="1182" t="n"/>
      <c r="K43" s="1182" t="n"/>
      <c r="L43" s="1182" t="n"/>
      <c r="M43" s="1182" t="n"/>
      <c r="N43" s="1182" t="n"/>
      <c r="O43" s="1182" t="n"/>
      <c r="P43" s="1182" t="n"/>
      <c r="Q43" s="1182" t="n"/>
      <c r="R43" s="1182" t="n"/>
      <c r="S43" s="1182" t="n"/>
      <c r="T43" s="1182" t="n"/>
      <c r="U43" s="1182" t="n"/>
      <c r="V43" s="1182" t="n"/>
      <c r="W43" s="1182" t="n"/>
      <c r="X43" s="1182" t="n"/>
      <c r="Y43" s="1182" t="n"/>
      <c r="Z43" s="1182" t="n"/>
      <c r="AA43" s="831" t="n"/>
      <c r="AB43" s="831" t="n"/>
      <c r="AC43" s="831" t="n"/>
    </row>
    <row r="44" ht="27" customHeight="1">
      <c r="A44" s="63" t="inlineStr">
        <is>
          <t>SU003502</t>
        </is>
      </c>
      <c r="B44" s="63" t="inlineStr">
        <is>
          <t>P004556</t>
        </is>
      </c>
      <c r="C44" s="36" t="n">
        <v>4301051842</v>
      </c>
      <c r="D44" s="832" t="n">
        <v>4680115885233</v>
      </c>
      <c r="E44" s="1193" t="n"/>
      <c r="F44" s="1232" t="n">
        <v>0.2</v>
      </c>
      <c r="G44" s="37" t="n">
        <v>6</v>
      </c>
      <c r="H44" s="1232" t="n">
        <v>1.2</v>
      </c>
      <c r="I44" s="1232" t="n">
        <v>1.3</v>
      </c>
      <c r="J44" s="37" t="n">
        <v>234</v>
      </c>
      <c r="K44" s="37" t="inlineStr">
        <is>
          <t>18</t>
        </is>
      </c>
      <c r="L44" s="37" t="inlineStr"/>
      <c r="M44" s="38" t="inlineStr">
        <is>
          <t>СК3</t>
        </is>
      </c>
      <c r="N44" s="38" t="n"/>
      <c r="O44" s="37" t="n">
        <v>40</v>
      </c>
      <c r="P44" s="1252">
        <f>HYPERLINK("https://abi.ru/products/Охлажденные/Вязанка/ГОСТ/Сосиски/P004556/","Сосиски «Молочные ГОСТ» ф/в 0,2 ц/о ТМ «Вязанка»")</f>
        <v/>
      </c>
      <c r="Q44" s="1234" t="n"/>
      <c r="R44" s="1234" t="n"/>
      <c r="S44" s="1234" t="n"/>
      <c r="T44" s="1235" t="n"/>
      <c r="U44" s="39" t="inlineStr"/>
      <c r="V44" s="39" t="inlineStr">
        <is>
          <t>26.02.2025</t>
        </is>
      </c>
      <c r="W44" s="40" t="inlineStr">
        <is>
          <t>кг</t>
        </is>
      </c>
      <c r="X44" s="1236" t="n">
        <v>0</v>
      </c>
      <c r="Y44" s="1237">
        <f>IFERROR(IF(X44="",0,CEILING((X44/$H44),1)*$H44),"")</f>
        <v/>
      </c>
      <c r="Z44" s="41">
        <f>IFERROR(IF(Y44=0,"",ROUNDUP(Y44/H44,0)*0.00502),"")</f>
        <v/>
      </c>
      <c r="AA44" s="68" t="inlineStr"/>
      <c r="AB44" s="69" t="inlineStr"/>
      <c r="AC44" s="108" t="inlineStr">
        <is>
          <t>ЕАЭС N RU Д-RU.РА01.В.79167/24, ЕАЭС N RU Д-RU.РА01.В.81056/24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>
        <f>IFERROR(X44*I44/H44,"0")</f>
        <v/>
      </c>
      <c r="BN44" s="78">
        <f>IFERROR(Y44*I44/H44,"0")</f>
        <v/>
      </c>
      <c r="BO44" s="78">
        <f>IFERROR(1/J44*(X44/H44),"0")</f>
        <v/>
      </c>
      <c r="BP44" s="78">
        <f>IFERROR(1/J44*(Y44/H44),"0")</f>
        <v/>
      </c>
    </row>
    <row r="45" ht="16.5" customHeight="1">
      <c r="A45" s="63" t="inlineStr">
        <is>
          <t>SU003313</t>
        </is>
      </c>
      <c r="B45" s="63" t="inlineStr">
        <is>
          <t>P004551</t>
        </is>
      </c>
      <c r="C45" s="36" t="n">
        <v>4301051820</v>
      </c>
      <c r="D45" s="832" t="n">
        <v>4680115884915</v>
      </c>
      <c r="E45" s="1193" t="n"/>
      <c r="F45" s="1232" t="n">
        <v>0.3</v>
      </c>
      <c r="G45" s="37" t="n">
        <v>6</v>
      </c>
      <c r="H45" s="1232" t="n">
        <v>1.8</v>
      </c>
      <c r="I45" s="1232" t="n">
        <v>1.98</v>
      </c>
      <c r="J45" s="37" t="n">
        <v>182</v>
      </c>
      <c r="K45" s="37" t="inlineStr">
        <is>
          <t>14</t>
        </is>
      </c>
      <c r="L45" s="37" t="inlineStr"/>
      <c r="M45" s="38" t="inlineStr">
        <is>
          <t>СК3</t>
        </is>
      </c>
      <c r="N45" s="38" t="n"/>
      <c r="O45" s="37" t="n">
        <v>40</v>
      </c>
      <c r="P45" s="1253">
        <f>HYPERLINK("https://abi.ru/products/Охлажденные/Вязанка/ГОСТ/Сосиски/P004551/","Сосиски «Молочные ГОСТ» ф/в 0,3 ц/о ТМ «Вязанка»")</f>
        <v/>
      </c>
      <c r="Q45" s="1234" t="n"/>
      <c r="R45" s="1234" t="n"/>
      <c r="S45" s="1234" t="n"/>
      <c r="T45" s="1235" t="n"/>
      <c r="U45" s="39" t="inlineStr"/>
      <c r="V45" s="39" t="inlineStr"/>
      <c r="W45" s="40" t="inlineStr">
        <is>
          <t>кг</t>
        </is>
      </c>
      <c r="X45" s="1236" t="n">
        <v>0</v>
      </c>
      <c r="Y45" s="1237">
        <f>IFERROR(IF(X45="",0,CEILING((X45/$H45),1)*$H45),"")</f>
        <v/>
      </c>
      <c r="Z45" s="41">
        <f>IFERROR(IF(Y45=0,"",ROUNDUP(Y45/H45,0)*0.00651),"")</f>
        <v/>
      </c>
      <c r="AA45" s="68" t="inlineStr"/>
      <c r="AB45" s="69" t="inlineStr"/>
      <c r="AC45" s="110" t="inlineStr">
        <is>
          <t>ЕАЭС N RU Д-RU.РА01.В.79167/24</t>
        </is>
      </c>
      <c r="AG45" s="78" t="n"/>
      <c r="AJ45" s="84" t="inlineStr"/>
      <c r="AK45" s="84" t="n">
        <v>0</v>
      </c>
      <c r="BB45" s="111" t="inlineStr">
        <is>
          <t>КИ</t>
        </is>
      </c>
      <c r="BM45" s="78">
        <f>IFERROR(X45*I45/H45,"0")</f>
        <v/>
      </c>
      <c r="BN45" s="78">
        <f>IFERROR(Y45*I45/H45,"0")</f>
        <v/>
      </c>
      <c r="BO45" s="78">
        <f>IFERROR(1/J45*(X45/H45),"0")</f>
        <v/>
      </c>
      <c r="BP45" s="78">
        <f>IFERROR(1/J45*(Y45/H45),"0")</f>
        <v/>
      </c>
    </row>
    <row r="46">
      <c r="A46" s="843" t="n"/>
      <c r="B46" s="1182" t="n"/>
      <c r="C46" s="1182" t="n"/>
      <c r="D46" s="1182" t="n"/>
      <c r="E46" s="1182" t="n"/>
      <c r="F46" s="1182" t="n"/>
      <c r="G46" s="1182" t="n"/>
      <c r="H46" s="1182" t="n"/>
      <c r="I46" s="1182" t="n"/>
      <c r="J46" s="1182" t="n"/>
      <c r="K46" s="1182" t="n"/>
      <c r="L46" s="1182" t="n"/>
      <c r="M46" s="1182" t="n"/>
      <c r="N46" s="1182" t="n"/>
      <c r="O46" s="1241" t="n"/>
      <c r="P46" s="1242" t="inlineStr">
        <is>
          <t>Итого</t>
        </is>
      </c>
      <c r="Q46" s="1201" t="n"/>
      <c r="R46" s="1201" t="n"/>
      <c r="S46" s="1201" t="n"/>
      <c r="T46" s="1201" t="n"/>
      <c r="U46" s="1201" t="n"/>
      <c r="V46" s="1202" t="n"/>
      <c r="W46" s="42" t="inlineStr">
        <is>
          <t>кор</t>
        </is>
      </c>
      <c r="X46" s="1243">
        <f>IFERROR(X44/H44,"0")+IFERROR(X45/H45,"0")</f>
        <v/>
      </c>
      <c r="Y46" s="1243">
        <f>IFERROR(Y44/H44,"0")+IFERROR(Y45/H45,"0")</f>
        <v/>
      </c>
      <c r="Z46" s="1243">
        <f>IFERROR(IF(Z44="",0,Z44),"0")+IFERROR(IF(Z45="",0,Z45),"0")</f>
        <v/>
      </c>
      <c r="AA46" s="1244" t="n"/>
      <c r="AB46" s="1244" t="n"/>
      <c r="AC46" s="1244" t="n"/>
    </row>
    <row r="47">
      <c r="A47" s="1182" t="n"/>
      <c r="B47" s="1182" t="n"/>
      <c r="C47" s="1182" t="n"/>
      <c r="D47" s="1182" t="n"/>
      <c r="E47" s="1182" t="n"/>
      <c r="F47" s="1182" t="n"/>
      <c r="G47" s="1182" t="n"/>
      <c r="H47" s="1182" t="n"/>
      <c r="I47" s="1182" t="n"/>
      <c r="J47" s="1182" t="n"/>
      <c r="K47" s="1182" t="n"/>
      <c r="L47" s="1182" t="n"/>
      <c r="M47" s="1182" t="n"/>
      <c r="N47" s="1182" t="n"/>
      <c r="O47" s="1241" t="n"/>
      <c r="P47" s="1242" t="inlineStr">
        <is>
          <t>Итого</t>
        </is>
      </c>
      <c r="Q47" s="1201" t="n"/>
      <c r="R47" s="1201" t="n"/>
      <c r="S47" s="1201" t="n"/>
      <c r="T47" s="1201" t="n"/>
      <c r="U47" s="1201" t="n"/>
      <c r="V47" s="1202" t="n"/>
      <c r="W47" s="42" t="inlineStr">
        <is>
          <t>кг</t>
        </is>
      </c>
      <c r="X47" s="1243">
        <f>IFERROR(SUM(X44:X45),"0")</f>
        <v/>
      </c>
      <c r="Y47" s="1243">
        <f>IFERROR(SUM(Y44:Y45),"0")</f>
        <v/>
      </c>
      <c r="Z47" s="42" t="n"/>
      <c r="AA47" s="1244" t="n"/>
      <c r="AB47" s="1244" t="n"/>
      <c r="AC47" s="1244" t="n"/>
    </row>
    <row r="48" ht="16.5" customHeight="1">
      <c r="A48" s="830" t="inlineStr">
        <is>
          <t>Филейская</t>
        </is>
      </c>
      <c r="B48" s="1182" t="n"/>
      <c r="C48" s="1182" t="n"/>
      <c r="D48" s="1182" t="n"/>
      <c r="E48" s="1182" t="n"/>
      <c r="F48" s="1182" t="n"/>
      <c r="G48" s="1182" t="n"/>
      <c r="H48" s="1182" t="n"/>
      <c r="I48" s="1182" t="n"/>
      <c r="J48" s="1182" t="n"/>
      <c r="K48" s="1182" t="n"/>
      <c r="L48" s="1182" t="n"/>
      <c r="M48" s="1182" t="n"/>
      <c r="N48" s="1182" t="n"/>
      <c r="O48" s="1182" t="n"/>
      <c r="P48" s="1182" t="n"/>
      <c r="Q48" s="1182" t="n"/>
      <c r="R48" s="1182" t="n"/>
      <c r="S48" s="1182" t="n"/>
      <c r="T48" s="1182" t="n"/>
      <c r="U48" s="1182" t="n"/>
      <c r="V48" s="1182" t="n"/>
      <c r="W48" s="1182" t="n"/>
      <c r="X48" s="1182" t="n"/>
      <c r="Y48" s="1182" t="n"/>
      <c r="Z48" s="1182" t="n"/>
      <c r="AA48" s="830" t="n"/>
      <c r="AB48" s="830" t="n"/>
      <c r="AC48" s="830" t="n"/>
    </row>
    <row r="49" ht="14.25" customHeight="1">
      <c r="A49" s="831" t="inlineStr">
        <is>
          <t>Вареные колбасы</t>
        </is>
      </c>
      <c r="B49" s="1182" t="n"/>
      <c r="C49" s="1182" t="n"/>
      <c r="D49" s="1182" t="n"/>
      <c r="E49" s="1182" t="n"/>
      <c r="F49" s="1182" t="n"/>
      <c r="G49" s="1182" t="n"/>
      <c r="H49" s="1182" t="n"/>
      <c r="I49" s="1182" t="n"/>
      <c r="J49" s="1182" t="n"/>
      <c r="K49" s="1182" t="n"/>
      <c r="L49" s="1182" t="n"/>
      <c r="M49" s="1182" t="n"/>
      <c r="N49" s="1182" t="n"/>
      <c r="O49" s="1182" t="n"/>
      <c r="P49" s="1182" t="n"/>
      <c r="Q49" s="1182" t="n"/>
      <c r="R49" s="1182" t="n"/>
      <c r="S49" s="1182" t="n"/>
      <c r="T49" s="1182" t="n"/>
      <c r="U49" s="1182" t="n"/>
      <c r="V49" s="1182" t="n"/>
      <c r="W49" s="1182" t="n"/>
      <c r="X49" s="1182" t="n"/>
      <c r="Y49" s="1182" t="n"/>
      <c r="Z49" s="1182" t="n"/>
      <c r="AA49" s="831" t="n"/>
      <c r="AB49" s="831" t="n"/>
      <c r="AC49" s="831" t="n"/>
    </row>
    <row r="50" ht="27" customHeight="1">
      <c r="A50" s="63" t="inlineStr">
        <is>
          <t>SU003642</t>
        </is>
      </c>
      <c r="B50" s="63" t="inlineStr">
        <is>
          <t>P004621</t>
        </is>
      </c>
      <c r="C50" s="36" t="n">
        <v>4301012030</v>
      </c>
      <c r="D50" s="832" t="n">
        <v>4680115885882</v>
      </c>
      <c r="E50" s="1193" t="n"/>
      <c r="F50" s="1232" t="n">
        <v>1.4</v>
      </c>
      <c r="G50" s="37" t="n">
        <v>8</v>
      </c>
      <c r="H50" s="1232" t="n">
        <v>11.2</v>
      </c>
      <c r="I50" s="1232" t="n">
        <v>11.635</v>
      </c>
      <c r="J50" s="37" t="n">
        <v>64</v>
      </c>
      <c r="K50" s="37" t="inlineStr">
        <is>
          <t>8</t>
        </is>
      </c>
      <c r="L50" s="37" t="inlineStr"/>
      <c r="M50" s="38" t="inlineStr">
        <is>
          <t>СК3</t>
        </is>
      </c>
      <c r="N50" s="38" t="n"/>
      <c r="O50" s="37" t="n">
        <v>50</v>
      </c>
      <c r="P50" s="125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0" s="1234" t="n"/>
      <c r="R50" s="1234" t="n"/>
      <c r="S50" s="1234" t="n"/>
      <c r="T50" s="1235" t="n"/>
      <c r="U50" s="39" t="inlineStr"/>
      <c r="V50" s="39" t="inlineStr"/>
      <c r="W50" s="40" t="inlineStr">
        <is>
          <t>кг</t>
        </is>
      </c>
      <c r="X50" s="1236" t="n">
        <v>0</v>
      </c>
      <c r="Y50" s="1237">
        <f>IFERROR(IF(X50="",0,CEILING((X50/$H50),1)*$H50),"")</f>
        <v/>
      </c>
      <c r="Z50" s="41">
        <f>IFERROR(IF(Y50=0,"",ROUNDUP(Y50/H50,0)*0.01898),"")</f>
        <v/>
      </c>
      <c r="AA50" s="68" t="inlineStr"/>
      <c r="AB50" s="69" t="inlineStr"/>
      <c r="AC50" s="112" t="inlineStr">
        <is>
          <t>ЕАЭС N RU Д-RU.РА06.В.18331/23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SU002829</t>
        </is>
      </c>
      <c r="B51" s="63" t="inlineStr">
        <is>
          <t>P003235</t>
        </is>
      </c>
      <c r="C51" s="36" t="n">
        <v>4301011816</v>
      </c>
      <c r="D51" s="832" t="n">
        <v>4680115881426</v>
      </c>
      <c r="E51" s="1193" t="n"/>
      <c r="F51" s="1232" t="n">
        <v>1.35</v>
      </c>
      <c r="G51" s="37" t="n">
        <v>8</v>
      </c>
      <c r="H51" s="1232" t="n">
        <v>10.8</v>
      </c>
      <c r="I51" s="1232" t="n">
        <v>11.235</v>
      </c>
      <c r="J51" s="37" t="n">
        <v>64</v>
      </c>
      <c r="K51" s="37" t="inlineStr">
        <is>
          <t>8</t>
        </is>
      </c>
      <c r="L51" s="37" t="inlineStr">
        <is>
          <t>Палетта, мин. 1</t>
        </is>
      </c>
      <c r="M51" s="38" t="inlineStr">
        <is>
          <t>СК1</t>
        </is>
      </c>
      <c r="N51" s="38" t="n"/>
      <c r="O51" s="37" t="n">
        <v>50</v>
      </c>
      <c r="P51" s="1255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1" s="1234" t="n"/>
      <c r="R51" s="1234" t="n"/>
      <c r="S51" s="1234" t="n"/>
      <c r="T51" s="1235" t="n"/>
      <c r="U51" s="39" t="inlineStr"/>
      <c r="V51" s="39" t="inlineStr"/>
      <c r="W51" s="40" t="inlineStr">
        <is>
          <t>кг</t>
        </is>
      </c>
      <c r="X51" s="1236" t="n">
        <v>200</v>
      </c>
      <c r="Y51" s="1237">
        <f>IFERROR(IF(X51="",0,CEILING((X51/$H51),1)*$H51),"")</f>
        <v/>
      </c>
      <c r="Z51" s="41">
        <f>IFERROR(IF(Y51=0,"",ROUNDUP(Y51/H51,0)*0.01898),"")</f>
        <v/>
      </c>
      <c r="AA51" s="68" t="inlineStr"/>
      <c r="AB51" s="69" t="inlineStr"/>
      <c r="AC51" s="114" t="inlineStr">
        <is>
          <t>ЕАЭС N RU Д-RU.РА01.В.10475/23</t>
        </is>
      </c>
      <c r="AG51" s="78" t="n"/>
      <c r="AJ51" s="84" t="inlineStr">
        <is>
          <t>Палетта</t>
        </is>
      </c>
      <c r="AK51" s="84" t="n">
        <v>691.2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SU002674</t>
        </is>
      </c>
      <c r="B52" s="63" t="inlineStr">
        <is>
          <t>P003045</t>
        </is>
      </c>
      <c r="C52" s="36" t="n">
        <v>4301011386</v>
      </c>
      <c r="D52" s="832" t="n">
        <v>4680115880283</v>
      </c>
      <c r="E52" s="1193" t="n"/>
      <c r="F52" s="1232" t="n">
        <v>0.6</v>
      </c>
      <c r="G52" s="37" t="n">
        <v>8</v>
      </c>
      <c r="H52" s="1232" t="n">
        <v>4.8</v>
      </c>
      <c r="I52" s="1232" t="n">
        <v>5.01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45</v>
      </c>
      <c r="P52" s="1256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2" s="1234" t="n"/>
      <c r="R52" s="1234" t="n"/>
      <c r="S52" s="1234" t="n"/>
      <c r="T52" s="1235" t="n"/>
      <c r="U52" s="39" t="inlineStr"/>
      <c r="V52" s="39" t="inlineStr"/>
      <c r="W52" s="40" t="inlineStr">
        <is>
          <t>кг</t>
        </is>
      </c>
      <c r="X52" s="1236" t="n">
        <v>0</v>
      </c>
      <c r="Y52" s="1237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6" t="inlineStr">
        <is>
          <t>ЕАЭС № RU Д-RU.АБ75.В.00997/19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SU002785</t>
        </is>
      </c>
      <c r="B53" s="63" t="inlineStr">
        <is>
          <t>P003187</t>
        </is>
      </c>
      <c r="C53" s="36" t="n">
        <v>4301011432</v>
      </c>
      <c r="D53" s="832" t="n">
        <v>4680115882720</v>
      </c>
      <c r="E53" s="1193" t="n"/>
      <c r="F53" s="1232" t="n">
        <v>0.45</v>
      </c>
      <c r="G53" s="37" t="n">
        <v>10</v>
      </c>
      <c r="H53" s="1232" t="n">
        <v>4.5</v>
      </c>
      <c r="I53" s="1232" t="n">
        <v>4.71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90</v>
      </c>
      <c r="P53" s="1257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53" s="1234" t="n"/>
      <c r="R53" s="1234" t="n"/>
      <c r="S53" s="1234" t="n"/>
      <c r="T53" s="1235" t="n"/>
      <c r="U53" s="39" t="inlineStr"/>
      <c r="V53" s="39" t="inlineStr"/>
      <c r="W53" s="40" t="inlineStr">
        <is>
          <t>кг</t>
        </is>
      </c>
      <c r="X53" s="1236" t="n">
        <v>0</v>
      </c>
      <c r="Y53" s="1237">
        <f>IFERROR(IF(X53="",0,CEILING((X53/$H53),1)*$H53),"")</f>
        <v/>
      </c>
      <c r="Z53" s="41">
        <f>IFERROR(IF(Y53=0,"",ROUNDUP(Y53/H53,0)*0.00902),"")</f>
        <v/>
      </c>
      <c r="AA53" s="68" t="inlineStr"/>
      <c r="AB53" s="69" t="inlineStr"/>
      <c r="AC53" s="118" t="inlineStr">
        <is>
          <t>ЕАЭС N RU Д-RU.РА05.В.44775/23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832" t="n">
        <v>4680115881525</v>
      </c>
      <c r="E54" s="1193" t="n"/>
      <c r="F54" s="1232" t="n">
        <v>0.4</v>
      </c>
      <c r="G54" s="37" t="n">
        <v>10</v>
      </c>
      <c r="H54" s="1232" t="n">
        <v>4</v>
      </c>
      <c r="I54" s="1232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1258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4" s="1234" t="n"/>
      <c r="R54" s="1234" t="n"/>
      <c r="S54" s="1234" t="n"/>
      <c r="T54" s="1235" t="n"/>
      <c r="U54" s="39" t="inlineStr"/>
      <c r="V54" s="39" t="inlineStr"/>
      <c r="W54" s="40" t="inlineStr">
        <is>
          <t>кг</t>
        </is>
      </c>
      <c r="X54" s="1236" t="n">
        <v>0</v>
      </c>
      <c r="Y54" s="1237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/>
      <c r="AK54" s="84" t="n">
        <v>0</v>
      </c>
      <c r="BB54" s="121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832" t="n">
        <v>4680115885899</v>
      </c>
      <c r="E55" s="1193" t="n"/>
      <c r="F55" s="1232" t="n">
        <v>0.35</v>
      </c>
      <c r="G55" s="37" t="n">
        <v>6</v>
      </c>
      <c r="H55" s="1232" t="n">
        <v>2.1</v>
      </c>
      <c r="I55" s="1232" t="n">
        <v>2.28</v>
      </c>
      <c r="J55" s="37" t="n">
        <v>182</v>
      </c>
      <c r="K55" s="37" t="inlineStr">
        <is>
          <t>14</t>
        </is>
      </c>
      <c r="L55" s="37" t="inlineStr"/>
      <c r="M55" s="38" t="inlineStr">
        <is>
          <t>СК4</t>
        </is>
      </c>
      <c r="N55" s="38" t="n"/>
      <c r="O55" s="37" t="n">
        <v>50</v>
      </c>
      <c r="P55" s="1259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5" s="1234" t="n"/>
      <c r="R55" s="1234" t="n"/>
      <c r="S55" s="1234" t="n"/>
      <c r="T55" s="1235" t="n"/>
      <c r="U55" s="39" t="inlineStr"/>
      <c r="V55" s="39" t="inlineStr"/>
      <c r="W55" s="40" t="inlineStr">
        <is>
          <t>кг</t>
        </is>
      </c>
      <c r="X55" s="1236" t="n">
        <v>0</v>
      </c>
      <c r="Y55" s="1237">
        <f>IFERROR(IF(X55="",0,CEILING((X55/$H55),1)*$H55),"")</f>
        <v/>
      </c>
      <c r="Z55" s="41">
        <f>IFERROR(IF(Y55=0,"",ROUNDUP(Y55/H55,0)*0.00651),"")</f>
        <v/>
      </c>
      <c r="AA55" s="68" t="inlineStr"/>
      <c r="AB55" s="69" t="inlineStr"/>
      <c r="AC55" s="122" t="inlineStr">
        <is>
          <t>ЕАЭС N RU Д-RU.РА06.В.18263/23, ЕАЭС N RU Д-RU.РА06.В.18331/23</t>
        </is>
      </c>
      <c r="AG55" s="78" t="n"/>
      <c r="AJ55" s="84" t="inlineStr"/>
      <c r="AK55" s="84" t="n">
        <v>0</v>
      </c>
      <c r="BB55" s="123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832" t="n">
        <v>4680115881419</v>
      </c>
      <c r="E56" s="1193" t="n"/>
      <c r="F56" s="1232" t="n">
        <v>0.45</v>
      </c>
      <c r="G56" s="37" t="n">
        <v>10</v>
      </c>
      <c r="H56" s="1232" t="n">
        <v>4.5</v>
      </c>
      <c r="I56" s="1232" t="n">
        <v>4.71</v>
      </c>
      <c r="J56" s="37" t="n">
        <v>132</v>
      </c>
      <c r="K56" s="37" t="inlineStr">
        <is>
          <t>12</t>
        </is>
      </c>
      <c r="L56" s="37" t="inlineStr">
        <is>
          <t>Палетта, мин. 1</t>
        </is>
      </c>
      <c r="M56" s="38" t="inlineStr">
        <is>
          <t>СК1</t>
        </is>
      </c>
      <c r="N56" s="38" t="n"/>
      <c r="O56" s="37" t="n">
        <v>50</v>
      </c>
      <c r="P56" s="126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6" s="1234" t="n"/>
      <c r="R56" s="1234" t="n"/>
      <c r="S56" s="1234" t="n"/>
      <c r="T56" s="1235" t="n"/>
      <c r="U56" s="39" t="inlineStr"/>
      <c r="V56" s="39" t="inlineStr"/>
      <c r="W56" s="40" t="inlineStr">
        <is>
          <t>кг</t>
        </is>
      </c>
      <c r="X56" s="1236" t="n">
        <v>450</v>
      </c>
      <c r="Y56" s="1237">
        <f>IFERROR(IF(X56="",0,CEILING((X56/$H56),1)*$H56),"")</f>
        <v/>
      </c>
      <c r="Z56" s="41">
        <f>IFERROR(IF(Y56=0,"",ROUNDUP(Y56/H56,0)*0.00902),"")</f>
        <v/>
      </c>
      <c r="AA56" s="68" t="inlineStr"/>
      <c r="AB56" s="69" t="inlineStr"/>
      <c r="AC56" s="124" t="inlineStr">
        <is>
          <t>ЕАЭС N RU Д-RU.РА01.В.10475/23</t>
        </is>
      </c>
      <c r="AG56" s="78" t="n"/>
      <c r="AJ56" s="84" t="inlineStr">
        <is>
          <t>Палетта</t>
        </is>
      </c>
      <c r="AK56" s="84" t="n">
        <v>594</v>
      </c>
      <c r="BB56" s="125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>
      <c r="A57" s="843" t="n"/>
      <c r="B57" s="1182" t="n"/>
      <c r="C57" s="1182" t="n"/>
      <c r="D57" s="1182" t="n"/>
      <c r="E57" s="1182" t="n"/>
      <c r="F57" s="1182" t="n"/>
      <c r="G57" s="1182" t="n"/>
      <c r="H57" s="1182" t="n"/>
      <c r="I57" s="1182" t="n"/>
      <c r="J57" s="1182" t="n"/>
      <c r="K57" s="1182" t="n"/>
      <c r="L57" s="1182" t="n"/>
      <c r="M57" s="1182" t="n"/>
      <c r="N57" s="1182" t="n"/>
      <c r="O57" s="1241" t="n"/>
      <c r="P57" s="1242" t="inlineStr">
        <is>
          <t>Итого</t>
        </is>
      </c>
      <c r="Q57" s="1201" t="n"/>
      <c r="R57" s="1201" t="n"/>
      <c r="S57" s="1201" t="n"/>
      <c r="T57" s="1201" t="n"/>
      <c r="U57" s="1201" t="n"/>
      <c r="V57" s="1202" t="n"/>
      <c r="W57" s="42" t="inlineStr">
        <is>
          <t>кор</t>
        </is>
      </c>
      <c r="X57" s="1243">
        <f>IFERROR(X50/H50,"0")+IFERROR(X51/H51,"0")+IFERROR(X52/H52,"0")+IFERROR(X53/H53,"0")+IFERROR(X54/H54,"0")+IFERROR(X55/H55,"0")+IFERROR(X56/H56,"0")</f>
        <v/>
      </c>
      <c r="Y57" s="1243">
        <f>IFERROR(Y50/H50,"0")+IFERROR(Y51/H51,"0")+IFERROR(Y52/H52,"0")+IFERROR(Y53/H53,"0")+IFERROR(Y54/H54,"0")+IFERROR(Y55/H55,"0")+IFERROR(Y56/H56,"0")</f>
        <v/>
      </c>
      <c r="Z57" s="1243">
        <f>IFERROR(IF(Z50="",0,Z50),"0")+IFERROR(IF(Z51="",0,Z51),"0")+IFERROR(IF(Z52="",0,Z52),"0")+IFERROR(IF(Z53="",0,Z53),"0")+IFERROR(IF(Z54="",0,Z54),"0")+IFERROR(IF(Z55="",0,Z55),"0")+IFERROR(IF(Z56="",0,Z56),"0")</f>
        <v/>
      </c>
      <c r="AA57" s="1244" t="n"/>
      <c r="AB57" s="1244" t="n"/>
      <c r="AC57" s="1244" t="n"/>
    </row>
    <row r="58">
      <c r="A58" s="1182" t="n"/>
      <c r="B58" s="1182" t="n"/>
      <c r="C58" s="1182" t="n"/>
      <c r="D58" s="1182" t="n"/>
      <c r="E58" s="1182" t="n"/>
      <c r="F58" s="1182" t="n"/>
      <c r="G58" s="1182" t="n"/>
      <c r="H58" s="1182" t="n"/>
      <c r="I58" s="1182" t="n"/>
      <c r="J58" s="1182" t="n"/>
      <c r="K58" s="1182" t="n"/>
      <c r="L58" s="1182" t="n"/>
      <c r="M58" s="1182" t="n"/>
      <c r="N58" s="1182" t="n"/>
      <c r="O58" s="1241" t="n"/>
      <c r="P58" s="1242" t="inlineStr">
        <is>
          <t>Итого</t>
        </is>
      </c>
      <c r="Q58" s="1201" t="n"/>
      <c r="R58" s="1201" t="n"/>
      <c r="S58" s="1201" t="n"/>
      <c r="T58" s="1201" t="n"/>
      <c r="U58" s="1201" t="n"/>
      <c r="V58" s="1202" t="n"/>
      <c r="W58" s="42" t="inlineStr">
        <is>
          <t>кг</t>
        </is>
      </c>
      <c r="X58" s="1243">
        <f>IFERROR(SUM(X50:X56),"0")</f>
        <v/>
      </c>
      <c r="Y58" s="1243">
        <f>IFERROR(SUM(Y50:Y56),"0")</f>
        <v/>
      </c>
      <c r="Z58" s="42" t="n"/>
      <c r="AA58" s="1244" t="n"/>
      <c r="AB58" s="1244" t="n"/>
      <c r="AC58" s="1244" t="n"/>
    </row>
    <row r="59" ht="14.25" customHeight="1">
      <c r="A59" s="831" t="inlineStr">
        <is>
          <t>Ветчины</t>
        </is>
      </c>
      <c r="B59" s="1182" t="n"/>
      <c r="C59" s="1182" t="n"/>
      <c r="D59" s="1182" t="n"/>
      <c r="E59" s="1182" t="n"/>
      <c r="F59" s="1182" t="n"/>
      <c r="G59" s="1182" t="n"/>
      <c r="H59" s="1182" t="n"/>
      <c r="I59" s="1182" t="n"/>
      <c r="J59" s="1182" t="n"/>
      <c r="K59" s="1182" t="n"/>
      <c r="L59" s="1182" t="n"/>
      <c r="M59" s="1182" t="n"/>
      <c r="N59" s="1182" t="n"/>
      <c r="O59" s="1182" t="n"/>
      <c r="P59" s="1182" t="n"/>
      <c r="Q59" s="1182" t="n"/>
      <c r="R59" s="1182" t="n"/>
      <c r="S59" s="1182" t="n"/>
      <c r="T59" s="1182" t="n"/>
      <c r="U59" s="1182" t="n"/>
      <c r="V59" s="1182" t="n"/>
      <c r="W59" s="1182" t="n"/>
      <c r="X59" s="1182" t="n"/>
      <c r="Y59" s="1182" t="n"/>
      <c r="Z59" s="1182" t="n"/>
      <c r="AA59" s="831" t="n"/>
      <c r="AB59" s="831" t="n"/>
      <c r="AC59" s="831" t="n"/>
    </row>
    <row r="60" ht="27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832" t="n">
        <v>4680115881440</v>
      </c>
      <c r="E60" s="1193" t="n"/>
      <c r="F60" s="1232" t="n">
        <v>1.35</v>
      </c>
      <c r="G60" s="37" t="n">
        <v>8</v>
      </c>
      <c r="H60" s="1232" t="n">
        <v>10.8</v>
      </c>
      <c r="I60" s="1232" t="n">
        <v>11.235</v>
      </c>
      <c r="J60" s="37" t="n">
        <v>64</v>
      </c>
      <c r="K60" s="37" t="inlineStr">
        <is>
          <t>8</t>
        </is>
      </c>
      <c r="L60" s="37" t="inlineStr"/>
      <c r="M60" s="38" t="inlineStr">
        <is>
          <t>СК1</t>
        </is>
      </c>
      <c r="N60" s="38" t="n"/>
      <c r="O60" s="37" t="n">
        <v>50</v>
      </c>
      <c r="P60" s="1261">
        <f>HYPERLINK("https://abi.ru/products/Охлажденные/Вязанка/Филейская/Ветчины/P003234/","Ветчины «Филейская» Весовые Вектор ТМ «Вязанка»")</f>
        <v/>
      </c>
      <c r="Q60" s="1234" t="n"/>
      <c r="R60" s="1234" t="n"/>
      <c r="S60" s="1234" t="n"/>
      <c r="T60" s="1235" t="n"/>
      <c r="U60" s="39" t="inlineStr"/>
      <c r="V60" s="39" t="inlineStr"/>
      <c r="W60" s="40" t="inlineStr">
        <is>
          <t>кг</t>
        </is>
      </c>
      <c r="X60" s="1236" t="n">
        <v>50</v>
      </c>
      <c r="Y60" s="1237">
        <f>IFERROR(IF(X60="",0,CEILING((X60/$H60),1)*$H60),"")</f>
        <v/>
      </c>
      <c r="Z60" s="41">
        <f>IFERROR(IF(Y60=0,"",ROUNDUP(Y60/H60,0)*0.01898),"")</f>
        <v/>
      </c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27" customHeight="1">
      <c r="A61" s="63" t="inlineStr">
        <is>
          <t>SU002786</t>
        </is>
      </c>
      <c r="B61" s="63" t="inlineStr">
        <is>
          <t>P003188</t>
        </is>
      </c>
      <c r="C61" s="36" t="n">
        <v>4301020228</v>
      </c>
      <c r="D61" s="832" t="n">
        <v>4680115882751</v>
      </c>
      <c r="E61" s="1193" t="n"/>
      <c r="F61" s="1232" t="n">
        <v>0.45</v>
      </c>
      <c r="G61" s="37" t="n">
        <v>10</v>
      </c>
      <c r="H61" s="1232" t="n">
        <v>4.5</v>
      </c>
      <c r="I61" s="1232" t="n">
        <v>4.71</v>
      </c>
      <c r="J61" s="37" t="n">
        <v>132</v>
      </c>
      <c r="K61" s="37" t="inlineStr">
        <is>
          <t>12</t>
        </is>
      </c>
      <c r="L61" s="37" t="inlineStr"/>
      <c r="M61" s="38" t="inlineStr">
        <is>
          <t>СК1</t>
        </is>
      </c>
      <c r="N61" s="38" t="n"/>
      <c r="O61" s="37" t="n">
        <v>90</v>
      </c>
      <c r="P61" s="1262">
        <f>HYPERLINK("https://abi.ru/products/Охлажденные/Вязанка/Филейская/Ветчины/P003188/","Ветчины «Филейская #Живой_пар» ф/в 0,45 п/а ТМ «Вязанка»")</f>
        <v/>
      </c>
      <c r="Q61" s="1234" t="n"/>
      <c r="R61" s="1234" t="n"/>
      <c r="S61" s="1234" t="n"/>
      <c r="T61" s="1235" t="n"/>
      <c r="U61" s="39" t="inlineStr"/>
      <c r="V61" s="39" t="inlineStr"/>
      <c r="W61" s="40" t="inlineStr">
        <is>
          <t>кг</t>
        </is>
      </c>
      <c r="X61" s="1236" t="n">
        <v>0</v>
      </c>
      <c r="Y61" s="1237">
        <f>IFERROR(IF(X61="",0,CEILING((X61/$H61),1)*$H61),"")</f>
        <v/>
      </c>
      <c r="Z61" s="41">
        <f>IFERROR(IF(Y61=0,"",ROUNDUP(Y61/H61,0)*0.00902),"")</f>
        <v/>
      </c>
      <c r="AA61" s="68" t="inlineStr"/>
      <c r="AB61" s="69" t="inlineStr"/>
      <c r="AC61" s="128" t="inlineStr">
        <is>
          <t>ЕАЭС N RU Д-RU.РА03.В.00811/23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16.5" customHeight="1">
      <c r="A62" s="63" t="inlineStr">
        <is>
          <t>SU003689</t>
        </is>
      </c>
      <c r="B62" s="63" t="inlineStr">
        <is>
          <t>P004676</t>
        </is>
      </c>
      <c r="C62" s="36" t="n">
        <v>4301020358</v>
      </c>
      <c r="D62" s="832" t="n">
        <v>4680115885950</v>
      </c>
      <c r="E62" s="1193" t="n"/>
      <c r="F62" s="1232" t="n">
        <v>0.37</v>
      </c>
      <c r="G62" s="37" t="n">
        <v>6</v>
      </c>
      <c r="H62" s="1232" t="n">
        <v>2.22</v>
      </c>
      <c r="I62" s="1232" t="n">
        <v>2.4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СК3</t>
        </is>
      </c>
      <c r="N62" s="38" t="n"/>
      <c r="O62" s="37" t="n">
        <v>50</v>
      </c>
      <c r="P62" s="1263">
        <f>HYPERLINK("https://abi.ru/products/Охлажденные/Вязанка/Филейская/Ветчины/P004676/","Ветчины «Филейская» ф/в 0,37 п/а ТМ «Вязанка»")</f>
        <v/>
      </c>
      <c r="Q62" s="1234" t="n"/>
      <c r="R62" s="1234" t="n"/>
      <c r="S62" s="1234" t="n"/>
      <c r="T62" s="1235" t="n"/>
      <c r="U62" s="39" t="inlineStr"/>
      <c r="V62" s="39" t="inlineStr"/>
      <c r="W62" s="40" t="inlineStr">
        <is>
          <t>кг</t>
        </is>
      </c>
      <c r="X62" s="1236" t="n">
        <v>0</v>
      </c>
      <c r="Y62" s="1237">
        <f>IFERROR(IF(X62="",0,CEILING((X62/$H62),1)*$H62),"")</f>
        <v/>
      </c>
      <c r="Z62" s="41">
        <f>IFERROR(IF(Y62=0,"",ROUNDUP(Y62/H62,0)*0.00651),"")</f>
        <v/>
      </c>
      <c r="AA62" s="68" t="inlineStr"/>
      <c r="AB62" s="69" t="inlineStr"/>
      <c r="AC62" s="130" t="inlineStr">
        <is>
          <t>ЕАЭС N RU Д-RU.РА01.В.10660/23</t>
        </is>
      </c>
      <c r="AG62" s="78" t="n"/>
      <c r="AJ62" s="84" t="inlineStr"/>
      <c r="AK62" s="84" t="n">
        <v>0</v>
      </c>
      <c r="BB62" s="131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27" customHeight="1">
      <c r="A63" s="63" t="inlineStr">
        <is>
          <t>SU002814</t>
        </is>
      </c>
      <c r="B63" s="63" t="inlineStr">
        <is>
          <t>P003226</t>
        </is>
      </c>
      <c r="C63" s="36" t="n">
        <v>4301020296</v>
      </c>
      <c r="D63" s="832" t="n">
        <v>4680115881433</v>
      </c>
      <c r="E63" s="1193" t="n"/>
      <c r="F63" s="1232" t="n">
        <v>0.45</v>
      </c>
      <c r="G63" s="37" t="n">
        <v>6</v>
      </c>
      <c r="H63" s="1232" t="n">
        <v>2.7</v>
      </c>
      <c r="I63" s="1232" t="n">
        <v>2.88</v>
      </c>
      <c r="J63" s="37" t="n">
        <v>182</v>
      </c>
      <c r="K63" s="37" t="inlineStr">
        <is>
          <t>14</t>
        </is>
      </c>
      <c r="L63" s="37" t="inlineStr">
        <is>
          <t>Палетта, мин. 1</t>
        </is>
      </c>
      <c r="M63" s="38" t="inlineStr">
        <is>
          <t>СК1</t>
        </is>
      </c>
      <c r="N63" s="38" t="n"/>
      <c r="O63" s="37" t="n">
        <v>50</v>
      </c>
      <c r="P63" s="1264">
        <f>HYPERLINK("https://abi.ru/products/Охлажденные/Вязанка/Филейская/Ветчины/P003226/","Ветчины «Филейская» Фикс.вес 0,45 Вектор ТМ «Вязанка»")</f>
        <v/>
      </c>
      <c r="Q63" s="1234" t="n"/>
      <c r="R63" s="1234" t="n"/>
      <c r="S63" s="1234" t="n"/>
      <c r="T63" s="1235" t="n"/>
      <c r="U63" s="39" t="inlineStr"/>
      <c r="V63" s="39" t="inlineStr"/>
      <c r="W63" s="40" t="inlineStr">
        <is>
          <t>кг</t>
        </is>
      </c>
      <c r="X63" s="1236" t="n">
        <v>112.5</v>
      </c>
      <c r="Y63" s="1237">
        <f>IFERROR(IF(X63="",0,CEILING((X63/$H63),1)*$H63),"")</f>
        <v/>
      </c>
      <c r="Z63" s="41">
        <f>IFERROR(IF(Y63=0,"",ROUNDUP(Y63/H63,0)*0.00651),"")</f>
        <v/>
      </c>
      <c r="AA63" s="68" t="inlineStr"/>
      <c r="AB63" s="69" t="inlineStr"/>
      <c r="AC63" s="132" t="inlineStr">
        <is>
          <t>ЕАЭС N RU Д-RU.РА01.В.10660/23</t>
        </is>
      </c>
      <c r="AG63" s="78" t="n"/>
      <c r="AJ63" s="84" t="inlineStr">
        <is>
          <t>Палетта</t>
        </is>
      </c>
      <c r="AK63" s="84" t="n">
        <v>491.4</v>
      </c>
      <c r="BB63" s="133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>
      <c r="A64" s="843" t="n"/>
      <c r="B64" s="1182" t="n"/>
      <c r="C64" s="1182" t="n"/>
      <c r="D64" s="1182" t="n"/>
      <c r="E64" s="1182" t="n"/>
      <c r="F64" s="1182" t="n"/>
      <c r="G64" s="1182" t="n"/>
      <c r="H64" s="1182" t="n"/>
      <c r="I64" s="1182" t="n"/>
      <c r="J64" s="1182" t="n"/>
      <c r="K64" s="1182" t="n"/>
      <c r="L64" s="1182" t="n"/>
      <c r="M64" s="1182" t="n"/>
      <c r="N64" s="1182" t="n"/>
      <c r="O64" s="1241" t="n"/>
      <c r="P64" s="1242" t="inlineStr">
        <is>
          <t>Итого</t>
        </is>
      </c>
      <c r="Q64" s="1201" t="n"/>
      <c r="R64" s="1201" t="n"/>
      <c r="S64" s="1201" t="n"/>
      <c r="T64" s="1201" t="n"/>
      <c r="U64" s="1201" t="n"/>
      <c r="V64" s="1202" t="n"/>
      <c r="W64" s="42" t="inlineStr">
        <is>
          <t>кор</t>
        </is>
      </c>
      <c r="X64" s="1243">
        <f>IFERROR(X60/H60,"0")+IFERROR(X61/H61,"0")+IFERROR(X62/H62,"0")+IFERROR(X63/H63,"0")</f>
        <v/>
      </c>
      <c r="Y64" s="1243">
        <f>IFERROR(Y60/H60,"0")+IFERROR(Y61/H61,"0")+IFERROR(Y62/H62,"0")+IFERROR(Y63/H63,"0")</f>
        <v/>
      </c>
      <c r="Z64" s="1243">
        <f>IFERROR(IF(Z60="",0,Z60),"0")+IFERROR(IF(Z61="",0,Z61),"0")+IFERROR(IF(Z62="",0,Z62),"0")+IFERROR(IF(Z63="",0,Z63),"0")</f>
        <v/>
      </c>
      <c r="AA64" s="1244" t="n"/>
      <c r="AB64" s="1244" t="n"/>
      <c r="AC64" s="1244" t="n"/>
    </row>
    <row r="65">
      <c r="A65" s="1182" t="n"/>
      <c r="B65" s="1182" t="n"/>
      <c r="C65" s="1182" t="n"/>
      <c r="D65" s="1182" t="n"/>
      <c r="E65" s="1182" t="n"/>
      <c r="F65" s="1182" t="n"/>
      <c r="G65" s="1182" t="n"/>
      <c r="H65" s="1182" t="n"/>
      <c r="I65" s="1182" t="n"/>
      <c r="J65" s="1182" t="n"/>
      <c r="K65" s="1182" t="n"/>
      <c r="L65" s="1182" t="n"/>
      <c r="M65" s="1182" t="n"/>
      <c r="N65" s="1182" t="n"/>
      <c r="O65" s="1241" t="n"/>
      <c r="P65" s="1242" t="inlineStr">
        <is>
          <t>Итого</t>
        </is>
      </c>
      <c r="Q65" s="1201" t="n"/>
      <c r="R65" s="1201" t="n"/>
      <c r="S65" s="1201" t="n"/>
      <c r="T65" s="1201" t="n"/>
      <c r="U65" s="1201" t="n"/>
      <c r="V65" s="1202" t="n"/>
      <c r="W65" s="42" t="inlineStr">
        <is>
          <t>кг</t>
        </is>
      </c>
      <c r="X65" s="1243">
        <f>IFERROR(SUM(X60:X63),"0")</f>
        <v/>
      </c>
      <c r="Y65" s="1243">
        <f>IFERROR(SUM(Y60:Y63),"0")</f>
        <v/>
      </c>
      <c r="Z65" s="42" t="n"/>
      <c r="AA65" s="1244" t="n"/>
      <c r="AB65" s="1244" t="n"/>
      <c r="AC65" s="1244" t="n"/>
    </row>
    <row r="66" ht="14.25" customHeight="1">
      <c r="A66" s="831" t="inlineStr">
        <is>
          <t>Копченые колбасы</t>
        </is>
      </c>
      <c r="B66" s="1182" t="n"/>
      <c r="C66" s="1182" t="n"/>
      <c r="D66" s="1182" t="n"/>
      <c r="E66" s="1182" t="n"/>
      <c r="F66" s="1182" t="n"/>
      <c r="G66" s="1182" t="n"/>
      <c r="H66" s="1182" t="n"/>
      <c r="I66" s="1182" t="n"/>
      <c r="J66" s="1182" t="n"/>
      <c r="K66" s="1182" t="n"/>
      <c r="L66" s="1182" t="n"/>
      <c r="M66" s="1182" t="n"/>
      <c r="N66" s="1182" t="n"/>
      <c r="O66" s="1182" t="n"/>
      <c r="P66" s="1182" t="n"/>
      <c r="Q66" s="1182" t="n"/>
      <c r="R66" s="1182" t="n"/>
      <c r="S66" s="1182" t="n"/>
      <c r="T66" s="1182" t="n"/>
      <c r="U66" s="1182" t="n"/>
      <c r="V66" s="1182" t="n"/>
      <c r="W66" s="1182" t="n"/>
      <c r="X66" s="1182" t="n"/>
      <c r="Y66" s="1182" t="n"/>
      <c r="Z66" s="1182" t="n"/>
      <c r="AA66" s="831" t="n"/>
      <c r="AB66" s="831" t="n"/>
      <c r="AC66" s="831" t="n"/>
    </row>
    <row r="67" ht="16.5" customHeight="1">
      <c r="A67" s="63" t="inlineStr">
        <is>
          <t>SU003028</t>
        </is>
      </c>
      <c r="B67" s="63" t="inlineStr">
        <is>
          <t>P003572</t>
        </is>
      </c>
      <c r="C67" s="36" t="n">
        <v>4301031242</v>
      </c>
      <c r="D67" s="832" t="n">
        <v>4680115885066</v>
      </c>
      <c r="E67" s="1193" t="n"/>
      <c r="F67" s="1232" t="n">
        <v>0.7</v>
      </c>
      <c r="G67" s="37" t="n">
        <v>6</v>
      </c>
      <c r="H67" s="1232" t="n">
        <v>4.2</v>
      </c>
      <c r="I67" s="1232" t="n">
        <v>4.41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26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67" s="1234" t="n"/>
      <c r="R67" s="1234" t="n"/>
      <c r="S67" s="1234" t="n"/>
      <c r="T67" s="1235" t="n"/>
      <c r="U67" s="39" t="inlineStr"/>
      <c r="V67" s="39" t="inlineStr"/>
      <c r="W67" s="40" t="inlineStr">
        <is>
          <t>кг</t>
        </is>
      </c>
      <c r="X67" s="1236" t="n">
        <v>0</v>
      </c>
      <c r="Y67" s="1237">
        <f>IFERROR(IF(X67="",0,CEILING((X67/$H67),1)*$H67),"")</f>
        <v/>
      </c>
      <c r="Z67" s="41">
        <f>IFERROR(IF(Y67=0,"",ROUNDUP(Y67/H67,0)*0.00902),"")</f>
        <v/>
      </c>
      <c r="AA67" s="68" t="inlineStr"/>
      <c r="AB67" s="69" t="inlineStr"/>
      <c r="AC67" s="134" t="inlineStr">
        <is>
          <t>ЕАЭС N RU Д-RU.РА11.В.18821/23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16.5" customHeight="1">
      <c r="A68" s="63" t="inlineStr">
        <is>
          <t>SU003030</t>
        </is>
      </c>
      <c r="B68" s="63" t="inlineStr">
        <is>
          <t>P003567</t>
        </is>
      </c>
      <c r="C68" s="36" t="n">
        <v>4301031240</v>
      </c>
      <c r="D68" s="832" t="n">
        <v>4680115885042</v>
      </c>
      <c r="E68" s="1193" t="n"/>
      <c r="F68" s="1232" t="n">
        <v>0.7</v>
      </c>
      <c r="G68" s="37" t="n">
        <v>6</v>
      </c>
      <c r="H68" s="1232" t="n">
        <v>4.2</v>
      </c>
      <c r="I68" s="1232" t="n">
        <v>4.41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1266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68" s="1234" t="n"/>
      <c r="R68" s="1234" t="n"/>
      <c r="S68" s="1234" t="n"/>
      <c r="T68" s="1235" t="n"/>
      <c r="U68" s="39" t="inlineStr"/>
      <c r="V68" s="39" t="inlineStr"/>
      <c r="W68" s="40" t="inlineStr">
        <is>
          <t>кг</t>
        </is>
      </c>
      <c r="X68" s="1236" t="n">
        <v>0</v>
      </c>
      <c r="Y68" s="1237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Д-RU.РА11.В.17299/23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16.5" customHeight="1">
      <c r="A69" s="63" t="inlineStr">
        <is>
          <t>SU003032</t>
        </is>
      </c>
      <c r="B69" s="63" t="inlineStr">
        <is>
          <t>P003562</t>
        </is>
      </c>
      <c r="C69" s="36" t="n">
        <v>4301031315</v>
      </c>
      <c r="D69" s="832" t="n">
        <v>4680115885080</v>
      </c>
      <c r="E69" s="1193" t="n"/>
      <c r="F69" s="1232" t="n">
        <v>0.7</v>
      </c>
      <c r="G69" s="37" t="n">
        <v>6</v>
      </c>
      <c r="H69" s="1232" t="n">
        <v>4.2</v>
      </c>
      <c r="I69" s="1232" t="n">
        <v>4.41</v>
      </c>
      <c r="J69" s="37" t="n">
        <v>132</v>
      </c>
      <c r="K69" s="37" t="inlineStr">
        <is>
          <t>12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267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69" s="1234" t="n"/>
      <c r="R69" s="1234" t="n"/>
      <c r="S69" s="1234" t="n"/>
      <c r="T69" s="1235" t="n"/>
      <c r="U69" s="39" t="inlineStr"/>
      <c r="V69" s="39" t="inlineStr"/>
      <c r="W69" s="40" t="inlineStr">
        <is>
          <t>кг</t>
        </is>
      </c>
      <c r="X69" s="1236" t="n">
        <v>0</v>
      </c>
      <c r="Y69" s="1237">
        <f>IFERROR(IF(X69="",0,CEILING((X69/$H69),1)*$H69),"")</f>
        <v/>
      </c>
      <c r="Z69" s="41">
        <f>IFERROR(IF(Y69=0,"",ROUNDUP(Y69/H69,0)*0.00902),"")</f>
        <v/>
      </c>
      <c r="AA69" s="68" t="inlineStr"/>
      <c r="AB69" s="69" t="inlineStr"/>
      <c r="AC69" s="138" t="inlineStr">
        <is>
          <t>ЕАЭС N RU Д-RU.РА11.В.17985/23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SU003027</t>
        </is>
      </c>
      <c r="B70" s="63" t="inlineStr">
        <is>
          <t>P003573</t>
        </is>
      </c>
      <c r="C70" s="36" t="n">
        <v>4301031243</v>
      </c>
      <c r="D70" s="832" t="n">
        <v>4680115885073</v>
      </c>
      <c r="E70" s="1193" t="n"/>
      <c r="F70" s="1232" t="n">
        <v>0.3</v>
      </c>
      <c r="G70" s="37" t="n">
        <v>6</v>
      </c>
      <c r="H70" s="1232" t="n">
        <v>1.8</v>
      </c>
      <c r="I70" s="1232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268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70" s="1234" t="n"/>
      <c r="R70" s="1234" t="n"/>
      <c r="S70" s="1234" t="n"/>
      <c r="T70" s="1235" t="n"/>
      <c r="U70" s="39" t="inlineStr"/>
      <c r="V70" s="39" t="inlineStr"/>
      <c r="W70" s="40" t="inlineStr">
        <is>
          <t>кг</t>
        </is>
      </c>
      <c r="X70" s="1236" t="n">
        <v>3</v>
      </c>
      <c r="Y70" s="1237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40" t="inlineStr">
        <is>
          <t>ЕАЭС N RU Д-RU.РА11.В.18821/23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 ht="27" customHeight="1">
      <c r="A71" s="63" t="inlineStr">
        <is>
          <t>SU003029</t>
        </is>
      </c>
      <c r="B71" s="63" t="inlineStr">
        <is>
          <t>P003569</t>
        </is>
      </c>
      <c r="C71" s="36" t="n">
        <v>4301031241</v>
      </c>
      <c r="D71" s="832" t="n">
        <v>4680115885059</v>
      </c>
      <c r="E71" s="1193" t="n"/>
      <c r="F71" s="1232" t="n">
        <v>0.3</v>
      </c>
      <c r="G71" s="37" t="n">
        <v>6</v>
      </c>
      <c r="H71" s="1232" t="n">
        <v>1.8</v>
      </c>
      <c r="I71" s="1232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269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71" s="1234" t="n"/>
      <c r="R71" s="1234" t="n"/>
      <c r="S71" s="1234" t="n"/>
      <c r="T71" s="1235" t="n"/>
      <c r="U71" s="39" t="inlineStr"/>
      <c r="V71" s="39" t="inlineStr"/>
      <c r="W71" s="40" t="inlineStr">
        <is>
          <t>кг</t>
        </is>
      </c>
      <c r="X71" s="1236" t="n">
        <v>3</v>
      </c>
      <c r="Y71" s="1237">
        <f>IFERROR(IF(X71="",0,CEILING((X71/$H71),1)*$H71),"")</f>
        <v/>
      </c>
      <c r="Z71" s="41">
        <f>IFERROR(IF(Y71=0,"",ROUNDUP(Y71/H71,0)*0.00502),"")</f>
        <v/>
      </c>
      <c r="AA71" s="68" t="inlineStr"/>
      <c r="AB71" s="69" t="inlineStr"/>
      <c r="AC71" s="142" t="inlineStr">
        <is>
          <t>ЕАЭС N RU Д-RU.РА11.В.17299/23</t>
        </is>
      </c>
      <c r="AG71" s="78" t="n"/>
      <c r="AJ71" s="84" t="inlineStr"/>
      <c r="AK71" s="84" t="n">
        <v>0</v>
      </c>
      <c r="BB71" s="143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SU003031</t>
        </is>
      </c>
      <c r="B72" s="63" t="inlineStr">
        <is>
          <t>P003566</t>
        </is>
      </c>
      <c r="C72" s="36" t="n">
        <v>4301031316</v>
      </c>
      <c r="D72" s="832" t="n">
        <v>4680115885097</v>
      </c>
      <c r="E72" s="1193" t="n"/>
      <c r="F72" s="1232" t="n">
        <v>0.3</v>
      </c>
      <c r="G72" s="37" t="n">
        <v>6</v>
      </c>
      <c r="H72" s="1232" t="n">
        <v>1.8</v>
      </c>
      <c r="I72" s="1232" t="n">
        <v>1.9</v>
      </c>
      <c r="J72" s="37" t="n">
        <v>234</v>
      </c>
      <c r="K72" s="37" t="inlineStr">
        <is>
          <t>18</t>
        </is>
      </c>
      <c r="L72" s="37" t="inlineStr"/>
      <c r="M72" s="38" t="inlineStr">
        <is>
          <t>СК2</t>
        </is>
      </c>
      <c r="N72" s="38" t="n"/>
      <c r="O72" s="37" t="n">
        <v>40</v>
      </c>
      <c r="P72" s="1270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2" s="1234" t="n"/>
      <c r="R72" s="1234" t="n"/>
      <c r="S72" s="1234" t="n"/>
      <c r="T72" s="1235" t="n"/>
      <c r="U72" s="39" t="inlineStr"/>
      <c r="V72" s="39" t="inlineStr"/>
      <c r="W72" s="40" t="inlineStr">
        <is>
          <t>кг</t>
        </is>
      </c>
      <c r="X72" s="1236" t="n">
        <v>3</v>
      </c>
      <c r="Y72" s="1237">
        <f>IFERROR(IF(X72="",0,CEILING((X72/$H72),1)*$H72),"")</f>
        <v/>
      </c>
      <c r="Z72" s="41">
        <f>IFERROR(IF(Y72=0,"",ROUNDUP(Y72/H72,0)*0.00502),"")</f>
        <v/>
      </c>
      <c r="AA72" s="68" t="inlineStr"/>
      <c r="AB72" s="69" t="inlineStr"/>
      <c r="AC72" s="144" t="inlineStr">
        <is>
          <t>ЕАЭС N RU Д-RU.РА11.В.17985/23</t>
        </is>
      </c>
      <c r="AG72" s="78" t="n"/>
      <c r="AJ72" s="84" t="inlineStr"/>
      <c r="AK72" s="84" t="n">
        <v>0</v>
      </c>
      <c r="BB72" s="145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>
      <c r="A73" s="843" t="n"/>
      <c r="B73" s="1182" t="n"/>
      <c r="C73" s="1182" t="n"/>
      <c r="D73" s="1182" t="n"/>
      <c r="E73" s="1182" t="n"/>
      <c r="F73" s="1182" t="n"/>
      <c r="G73" s="1182" t="n"/>
      <c r="H73" s="1182" t="n"/>
      <c r="I73" s="1182" t="n"/>
      <c r="J73" s="1182" t="n"/>
      <c r="K73" s="1182" t="n"/>
      <c r="L73" s="1182" t="n"/>
      <c r="M73" s="1182" t="n"/>
      <c r="N73" s="1182" t="n"/>
      <c r="O73" s="1241" t="n"/>
      <c r="P73" s="1242" t="inlineStr">
        <is>
          <t>Итого</t>
        </is>
      </c>
      <c r="Q73" s="1201" t="n"/>
      <c r="R73" s="1201" t="n"/>
      <c r="S73" s="1201" t="n"/>
      <c r="T73" s="1201" t="n"/>
      <c r="U73" s="1201" t="n"/>
      <c r="V73" s="1202" t="n"/>
      <c r="W73" s="42" t="inlineStr">
        <is>
          <t>кор</t>
        </is>
      </c>
      <c r="X73" s="1243">
        <f>IFERROR(X67/H67,"0")+IFERROR(X68/H68,"0")+IFERROR(X69/H69,"0")+IFERROR(X70/H70,"0")+IFERROR(X71/H71,"0")+IFERROR(X72/H72,"0")</f>
        <v/>
      </c>
      <c r="Y73" s="1243">
        <f>IFERROR(Y67/H67,"0")+IFERROR(Y68/H68,"0")+IFERROR(Y69/H69,"0")+IFERROR(Y70/H70,"0")+IFERROR(Y71/H71,"0")+IFERROR(Y72/H72,"0")</f>
        <v/>
      </c>
      <c r="Z73" s="1243">
        <f>IFERROR(IF(Z67="",0,Z67),"0")+IFERROR(IF(Z68="",0,Z68),"0")+IFERROR(IF(Z69="",0,Z69),"0")+IFERROR(IF(Z70="",0,Z70),"0")+IFERROR(IF(Z71="",0,Z71),"0")+IFERROR(IF(Z72="",0,Z72),"0")</f>
        <v/>
      </c>
      <c r="AA73" s="1244" t="n"/>
      <c r="AB73" s="1244" t="n"/>
      <c r="AC73" s="1244" t="n"/>
    </row>
    <row r="74">
      <c r="A74" s="1182" t="n"/>
      <c r="B74" s="1182" t="n"/>
      <c r="C74" s="1182" t="n"/>
      <c r="D74" s="1182" t="n"/>
      <c r="E74" s="1182" t="n"/>
      <c r="F74" s="1182" t="n"/>
      <c r="G74" s="1182" t="n"/>
      <c r="H74" s="1182" t="n"/>
      <c r="I74" s="1182" t="n"/>
      <c r="J74" s="1182" t="n"/>
      <c r="K74" s="1182" t="n"/>
      <c r="L74" s="1182" t="n"/>
      <c r="M74" s="1182" t="n"/>
      <c r="N74" s="1182" t="n"/>
      <c r="O74" s="1241" t="n"/>
      <c r="P74" s="1242" t="inlineStr">
        <is>
          <t>Итого</t>
        </is>
      </c>
      <c r="Q74" s="1201" t="n"/>
      <c r="R74" s="1201" t="n"/>
      <c r="S74" s="1201" t="n"/>
      <c r="T74" s="1201" t="n"/>
      <c r="U74" s="1201" t="n"/>
      <c r="V74" s="1202" t="n"/>
      <c r="W74" s="42" t="inlineStr">
        <is>
          <t>кг</t>
        </is>
      </c>
      <c r="X74" s="1243">
        <f>IFERROR(SUM(X67:X72),"0")</f>
        <v/>
      </c>
      <c r="Y74" s="1243">
        <f>IFERROR(SUM(Y67:Y72),"0")</f>
        <v/>
      </c>
      <c r="Z74" s="42" t="n"/>
      <c r="AA74" s="1244" t="n"/>
      <c r="AB74" s="1244" t="n"/>
      <c r="AC74" s="1244" t="n"/>
    </row>
    <row r="75" ht="14.25" customHeight="1">
      <c r="A75" s="831" t="inlineStr">
        <is>
          <t>Сосиски</t>
        </is>
      </c>
      <c r="B75" s="1182" t="n"/>
      <c r="C75" s="1182" t="n"/>
      <c r="D75" s="1182" t="n"/>
      <c r="E75" s="1182" t="n"/>
      <c r="F75" s="1182" t="n"/>
      <c r="G75" s="1182" t="n"/>
      <c r="H75" s="1182" t="n"/>
      <c r="I75" s="1182" t="n"/>
      <c r="J75" s="1182" t="n"/>
      <c r="K75" s="1182" t="n"/>
      <c r="L75" s="1182" t="n"/>
      <c r="M75" s="1182" t="n"/>
      <c r="N75" s="1182" t="n"/>
      <c r="O75" s="1182" t="n"/>
      <c r="P75" s="1182" t="n"/>
      <c r="Q75" s="1182" t="n"/>
      <c r="R75" s="1182" t="n"/>
      <c r="S75" s="1182" t="n"/>
      <c r="T75" s="1182" t="n"/>
      <c r="U75" s="1182" t="n"/>
      <c r="V75" s="1182" t="n"/>
      <c r="W75" s="1182" t="n"/>
      <c r="X75" s="1182" t="n"/>
      <c r="Y75" s="1182" t="n"/>
      <c r="Z75" s="1182" t="n"/>
      <c r="AA75" s="831" t="n"/>
      <c r="AB75" s="831" t="n"/>
      <c r="AC75" s="831" t="n"/>
    </row>
    <row r="76" ht="16.5" customHeight="1">
      <c r="A76" s="63" t="inlineStr">
        <is>
          <t>SU002887</t>
        </is>
      </c>
      <c r="B76" s="63" t="inlineStr">
        <is>
          <t>P004553</t>
        </is>
      </c>
      <c r="C76" s="36" t="n">
        <v>4301051838</v>
      </c>
      <c r="D76" s="832" t="n">
        <v>4680115881891</v>
      </c>
      <c r="E76" s="1193" t="n"/>
      <c r="F76" s="1232" t="n">
        <v>1.4</v>
      </c>
      <c r="G76" s="37" t="n">
        <v>6</v>
      </c>
      <c r="H76" s="1232" t="n">
        <v>8.4</v>
      </c>
      <c r="I76" s="1232" t="n">
        <v>8.919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1271">
        <f>HYPERLINK("https://abi.ru/products/Охлажденные/Вязанка/Филейская/Сосиски/P004553/","Сосиски «Филейские» Вес ц/о мгс ТМ «Вязанка»")</f>
        <v/>
      </c>
      <c r="Q76" s="1234" t="n"/>
      <c r="R76" s="1234" t="n"/>
      <c r="S76" s="1234" t="n"/>
      <c r="T76" s="1235" t="n"/>
      <c r="U76" s="39" t="inlineStr"/>
      <c r="V76" s="39" t="inlineStr"/>
      <c r="W76" s="40" t="inlineStr">
        <is>
          <t>кг</t>
        </is>
      </c>
      <c r="X76" s="1236" t="n">
        <v>0</v>
      </c>
      <c r="Y76" s="1237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6" t="inlineStr">
        <is>
          <t>ЕАЭС N RU Д-RU.РА01.В.62645/23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27" customHeight="1">
      <c r="A77" s="63" t="inlineStr">
        <is>
          <t>SU003616</t>
        </is>
      </c>
      <c r="B77" s="63" t="inlineStr">
        <is>
          <t>P004555</t>
        </is>
      </c>
      <c r="C77" s="36" t="n">
        <v>4301051846</v>
      </c>
      <c r="D77" s="832" t="n">
        <v>4680115885769</v>
      </c>
      <c r="E77" s="1193" t="n"/>
      <c r="F77" s="1232" t="n">
        <v>1.4</v>
      </c>
      <c r="G77" s="37" t="n">
        <v>6</v>
      </c>
      <c r="H77" s="1232" t="n">
        <v>8.4</v>
      </c>
      <c r="I77" s="1232" t="n">
        <v>8.835000000000001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45</v>
      </c>
      <c r="P77" s="1272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7" s="1234" t="n"/>
      <c r="R77" s="1234" t="n"/>
      <c r="S77" s="1234" t="n"/>
      <c r="T77" s="1235" t="n"/>
      <c r="U77" s="39" t="inlineStr"/>
      <c r="V77" s="39" t="inlineStr"/>
      <c r="W77" s="40" t="inlineStr">
        <is>
          <t>кг</t>
        </is>
      </c>
      <c r="X77" s="1236" t="n">
        <v>0</v>
      </c>
      <c r="Y77" s="1237">
        <f>IFERROR(IF(X77="",0,CEILING((X77/$H77),1)*$H77),"")</f>
        <v/>
      </c>
      <c r="Z77" s="41">
        <f>IFERROR(IF(Y77=0,"",ROUNDUP(Y77/H77,0)*0.01898),"")</f>
        <v/>
      </c>
      <c r="AA77" s="68" t="inlineStr"/>
      <c r="AB77" s="69" t="inlineStr"/>
      <c r="AC77" s="148" t="inlineStr">
        <is>
          <t>ЕАЭС N RU Д-RU.РА04.В.95390/24, ЕАЭС N RU Д-RU.РА04.В.95798/24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37.5" customHeight="1">
      <c r="A78" s="63" t="inlineStr">
        <is>
          <t>SU003287</t>
        </is>
      </c>
      <c r="B78" s="63" t="inlineStr">
        <is>
          <t>P004552</t>
        </is>
      </c>
      <c r="C78" s="36" t="n">
        <v>4301051822</v>
      </c>
      <c r="D78" s="832" t="n">
        <v>4680115884410</v>
      </c>
      <c r="E78" s="1193" t="n"/>
      <c r="F78" s="1232" t="n">
        <v>1.4</v>
      </c>
      <c r="G78" s="37" t="n">
        <v>6</v>
      </c>
      <c r="H78" s="1232" t="n">
        <v>8.4</v>
      </c>
      <c r="I78" s="1232" t="n">
        <v>8.907</v>
      </c>
      <c r="J78" s="37" t="n">
        <v>64</v>
      </c>
      <c r="K78" s="37" t="inlineStr">
        <is>
          <t>8</t>
        </is>
      </c>
      <c r="L78" s="37" t="inlineStr"/>
      <c r="M78" s="38" t="inlineStr">
        <is>
          <t>СК2</t>
        </is>
      </c>
      <c r="N78" s="38" t="n"/>
      <c r="O78" s="37" t="n">
        <v>40</v>
      </c>
      <c r="P78" s="1273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8" s="1234" t="n"/>
      <c r="R78" s="1234" t="n"/>
      <c r="S78" s="1234" t="n"/>
      <c r="T78" s="1235" t="n"/>
      <c r="U78" s="39" t="inlineStr"/>
      <c r="V78" s="39" t="inlineStr"/>
      <c r="W78" s="40" t="inlineStr">
        <is>
          <t>кг</t>
        </is>
      </c>
      <c r="X78" s="1236" t="n">
        <v>0</v>
      </c>
      <c r="Y78" s="1237">
        <f>IFERROR(IF(X78="",0,CEILING((X78/$H78),1)*$H78),"")</f>
        <v/>
      </c>
      <c r="Z78" s="41">
        <f>IFERROR(IF(Y78=0,"",ROUNDUP(Y78/H78,0)*0.01898),"")</f>
        <v/>
      </c>
      <c r="AA78" s="68" t="inlineStr"/>
      <c r="AB78" s="69" t="inlineStr"/>
      <c r="AC78" s="150" t="inlineStr">
        <is>
          <t>ЕАЭС N RU Д-RU.РА01.В.58241/24, ЕАЭС N RU Д-RU.РА01.В.58575/24, ЕАЭС N RU Д-RU.РА01.В.58627/24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16.5" customHeight="1">
      <c r="A79" s="63" t="inlineStr">
        <is>
          <t>SU002825</t>
        </is>
      </c>
      <c r="B79" s="63" t="inlineStr">
        <is>
          <t>P004554</t>
        </is>
      </c>
      <c r="C79" s="36" t="n">
        <v>4301051837</v>
      </c>
      <c r="D79" s="832" t="n">
        <v>4680115884311</v>
      </c>
      <c r="E79" s="1193" t="n"/>
      <c r="F79" s="1232" t="n">
        <v>0.3</v>
      </c>
      <c r="G79" s="37" t="n">
        <v>6</v>
      </c>
      <c r="H79" s="1232" t="n">
        <v>1.8</v>
      </c>
      <c r="I79" s="1232" t="n">
        <v>2.046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1274">
        <f>HYPERLINK("https://abi.ru/products/Охлажденные/Вязанка/Филейская/Сосиски/P004554/","Сосиски «Филейские» Фикс.вес 0,3 ц/о мгс ТМ «Вязанка»")</f>
        <v/>
      </c>
      <c r="Q79" s="1234" t="n"/>
      <c r="R79" s="1234" t="n"/>
      <c r="S79" s="1234" t="n"/>
      <c r="T79" s="1235" t="n"/>
      <c r="U79" s="39" t="inlineStr"/>
      <c r="V79" s="39" t="inlineStr"/>
      <c r="W79" s="40" t="inlineStr">
        <is>
          <t>кг</t>
        </is>
      </c>
      <c r="X79" s="1236" t="n">
        <v>0</v>
      </c>
      <c r="Y79" s="1237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52" t="inlineStr">
        <is>
          <t>ЕАЭС N RU Д-RU.РА01.В.62645/23</t>
        </is>
      </c>
      <c r="AG79" s="78" t="n"/>
      <c r="AJ79" s="84" t="inlineStr"/>
      <c r="AK79" s="84" t="n">
        <v>0</v>
      </c>
      <c r="BB79" s="153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 ht="27" customHeight="1">
      <c r="A80" s="63" t="inlineStr">
        <is>
          <t>SU003617</t>
        </is>
      </c>
      <c r="B80" s="63" t="inlineStr">
        <is>
          <t>P004558</t>
        </is>
      </c>
      <c r="C80" s="36" t="n">
        <v>4301051844</v>
      </c>
      <c r="D80" s="832" t="n">
        <v>4680115885929</v>
      </c>
      <c r="E80" s="1193" t="n"/>
      <c r="F80" s="1232" t="n">
        <v>0.42</v>
      </c>
      <c r="G80" s="37" t="n">
        <v>6</v>
      </c>
      <c r="H80" s="1232" t="n">
        <v>2.52</v>
      </c>
      <c r="I80" s="1232" t="n">
        <v>2.7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45</v>
      </c>
      <c r="P80" s="1275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80" s="1234" t="n"/>
      <c r="R80" s="1234" t="n"/>
      <c r="S80" s="1234" t="n"/>
      <c r="T80" s="1235" t="n"/>
      <c r="U80" s="39" t="inlineStr"/>
      <c r="V80" s="39" t="inlineStr"/>
      <c r="W80" s="40" t="inlineStr">
        <is>
          <t>кг</t>
        </is>
      </c>
      <c r="X80" s="1236" t="n">
        <v>0</v>
      </c>
      <c r="Y80" s="1237">
        <f>IFERROR(IF(X80="",0,CEILING((X80/$H80),1)*$H80),"")</f>
        <v/>
      </c>
      <c r="Z80" s="41">
        <f>IFERROR(IF(Y80=0,"",ROUNDUP(Y80/H80,0)*0.00651),"")</f>
        <v/>
      </c>
      <c r="AA80" s="68" t="inlineStr"/>
      <c r="AB80" s="69" t="inlineStr"/>
      <c r="AC80" s="154" t="inlineStr">
        <is>
          <t>ЕАЭС N RU Д-RU.РА04.В.95390/24, ЕАЭС N RU Д-RU.РА04.В.95798/24</t>
        </is>
      </c>
      <c r="AG80" s="78" t="n"/>
      <c r="AJ80" s="84" t="inlineStr"/>
      <c r="AK80" s="84" t="n">
        <v>0</v>
      </c>
      <c r="BB80" s="155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37.5" customHeight="1">
      <c r="A81" s="63" t="inlineStr">
        <is>
          <t>SU003288</t>
        </is>
      </c>
      <c r="B81" s="63" t="inlineStr">
        <is>
          <t>P004557</t>
        </is>
      </c>
      <c r="C81" s="36" t="n">
        <v>4301051827</v>
      </c>
      <c r="D81" s="832" t="n">
        <v>4680115884403</v>
      </c>
      <c r="E81" s="1193" t="n"/>
      <c r="F81" s="1232" t="n">
        <v>0.3</v>
      </c>
      <c r="G81" s="37" t="n">
        <v>6</v>
      </c>
      <c r="H81" s="1232" t="n">
        <v>1.8</v>
      </c>
      <c r="I81" s="1232" t="n">
        <v>1.98</v>
      </c>
      <c r="J81" s="37" t="n">
        <v>182</v>
      </c>
      <c r="K81" s="37" t="inlineStr">
        <is>
          <t>14</t>
        </is>
      </c>
      <c r="L81" s="37" t="inlineStr"/>
      <c r="M81" s="38" t="inlineStr">
        <is>
          <t>СК2</t>
        </is>
      </c>
      <c r="N81" s="38" t="n"/>
      <c r="O81" s="37" t="n">
        <v>40</v>
      </c>
      <c r="P81" s="1276">
        <f>HYPERLINK("https://abi.ru/products/Охлажденные/Вязанка/Филейская/Сосиски/P004557/","Сосиски «Филейские рубленые» ф/в 0,3 ц/о ТМ «Вязанка»")</f>
        <v/>
      </c>
      <c r="Q81" s="1234" t="n"/>
      <c r="R81" s="1234" t="n"/>
      <c r="S81" s="1234" t="n"/>
      <c r="T81" s="1235" t="n"/>
      <c r="U81" s="39" t="inlineStr"/>
      <c r="V81" s="39" t="inlineStr"/>
      <c r="W81" s="40" t="inlineStr">
        <is>
          <t>кг</t>
        </is>
      </c>
      <c r="X81" s="1236" t="n">
        <v>0</v>
      </c>
      <c r="Y81" s="1237">
        <f>IFERROR(IF(X81="",0,CEILING((X81/$H81),1)*$H81),"")</f>
        <v/>
      </c>
      <c r="Z81" s="41">
        <f>IFERROR(IF(Y81=0,"",ROUNDUP(Y81/H81,0)*0.00651),"")</f>
        <v/>
      </c>
      <c r="AA81" s="68" t="inlineStr"/>
      <c r="AB81" s="69" t="inlineStr"/>
      <c r="AC81" s="156" t="inlineStr">
        <is>
          <t>ЕАЭС N RU Д-RU.РА01.В.58241/24, ЕАЭС N RU Д-RU.РА01.В.58575/24, ЕАЭС N RU Д-RU.РА01.В.58627/24</t>
        </is>
      </c>
      <c r="AG81" s="78" t="n"/>
      <c r="AJ81" s="84" t="inlineStr"/>
      <c r="AK81" s="84" t="n">
        <v>0</v>
      </c>
      <c r="BB81" s="157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>
      <c r="A82" s="843" t="n"/>
      <c r="B82" s="1182" t="n"/>
      <c r="C82" s="1182" t="n"/>
      <c r="D82" s="1182" t="n"/>
      <c r="E82" s="1182" t="n"/>
      <c r="F82" s="1182" t="n"/>
      <c r="G82" s="1182" t="n"/>
      <c r="H82" s="1182" t="n"/>
      <c r="I82" s="1182" t="n"/>
      <c r="J82" s="1182" t="n"/>
      <c r="K82" s="1182" t="n"/>
      <c r="L82" s="1182" t="n"/>
      <c r="M82" s="1182" t="n"/>
      <c r="N82" s="1182" t="n"/>
      <c r="O82" s="1241" t="n"/>
      <c r="P82" s="1242" t="inlineStr">
        <is>
          <t>Итого</t>
        </is>
      </c>
      <c r="Q82" s="1201" t="n"/>
      <c r="R82" s="1201" t="n"/>
      <c r="S82" s="1201" t="n"/>
      <c r="T82" s="1201" t="n"/>
      <c r="U82" s="1201" t="n"/>
      <c r="V82" s="1202" t="n"/>
      <c r="W82" s="42" t="inlineStr">
        <is>
          <t>кор</t>
        </is>
      </c>
      <c r="X82" s="1243">
        <f>IFERROR(X76/H76,"0")+IFERROR(X77/H77,"0")+IFERROR(X78/H78,"0")+IFERROR(X79/H79,"0")+IFERROR(X80/H80,"0")+IFERROR(X81/H81,"0")</f>
        <v/>
      </c>
      <c r="Y82" s="1243">
        <f>IFERROR(Y76/H76,"0")+IFERROR(Y77/H77,"0")+IFERROR(Y78/H78,"0")+IFERROR(Y79/H79,"0")+IFERROR(Y80/H80,"0")+IFERROR(Y81/H81,"0")</f>
        <v/>
      </c>
      <c r="Z82" s="1243">
        <f>IFERROR(IF(Z76="",0,Z76),"0")+IFERROR(IF(Z77="",0,Z77),"0")+IFERROR(IF(Z78="",0,Z78),"0")+IFERROR(IF(Z79="",0,Z79),"0")+IFERROR(IF(Z80="",0,Z80),"0")+IFERROR(IF(Z81="",0,Z81),"0")</f>
        <v/>
      </c>
      <c r="AA82" s="1244" t="n"/>
      <c r="AB82" s="1244" t="n"/>
      <c r="AC82" s="1244" t="n"/>
    </row>
    <row r="83">
      <c r="A83" s="1182" t="n"/>
      <c r="B83" s="1182" t="n"/>
      <c r="C83" s="1182" t="n"/>
      <c r="D83" s="1182" t="n"/>
      <c r="E83" s="1182" t="n"/>
      <c r="F83" s="1182" t="n"/>
      <c r="G83" s="1182" t="n"/>
      <c r="H83" s="1182" t="n"/>
      <c r="I83" s="1182" t="n"/>
      <c r="J83" s="1182" t="n"/>
      <c r="K83" s="1182" t="n"/>
      <c r="L83" s="1182" t="n"/>
      <c r="M83" s="1182" t="n"/>
      <c r="N83" s="1182" t="n"/>
      <c r="O83" s="1241" t="n"/>
      <c r="P83" s="1242" t="inlineStr">
        <is>
          <t>Итого</t>
        </is>
      </c>
      <c r="Q83" s="1201" t="n"/>
      <c r="R83" s="1201" t="n"/>
      <c r="S83" s="1201" t="n"/>
      <c r="T83" s="1201" t="n"/>
      <c r="U83" s="1201" t="n"/>
      <c r="V83" s="1202" t="n"/>
      <c r="W83" s="42" t="inlineStr">
        <is>
          <t>кг</t>
        </is>
      </c>
      <c r="X83" s="1243">
        <f>IFERROR(SUM(X76:X81),"0")</f>
        <v/>
      </c>
      <c r="Y83" s="1243">
        <f>IFERROR(SUM(Y76:Y81),"0")</f>
        <v/>
      </c>
      <c r="Z83" s="42" t="n"/>
      <c r="AA83" s="1244" t="n"/>
      <c r="AB83" s="1244" t="n"/>
      <c r="AC83" s="1244" t="n"/>
    </row>
    <row r="84" ht="14.25" customHeight="1">
      <c r="A84" s="831" t="inlineStr">
        <is>
          <t>Сардельки</t>
        </is>
      </c>
      <c r="B84" s="1182" t="n"/>
      <c r="C84" s="1182" t="n"/>
      <c r="D84" s="1182" t="n"/>
      <c r="E84" s="1182" t="n"/>
      <c r="F84" s="1182" t="n"/>
      <c r="G84" s="1182" t="n"/>
      <c r="H84" s="1182" t="n"/>
      <c r="I84" s="1182" t="n"/>
      <c r="J84" s="1182" t="n"/>
      <c r="K84" s="1182" t="n"/>
      <c r="L84" s="1182" t="n"/>
      <c r="M84" s="1182" t="n"/>
      <c r="N84" s="1182" t="n"/>
      <c r="O84" s="1182" t="n"/>
      <c r="P84" s="1182" t="n"/>
      <c r="Q84" s="1182" t="n"/>
      <c r="R84" s="1182" t="n"/>
      <c r="S84" s="1182" t="n"/>
      <c r="T84" s="1182" t="n"/>
      <c r="U84" s="1182" t="n"/>
      <c r="V84" s="1182" t="n"/>
      <c r="W84" s="1182" t="n"/>
      <c r="X84" s="1182" t="n"/>
      <c r="Y84" s="1182" t="n"/>
      <c r="Z84" s="1182" t="n"/>
      <c r="AA84" s="831" t="n"/>
      <c r="AB84" s="831" t="n"/>
      <c r="AC84" s="831" t="n"/>
    </row>
    <row r="85" ht="37.5" customHeight="1">
      <c r="A85" s="63" t="inlineStr">
        <is>
          <t>SU002835</t>
        </is>
      </c>
      <c r="B85" s="63" t="inlineStr">
        <is>
          <t>P003883</t>
        </is>
      </c>
      <c r="C85" s="36" t="n">
        <v>4301060366</v>
      </c>
      <c r="D85" s="832" t="n">
        <v>4680115881532</v>
      </c>
      <c r="E85" s="1193" t="n"/>
      <c r="F85" s="1232" t="n">
        <v>1.3</v>
      </c>
      <c r="G85" s="37" t="n">
        <v>6</v>
      </c>
      <c r="H85" s="1232" t="n">
        <v>7.8</v>
      </c>
      <c r="I85" s="1232" t="n">
        <v>8.234999999999999</v>
      </c>
      <c r="J85" s="37" t="n">
        <v>64</v>
      </c>
      <c r="K85" s="37" t="inlineStr">
        <is>
          <t>8</t>
        </is>
      </c>
      <c r="L85" s="37" t="inlineStr"/>
      <c r="M85" s="38" t="inlineStr">
        <is>
          <t>СК2</t>
        </is>
      </c>
      <c r="N85" s="38" t="n"/>
      <c r="O85" s="37" t="n">
        <v>30</v>
      </c>
      <c r="P85" s="1277">
        <f>HYPERLINK("https://abi.ru/products/Охлажденные/Вязанка/Филейская/Сардельки/P003883/","Сардельки «Филейские» Весовые н/о мгс ТМ «Вязанка»")</f>
        <v/>
      </c>
      <c r="Q85" s="1234" t="n"/>
      <c r="R85" s="1234" t="n"/>
      <c r="S85" s="1234" t="n"/>
      <c r="T85" s="1235" t="n"/>
      <c r="U85" s="39" t="inlineStr"/>
      <c r="V85" s="39" t="inlineStr"/>
      <c r="W85" s="40" t="inlineStr">
        <is>
          <t>кг</t>
        </is>
      </c>
      <c r="X85" s="1236" t="n">
        <v>0</v>
      </c>
      <c r="Y85" s="1237">
        <f>IFERROR(IF(X85="",0,CEILING((X85/$H85),1)*$H85),"")</f>
        <v/>
      </c>
      <c r="Z85" s="41">
        <f>IFERROR(IF(Y85=0,"",ROUNDUP(Y85/H85,0)*0.01898),"")</f>
        <v/>
      </c>
      <c r="AA85" s="68" t="inlineStr"/>
      <c r="AB85" s="69" t="inlineStr"/>
      <c r="AC85" s="158" t="inlineStr">
        <is>
          <t>ЕАЭС N RU Д-RU.РА01.В.62825/23, ЕАЭС N RU Д-RU.РА01.В.62909/23, ЕАЭС N RU Д-RU.РА01.В.63000/23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37.5" customHeight="1">
      <c r="A86" s="63" t="inlineStr">
        <is>
          <t>SU002835</t>
        </is>
      </c>
      <c r="B86" s="63" t="inlineStr">
        <is>
          <t>P003906</t>
        </is>
      </c>
      <c r="C86" s="36" t="n">
        <v>4301060371</v>
      </c>
      <c r="D86" s="832" t="n">
        <v>4680115881532</v>
      </c>
      <c r="E86" s="1193" t="n"/>
      <c r="F86" s="1232" t="n">
        <v>1.4</v>
      </c>
      <c r="G86" s="37" t="n">
        <v>6</v>
      </c>
      <c r="H86" s="1232" t="n">
        <v>8.4</v>
      </c>
      <c r="I86" s="1232" t="n">
        <v>8.919</v>
      </c>
      <c r="J86" s="37" t="n">
        <v>64</v>
      </c>
      <c r="K86" s="37" t="inlineStr">
        <is>
          <t>8</t>
        </is>
      </c>
      <c r="L86" s="37" t="inlineStr"/>
      <c r="M86" s="38" t="inlineStr">
        <is>
          <t>СК2</t>
        </is>
      </c>
      <c r="N86" s="38" t="n"/>
      <c r="O86" s="37" t="n">
        <v>30</v>
      </c>
      <c r="P86" s="1278">
        <f>HYPERLINK("https://abi.ru/products/Охлажденные/Вязанка/Филейская/Сардельки/P003906/","Сардельки «Филейские» Весовые н/о ТМ «Вязанка»")</f>
        <v/>
      </c>
      <c r="Q86" s="1234" t="n"/>
      <c r="R86" s="1234" t="n"/>
      <c r="S86" s="1234" t="n"/>
      <c r="T86" s="1235" t="n"/>
      <c r="U86" s="39" t="inlineStr"/>
      <c r="V86" s="39" t="inlineStr">
        <is>
          <t>26.02.2025</t>
        </is>
      </c>
      <c r="W86" s="40" t="inlineStr">
        <is>
          <t>кг</t>
        </is>
      </c>
      <c r="X86" s="1236" t="n">
        <v>0</v>
      </c>
      <c r="Y86" s="1237">
        <f>IFERROR(IF(X86="",0,CEILING((X86/$H86),1)*$H86),"")</f>
        <v/>
      </c>
      <c r="Z86" s="41">
        <f>IFERROR(IF(Y86=0,"",ROUNDUP(Y86/H86,0)*0.01898),"")</f>
        <v/>
      </c>
      <c r="AA86" s="68" t="inlineStr"/>
      <c r="AB86" s="69" t="inlineStr"/>
      <c r="AC86" s="160" t="inlineStr">
        <is>
          <t>ЕАЭС N RU Д-RU.РА01.В.62825/23, ЕАЭС N RU Д-RU.РА01.В.62909/23, ЕАЭС N RU Д-RU.РА01.В.63000/23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 ht="27" customHeight="1">
      <c r="A87" s="63" t="inlineStr">
        <is>
          <t>SU002834</t>
        </is>
      </c>
      <c r="B87" s="63" t="inlineStr">
        <is>
          <t>P003238</t>
        </is>
      </c>
      <c r="C87" s="36" t="n">
        <v>4301060351</v>
      </c>
      <c r="D87" s="832" t="n">
        <v>4680115881464</v>
      </c>
      <c r="E87" s="1193" t="n"/>
      <c r="F87" s="1232" t="n">
        <v>0.4</v>
      </c>
      <c r="G87" s="37" t="n">
        <v>6</v>
      </c>
      <c r="H87" s="1232" t="n">
        <v>2.4</v>
      </c>
      <c r="I87" s="1232" t="n">
        <v>2.61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30</v>
      </c>
      <c r="P87" s="1279">
        <f>HYPERLINK("https://abi.ru/products/Охлажденные/Вязанка/Филейская/Сардельки/P003238/","Сардельки «Филейские» Фикс.вес 0,4 NDX ТМ «Вязанка»")</f>
        <v/>
      </c>
      <c r="Q87" s="1234" t="n"/>
      <c r="R87" s="1234" t="n"/>
      <c r="S87" s="1234" t="n"/>
      <c r="T87" s="1235" t="n"/>
      <c r="U87" s="39" t="inlineStr"/>
      <c r="V87" s="39" t="inlineStr"/>
      <c r="W87" s="40" t="inlineStr">
        <is>
          <t>кг</t>
        </is>
      </c>
      <c r="X87" s="1236" t="n">
        <v>0</v>
      </c>
      <c r="Y87" s="1237">
        <f>IFERROR(IF(X87="",0,CEILING((X87/$H87),1)*$H87),"")</f>
        <v/>
      </c>
      <c r="Z87" s="41">
        <f>IFERROR(IF(Y87=0,"",ROUNDUP(Y87/H87,0)*0.00902),"")</f>
        <v/>
      </c>
      <c r="AA87" s="68" t="inlineStr"/>
      <c r="AB87" s="69" t="inlineStr"/>
      <c r="AC87" s="162" t="inlineStr">
        <is>
          <t>ЕАЭС N RU Д-RU.РА01.В.62909/23, ЕАЭС N RU Д-RU.РА01.В.63000/23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>
      <c r="A88" s="843" t="n"/>
      <c r="B88" s="1182" t="n"/>
      <c r="C88" s="1182" t="n"/>
      <c r="D88" s="1182" t="n"/>
      <c r="E88" s="1182" t="n"/>
      <c r="F88" s="1182" t="n"/>
      <c r="G88" s="1182" t="n"/>
      <c r="H88" s="1182" t="n"/>
      <c r="I88" s="1182" t="n"/>
      <c r="J88" s="1182" t="n"/>
      <c r="K88" s="1182" t="n"/>
      <c r="L88" s="1182" t="n"/>
      <c r="M88" s="1182" t="n"/>
      <c r="N88" s="1182" t="n"/>
      <c r="O88" s="1241" t="n"/>
      <c r="P88" s="1242" t="inlineStr">
        <is>
          <t>Итого</t>
        </is>
      </c>
      <c r="Q88" s="1201" t="n"/>
      <c r="R88" s="1201" t="n"/>
      <c r="S88" s="1201" t="n"/>
      <c r="T88" s="1201" t="n"/>
      <c r="U88" s="1201" t="n"/>
      <c r="V88" s="1202" t="n"/>
      <c r="W88" s="42" t="inlineStr">
        <is>
          <t>кор</t>
        </is>
      </c>
      <c r="X88" s="1243">
        <f>IFERROR(X85/H85,"0")+IFERROR(X86/H86,"0")+IFERROR(X87/H87,"0")</f>
        <v/>
      </c>
      <c r="Y88" s="1243">
        <f>IFERROR(Y85/H85,"0")+IFERROR(Y86/H86,"0")+IFERROR(Y87/H87,"0")</f>
        <v/>
      </c>
      <c r="Z88" s="1243">
        <f>IFERROR(IF(Z85="",0,Z85),"0")+IFERROR(IF(Z86="",0,Z86),"0")+IFERROR(IF(Z87="",0,Z87),"0")</f>
        <v/>
      </c>
      <c r="AA88" s="1244" t="n"/>
      <c r="AB88" s="1244" t="n"/>
      <c r="AC88" s="1244" t="n"/>
    </row>
    <row r="89">
      <c r="A89" s="1182" t="n"/>
      <c r="B89" s="1182" t="n"/>
      <c r="C89" s="1182" t="n"/>
      <c r="D89" s="1182" t="n"/>
      <c r="E89" s="1182" t="n"/>
      <c r="F89" s="1182" t="n"/>
      <c r="G89" s="1182" t="n"/>
      <c r="H89" s="1182" t="n"/>
      <c r="I89" s="1182" t="n"/>
      <c r="J89" s="1182" t="n"/>
      <c r="K89" s="1182" t="n"/>
      <c r="L89" s="1182" t="n"/>
      <c r="M89" s="1182" t="n"/>
      <c r="N89" s="1182" t="n"/>
      <c r="O89" s="1241" t="n"/>
      <c r="P89" s="1242" t="inlineStr">
        <is>
          <t>Итого</t>
        </is>
      </c>
      <c r="Q89" s="1201" t="n"/>
      <c r="R89" s="1201" t="n"/>
      <c r="S89" s="1201" t="n"/>
      <c r="T89" s="1201" t="n"/>
      <c r="U89" s="1201" t="n"/>
      <c r="V89" s="1202" t="n"/>
      <c r="W89" s="42" t="inlineStr">
        <is>
          <t>кг</t>
        </is>
      </c>
      <c r="X89" s="1243">
        <f>IFERROR(SUM(X85:X87),"0")</f>
        <v/>
      </c>
      <c r="Y89" s="1243">
        <f>IFERROR(SUM(Y85:Y87),"0")</f>
        <v/>
      </c>
      <c r="Z89" s="42" t="n"/>
      <c r="AA89" s="1244" t="n"/>
      <c r="AB89" s="1244" t="n"/>
      <c r="AC89" s="1244" t="n"/>
    </row>
    <row r="90" ht="16.5" customHeight="1">
      <c r="A90" s="830" t="inlineStr">
        <is>
          <t>Молокуша</t>
        </is>
      </c>
      <c r="B90" s="1182" t="n"/>
      <c r="C90" s="1182" t="n"/>
      <c r="D90" s="1182" t="n"/>
      <c r="E90" s="1182" t="n"/>
      <c r="F90" s="1182" t="n"/>
      <c r="G90" s="1182" t="n"/>
      <c r="H90" s="1182" t="n"/>
      <c r="I90" s="1182" t="n"/>
      <c r="J90" s="1182" t="n"/>
      <c r="K90" s="1182" t="n"/>
      <c r="L90" s="1182" t="n"/>
      <c r="M90" s="1182" t="n"/>
      <c r="N90" s="1182" t="n"/>
      <c r="O90" s="1182" t="n"/>
      <c r="P90" s="1182" t="n"/>
      <c r="Q90" s="1182" t="n"/>
      <c r="R90" s="1182" t="n"/>
      <c r="S90" s="1182" t="n"/>
      <c r="T90" s="1182" t="n"/>
      <c r="U90" s="1182" t="n"/>
      <c r="V90" s="1182" t="n"/>
      <c r="W90" s="1182" t="n"/>
      <c r="X90" s="1182" t="n"/>
      <c r="Y90" s="1182" t="n"/>
      <c r="Z90" s="1182" t="n"/>
      <c r="AA90" s="830" t="n"/>
      <c r="AB90" s="830" t="n"/>
      <c r="AC90" s="830" t="n"/>
    </row>
    <row r="91" ht="14.25" customHeight="1">
      <c r="A91" s="831" t="inlineStr">
        <is>
          <t>Вареные колбасы</t>
        </is>
      </c>
      <c r="B91" s="1182" t="n"/>
      <c r="C91" s="1182" t="n"/>
      <c r="D91" s="1182" t="n"/>
      <c r="E91" s="1182" t="n"/>
      <c r="F91" s="1182" t="n"/>
      <c r="G91" s="1182" t="n"/>
      <c r="H91" s="1182" t="n"/>
      <c r="I91" s="1182" t="n"/>
      <c r="J91" s="1182" t="n"/>
      <c r="K91" s="1182" t="n"/>
      <c r="L91" s="1182" t="n"/>
      <c r="M91" s="1182" t="n"/>
      <c r="N91" s="1182" t="n"/>
      <c r="O91" s="1182" t="n"/>
      <c r="P91" s="1182" t="n"/>
      <c r="Q91" s="1182" t="n"/>
      <c r="R91" s="1182" t="n"/>
      <c r="S91" s="1182" t="n"/>
      <c r="T91" s="1182" t="n"/>
      <c r="U91" s="1182" t="n"/>
      <c r="V91" s="1182" t="n"/>
      <c r="W91" s="1182" t="n"/>
      <c r="X91" s="1182" t="n"/>
      <c r="Y91" s="1182" t="n"/>
      <c r="Z91" s="1182" t="n"/>
      <c r="AA91" s="831" t="n"/>
      <c r="AB91" s="831" t="n"/>
      <c r="AC91" s="831" t="n"/>
    </row>
    <row r="92" ht="27" customHeight="1">
      <c r="A92" s="63" t="inlineStr">
        <is>
          <t>SU002830</t>
        </is>
      </c>
      <c r="B92" s="63" t="inlineStr">
        <is>
          <t>P003239</t>
        </is>
      </c>
      <c r="C92" s="36" t="n">
        <v>4301011468</v>
      </c>
      <c r="D92" s="832" t="n">
        <v>4680115881327</v>
      </c>
      <c r="E92" s="1193" t="n"/>
      <c r="F92" s="1232" t="n">
        <v>1.35</v>
      </c>
      <c r="G92" s="37" t="n">
        <v>8</v>
      </c>
      <c r="H92" s="1232" t="n">
        <v>10.8</v>
      </c>
      <c r="I92" s="1232" t="n">
        <v>11.235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280">
        <f>HYPERLINK("https://abi.ru/products/Охлажденные/Вязанка/Молокуша/Вареные колбасы/P003239/","Вареные колбасы Молокуша Вязанка Вес п/а Вязанка")</f>
        <v/>
      </c>
      <c r="Q92" s="1234" t="n"/>
      <c r="R92" s="1234" t="n"/>
      <c r="S92" s="1234" t="n"/>
      <c r="T92" s="1235" t="n"/>
      <c r="U92" s="39" t="inlineStr"/>
      <c r="V92" s="39" t="inlineStr"/>
      <c r="W92" s="40" t="inlineStr">
        <is>
          <t>кг</t>
        </is>
      </c>
      <c r="X92" s="1236" t="n">
        <v>200</v>
      </c>
      <c r="Y92" s="1237">
        <f>IFERROR(IF(X92="",0,CEILING((X92/$H92),1)*$H92),"")</f>
        <v/>
      </c>
      <c r="Z92" s="41">
        <f>IFERROR(IF(Y92=0,"",ROUNDUP(Y92/H92,0)*0.01898),"")</f>
        <v/>
      </c>
      <c r="AA92" s="68" t="inlineStr"/>
      <c r="AB92" s="69" t="inlineStr"/>
      <c r="AC92" s="164" t="inlineStr">
        <is>
          <t>ЕАЭС N RU Д-RU.РА04.В.70946/22</t>
        </is>
      </c>
      <c r="AG92" s="78" t="n"/>
      <c r="AJ92" s="84" t="inlineStr"/>
      <c r="AK92" s="84" t="n">
        <v>0</v>
      </c>
      <c r="BB92" s="165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16.5" customHeight="1">
      <c r="A93" s="63" t="inlineStr">
        <is>
          <t>SU002832</t>
        </is>
      </c>
      <c r="B93" s="63" t="inlineStr">
        <is>
          <t>P003245</t>
        </is>
      </c>
      <c r="C93" s="36" t="n">
        <v>4301011476</v>
      </c>
      <c r="D93" s="832" t="n">
        <v>4680115881518</v>
      </c>
      <c r="E93" s="1193" t="n"/>
      <c r="F93" s="1232" t="n">
        <v>0.4</v>
      </c>
      <c r="G93" s="37" t="n">
        <v>10</v>
      </c>
      <c r="H93" s="1232" t="n">
        <v>4</v>
      </c>
      <c r="I93" s="1232" t="n">
        <v>4.21</v>
      </c>
      <c r="J93" s="37" t="n">
        <v>132</v>
      </c>
      <c r="K93" s="37" t="inlineStr">
        <is>
          <t>12</t>
        </is>
      </c>
      <c r="L93" s="37" t="inlineStr"/>
      <c r="M93" s="38" t="inlineStr">
        <is>
          <t>СК3</t>
        </is>
      </c>
      <c r="N93" s="38" t="n"/>
      <c r="O93" s="37" t="n">
        <v>50</v>
      </c>
      <c r="P93" s="1281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3" s="1234" t="n"/>
      <c r="R93" s="1234" t="n"/>
      <c r="S93" s="1234" t="n"/>
      <c r="T93" s="1235" t="n"/>
      <c r="U93" s="39" t="inlineStr"/>
      <c r="V93" s="39" t="inlineStr"/>
      <c r="W93" s="40" t="inlineStr">
        <is>
          <t>кг</t>
        </is>
      </c>
      <c r="X93" s="1236" t="n">
        <v>0</v>
      </c>
      <c r="Y93" s="1237">
        <f>IFERROR(IF(X93="",0,CEILING((X93/$H93),1)*$H93),"")</f>
        <v/>
      </c>
      <c r="Z93" s="41">
        <f>IFERROR(IF(Y93=0,"",ROUNDUP(Y93/H93,0)*0.00902),"")</f>
        <v/>
      </c>
      <c r="AA93" s="68" t="inlineStr"/>
      <c r="AB93" s="69" t="inlineStr"/>
      <c r="AC93" s="166" t="inlineStr">
        <is>
          <t>ЕАЭС N RU Д-RU.РА04.В.70946/22</t>
        </is>
      </c>
      <c r="AG93" s="78" t="n"/>
      <c r="AJ93" s="84" t="inlineStr"/>
      <c r="AK93" s="84" t="n">
        <v>0</v>
      </c>
      <c r="BB93" s="167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SU002816</t>
        </is>
      </c>
      <c r="B94" s="63" t="inlineStr">
        <is>
          <t>P003228</t>
        </is>
      </c>
      <c r="C94" s="36" t="n">
        <v>4301011443</v>
      </c>
      <c r="D94" s="832" t="n">
        <v>4680115881303</v>
      </c>
      <c r="E94" s="1193" t="n"/>
      <c r="F94" s="1232" t="n">
        <v>0.45</v>
      </c>
      <c r="G94" s="37" t="n">
        <v>10</v>
      </c>
      <c r="H94" s="1232" t="n">
        <v>4.5</v>
      </c>
      <c r="I94" s="1232" t="n">
        <v>4.71</v>
      </c>
      <c r="J94" s="37" t="n">
        <v>132</v>
      </c>
      <c r="K94" s="37" t="inlineStr">
        <is>
          <t>12</t>
        </is>
      </c>
      <c r="L94" s="37" t="inlineStr">
        <is>
          <t>Палетта, мин. 1</t>
        </is>
      </c>
      <c r="M94" s="38" t="inlineStr">
        <is>
          <t>СК4</t>
        </is>
      </c>
      <c r="N94" s="38" t="n"/>
      <c r="O94" s="37" t="n">
        <v>50</v>
      </c>
      <c r="P94" s="128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4" s="1234" t="n"/>
      <c r="R94" s="1234" t="n"/>
      <c r="S94" s="1234" t="n"/>
      <c r="T94" s="1235" t="n"/>
      <c r="U94" s="39" t="inlineStr"/>
      <c r="V94" s="39" t="inlineStr"/>
      <c r="W94" s="40" t="inlineStr">
        <is>
          <t>кг</t>
        </is>
      </c>
      <c r="X94" s="1236" t="n">
        <v>360</v>
      </c>
      <c r="Y94" s="1237">
        <f>IFERROR(IF(X94="",0,CEILING((X94/$H94),1)*$H94),"")</f>
        <v/>
      </c>
      <c r="Z94" s="41">
        <f>IFERROR(IF(Y94=0,"",ROUNDUP(Y94/H94,0)*0.00902),"")</f>
        <v/>
      </c>
      <c r="AA94" s="68" t="inlineStr"/>
      <c r="AB94" s="69" t="inlineStr"/>
      <c r="AC94" s="168" t="inlineStr">
        <is>
          <t>ЕАЭС N RU Д-RU.РА04.В.69716/22, ЕАЭС N RU Д-RU.РА04.В.70946/22</t>
        </is>
      </c>
      <c r="AG94" s="78" t="n"/>
      <c r="AJ94" s="84" t="inlineStr">
        <is>
          <t>Палетта</t>
        </is>
      </c>
      <c r="AK94" s="84" t="n">
        <v>594</v>
      </c>
      <c r="BB94" s="169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>
      <c r="A95" s="843" t="n"/>
      <c r="B95" s="1182" t="n"/>
      <c r="C95" s="1182" t="n"/>
      <c r="D95" s="1182" t="n"/>
      <c r="E95" s="1182" t="n"/>
      <c r="F95" s="1182" t="n"/>
      <c r="G95" s="1182" t="n"/>
      <c r="H95" s="1182" t="n"/>
      <c r="I95" s="1182" t="n"/>
      <c r="J95" s="1182" t="n"/>
      <c r="K95" s="1182" t="n"/>
      <c r="L95" s="1182" t="n"/>
      <c r="M95" s="1182" t="n"/>
      <c r="N95" s="1182" t="n"/>
      <c r="O95" s="1241" t="n"/>
      <c r="P95" s="1242" t="inlineStr">
        <is>
          <t>Итого</t>
        </is>
      </c>
      <c r="Q95" s="1201" t="n"/>
      <c r="R95" s="1201" t="n"/>
      <c r="S95" s="1201" t="n"/>
      <c r="T95" s="1201" t="n"/>
      <c r="U95" s="1201" t="n"/>
      <c r="V95" s="1202" t="n"/>
      <c r="W95" s="42" t="inlineStr">
        <is>
          <t>кор</t>
        </is>
      </c>
      <c r="X95" s="1243">
        <f>IFERROR(X92/H92,"0")+IFERROR(X93/H93,"0")+IFERROR(X94/H94,"0")</f>
        <v/>
      </c>
      <c r="Y95" s="1243">
        <f>IFERROR(Y92/H92,"0")+IFERROR(Y93/H93,"0")+IFERROR(Y94/H94,"0")</f>
        <v/>
      </c>
      <c r="Z95" s="1243">
        <f>IFERROR(IF(Z92="",0,Z92),"0")+IFERROR(IF(Z93="",0,Z93),"0")+IFERROR(IF(Z94="",0,Z94),"0")</f>
        <v/>
      </c>
      <c r="AA95" s="1244" t="n"/>
      <c r="AB95" s="1244" t="n"/>
      <c r="AC95" s="1244" t="n"/>
    </row>
    <row r="96">
      <c r="A96" s="1182" t="n"/>
      <c r="B96" s="1182" t="n"/>
      <c r="C96" s="1182" t="n"/>
      <c r="D96" s="1182" t="n"/>
      <c r="E96" s="1182" t="n"/>
      <c r="F96" s="1182" t="n"/>
      <c r="G96" s="1182" t="n"/>
      <c r="H96" s="1182" t="n"/>
      <c r="I96" s="1182" t="n"/>
      <c r="J96" s="1182" t="n"/>
      <c r="K96" s="1182" t="n"/>
      <c r="L96" s="1182" t="n"/>
      <c r="M96" s="1182" t="n"/>
      <c r="N96" s="1182" t="n"/>
      <c r="O96" s="1241" t="n"/>
      <c r="P96" s="1242" t="inlineStr">
        <is>
          <t>Итого</t>
        </is>
      </c>
      <c r="Q96" s="1201" t="n"/>
      <c r="R96" s="1201" t="n"/>
      <c r="S96" s="1201" t="n"/>
      <c r="T96" s="1201" t="n"/>
      <c r="U96" s="1201" t="n"/>
      <c r="V96" s="1202" t="n"/>
      <c r="W96" s="42" t="inlineStr">
        <is>
          <t>кг</t>
        </is>
      </c>
      <c r="X96" s="1243">
        <f>IFERROR(SUM(X92:X94),"0")</f>
        <v/>
      </c>
      <c r="Y96" s="1243">
        <f>IFERROR(SUM(Y92:Y94),"0")</f>
        <v/>
      </c>
      <c r="Z96" s="42" t="n"/>
      <c r="AA96" s="1244" t="n"/>
      <c r="AB96" s="1244" t="n"/>
      <c r="AC96" s="1244" t="n"/>
    </row>
    <row r="97" ht="14.25" customHeight="1">
      <c r="A97" s="831" t="inlineStr">
        <is>
          <t>Сосиски</t>
        </is>
      </c>
      <c r="B97" s="1182" t="n"/>
      <c r="C97" s="1182" t="n"/>
      <c r="D97" s="1182" t="n"/>
      <c r="E97" s="1182" t="n"/>
      <c r="F97" s="1182" t="n"/>
      <c r="G97" s="1182" t="n"/>
      <c r="H97" s="1182" t="n"/>
      <c r="I97" s="1182" t="n"/>
      <c r="J97" s="1182" t="n"/>
      <c r="K97" s="1182" t="n"/>
      <c r="L97" s="1182" t="n"/>
      <c r="M97" s="1182" t="n"/>
      <c r="N97" s="1182" t="n"/>
      <c r="O97" s="1182" t="n"/>
      <c r="P97" s="1182" t="n"/>
      <c r="Q97" s="1182" t="n"/>
      <c r="R97" s="1182" t="n"/>
      <c r="S97" s="1182" t="n"/>
      <c r="T97" s="1182" t="n"/>
      <c r="U97" s="1182" t="n"/>
      <c r="V97" s="1182" t="n"/>
      <c r="W97" s="1182" t="n"/>
      <c r="X97" s="1182" t="n"/>
      <c r="Y97" s="1182" t="n"/>
      <c r="Z97" s="1182" t="n"/>
      <c r="AA97" s="831" t="n"/>
      <c r="AB97" s="831" t="n"/>
      <c r="AC97" s="831" t="n"/>
    </row>
    <row r="98" ht="27" customHeight="1">
      <c r="A98" s="63" t="inlineStr">
        <is>
          <t>SU001523</t>
        </is>
      </c>
      <c r="B98" s="63" t="inlineStr">
        <is>
          <t>P003691</t>
        </is>
      </c>
      <c r="C98" s="36" t="n">
        <v>4301051546</v>
      </c>
      <c r="D98" s="832" t="n">
        <v>4607091386967</v>
      </c>
      <c r="E98" s="1193" t="n"/>
      <c r="F98" s="1232" t="n">
        <v>1.4</v>
      </c>
      <c r="G98" s="37" t="n">
        <v>6</v>
      </c>
      <c r="H98" s="1232" t="n">
        <v>8.4</v>
      </c>
      <c r="I98" s="1232" t="n">
        <v>8.919</v>
      </c>
      <c r="J98" s="37" t="n">
        <v>64</v>
      </c>
      <c r="K98" s="37" t="inlineStr">
        <is>
          <t>8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283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8" s="1234" t="n"/>
      <c r="R98" s="1234" t="n"/>
      <c r="S98" s="1234" t="n"/>
      <c r="T98" s="1235" t="n"/>
      <c r="U98" s="39" t="inlineStr"/>
      <c r="V98" s="39" t="inlineStr">
        <is>
          <t>26.02.2025</t>
        </is>
      </c>
      <c r="W98" s="40" t="inlineStr">
        <is>
          <t>кг</t>
        </is>
      </c>
      <c r="X98" s="1236" t="n">
        <v>150</v>
      </c>
      <c r="Y98" s="1237">
        <f>IFERROR(IF(X98="",0,CEILING((X98/$H98),1)*$H98),"")</f>
        <v/>
      </c>
      <c r="Z98" s="41">
        <f>IFERROR(IF(Y98=0,"",ROUNDUP(Y98/H98,0)*0.01898),"")</f>
        <v/>
      </c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SU001523</t>
        </is>
      </c>
      <c r="B99" s="63" t="inlineStr">
        <is>
          <t>P003328</t>
        </is>
      </c>
      <c r="C99" s="36" t="n">
        <v>4301051437</v>
      </c>
      <c r="D99" s="832" t="n">
        <v>4607091386967</v>
      </c>
      <c r="E99" s="1193" t="n"/>
      <c r="F99" s="1232" t="n">
        <v>1.35</v>
      </c>
      <c r="G99" s="37" t="n">
        <v>6</v>
      </c>
      <c r="H99" s="1232" t="n">
        <v>8.1</v>
      </c>
      <c r="I99" s="1232" t="n">
        <v>8.619</v>
      </c>
      <c r="J99" s="37" t="n">
        <v>64</v>
      </c>
      <c r="K99" s="37" t="inlineStr">
        <is>
          <t>8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284">
        <f>HYPERLINK("https://abi.ru/products/Охлажденные/Вязанка/Молокуша/Сосиски/P003328/","Сосиски «Вязанка Молочные» Весовые П/а мгс ТМ «Вязанка»")</f>
        <v/>
      </c>
      <c r="Q99" s="1234" t="n"/>
      <c r="R99" s="1234" t="n"/>
      <c r="S99" s="1234" t="n"/>
      <c r="T99" s="1235" t="n"/>
      <c r="U99" s="39" t="inlineStr"/>
      <c r="V99" s="39" t="inlineStr"/>
      <c r="W99" s="40" t="inlineStr">
        <is>
          <t>кг</t>
        </is>
      </c>
      <c r="X99" s="1236" t="n">
        <v>0</v>
      </c>
      <c r="Y99" s="1237">
        <f>IFERROR(IF(X99="",0,CEILING((X99/$H99),1)*$H99),"")</f>
        <v/>
      </c>
      <c r="Z99" s="41">
        <f>IFERROR(IF(Y99=0,"",ROUNDUP(Y99/H99,0)*0.01898),"")</f>
        <v/>
      </c>
      <c r="AA99" s="68" t="inlineStr"/>
      <c r="AB99" s="69" t="inlineStr"/>
      <c r="AC99" s="172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SU001718</t>
        </is>
      </c>
      <c r="B100" s="63" t="inlineStr">
        <is>
          <t>P003327</t>
        </is>
      </c>
      <c r="C100" s="36" t="n">
        <v>4301051436</v>
      </c>
      <c r="D100" s="832" t="n">
        <v>4607091385731</v>
      </c>
      <c r="E100" s="1193" t="n"/>
      <c r="F100" s="1232" t="n">
        <v>0.45</v>
      </c>
      <c r="G100" s="37" t="n">
        <v>6</v>
      </c>
      <c r="H100" s="1232" t="n">
        <v>2.7</v>
      </c>
      <c r="I100" s="1232" t="n">
        <v>2.952</v>
      </c>
      <c r="J100" s="37" t="n">
        <v>182</v>
      </c>
      <c r="K100" s="37" t="inlineStr">
        <is>
          <t>14</t>
        </is>
      </c>
      <c r="L100" s="37" t="inlineStr">
        <is>
          <t>Палетта, мин. 1</t>
        </is>
      </c>
      <c r="M100" s="38" t="inlineStr">
        <is>
          <t>СК3</t>
        </is>
      </c>
      <c r="N100" s="38" t="n"/>
      <c r="O100" s="37" t="n">
        <v>45</v>
      </c>
      <c r="P100" s="1285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00" s="1234" t="n"/>
      <c r="R100" s="1234" t="n"/>
      <c r="S100" s="1234" t="n"/>
      <c r="T100" s="1235" t="n"/>
      <c r="U100" s="39" t="inlineStr"/>
      <c r="V100" s="39" t="inlineStr"/>
      <c r="W100" s="40" t="inlineStr">
        <is>
          <t>кг</t>
        </is>
      </c>
      <c r="X100" s="1236" t="n">
        <v>270</v>
      </c>
      <c r="Y100" s="1237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74" t="inlineStr">
        <is>
          <t>ЕАЭС N RU Д-RU.РА01.В.20899/23, ЕАЭС N RU Д-RU.РА03.В.39392/23</t>
        </is>
      </c>
      <c r="AG100" s="78" t="n"/>
      <c r="AJ100" s="84" t="inlineStr">
        <is>
          <t>Палетта</t>
        </is>
      </c>
      <c r="AK100" s="84" t="n">
        <v>491.4</v>
      </c>
      <c r="BB100" s="175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16.5" customHeight="1">
      <c r="A101" s="63" t="inlineStr">
        <is>
          <t>SU002769</t>
        </is>
      </c>
      <c r="B101" s="63" t="inlineStr">
        <is>
          <t>P003324</t>
        </is>
      </c>
      <c r="C101" s="36" t="n">
        <v>4301051438</v>
      </c>
      <c r="D101" s="832" t="n">
        <v>4680115880894</v>
      </c>
      <c r="E101" s="1193" t="n"/>
      <c r="F101" s="1232" t="n">
        <v>0.33</v>
      </c>
      <c r="G101" s="37" t="n">
        <v>6</v>
      </c>
      <c r="H101" s="1232" t="n">
        <v>1.98</v>
      </c>
      <c r="I101" s="1232" t="n">
        <v>2.238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28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1" s="1234" t="n"/>
      <c r="R101" s="1234" t="n"/>
      <c r="S101" s="1234" t="n"/>
      <c r="T101" s="1235" t="n"/>
      <c r="U101" s="39" t="inlineStr"/>
      <c r="V101" s="39" t="inlineStr"/>
      <c r="W101" s="40" t="inlineStr">
        <is>
          <t>кг</t>
        </is>
      </c>
      <c r="X101" s="1236" t="n">
        <v>0</v>
      </c>
      <c r="Y101" s="1237">
        <f>IFERROR(IF(X101="",0,CEILING((X101/$H101),1)*$H101),"")</f>
        <v/>
      </c>
      <c r="Z101" s="41">
        <f>IFERROR(IF(Y101=0,"",ROUNDUP(Y101/H101,0)*0.00651),"")</f>
        <v/>
      </c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 ht="27" customHeight="1">
      <c r="A102" s="63" t="inlineStr">
        <is>
          <t>SU002658</t>
        </is>
      </c>
      <c r="B102" s="63" t="inlineStr">
        <is>
          <t>P003998</t>
        </is>
      </c>
      <c r="C102" s="36" t="n">
        <v>4301051687</v>
      </c>
      <c r="D102" s="832" t="n">
        <v>4680115880214</v>
      </c>
      <c r="E102" s="1193" t="n"/>
      <c r="F102" s="1232" t="n">
        <v>0.45</v>
      </c>
      <c r="G102" s="37" t="n">
        <v>4</v>
      </c>
      <c r="H102" s="1232" t="n">
        <v>1.8</v>
      </c>
      <c r="I102" s="1232" t="n">
        <v>2.032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287" t="inlineStr">
        <is>
          <t>Сосиски «Молокуши миникушай» Фикс.вес 0,45 амицел ТМ «Вязанка»</t>
        </is>
      </c>
      <c r="Q102" s="1234" t="n"/>
      <c r="R102" s="1234" t="n"/>
      <c r="S102" s="1234" t="n"/>
      <c r="T102" s="1235" t="n"/>
      <c r="U102" s="39" t="inlineStr"/>
      <c r="V102" s="39" t="inlineStr"/>
      <c r="W102" s="40" t="inlineStr">
        <is>
          <t>кг</t>
        </is>
      </c>
      <c r="X102" s="1236" t="n">
        <v>0</v>
      </c>
      <c r="Y102" s="1237">
        <f>IFERROR(IF(X102="",0,CEILING((X102/$H102),1)*$H102),"")</f>
        <v/>
      </c>
      <c r="Z102" s="41">
        <f>IFERROR(IF(Y102=0,"",ROUNDUP(Y102/H102,0)*0.00651),"")</f>
        <v/>
      </c>
      <c r="AA102" s="68" t="inlineStr"/>
      <c r="AB102" s="69" t="inlineStr"/>
      <c r="AC102" s="178" t="inlineStr">
        <is>
          <t>ЕАЭС N RU Д-RU.РА06.В.12617/22</t>
        </is>
      </c>
      <c r="AG102" s="78" t="n"/>
      <c r="AJ102" s="84" t="inlineStr"/>
      <c r="AK102" s="84" t="n">
        <v>0</v>
      </c>
      <c r="BB102" s="179" t="inlineStr">
        <is>
          <t>КИ</t>
        </is>
      </c>
      <c r="BM102" s="78">
        <f>IFERROR(X102*I102/H102,"0")</f>
        <v/>
      </c>
      <c r="BN102" s="78">
        <f>IFERROR(Y102*I102/H102,"0")</f>
        <v/>
      </c>
      <c r="BO102" s="78">
        <f>IFERROR(1/J102*(X102/H102),"0")</f>
        <v/>
      </c>
      <c r="BP102" s="78">
        <f>IFERROR(1/J102*(Y102/H102),"0")</f>
        <v/>
      </c>
    </row>
    <row r="103" ht="27" customHeight="1">
      <c r="A103" s="63" t="inlineStr">
        <is>
          <t>SU002658</t>
        </is>
      </c>
      <c r="B103" s="63" t="inlineStr">
        <is>
          <t>P003326</t>
        </is>
      </c>
      <c r="C103" s="36" t="n">
        <v>4301051439</v>
      </c>
      <c r="D103" s="832" t="n">
        <v>4680115880214</v>
      </c>
      <c r="E103" s="1193" t="n"/>
      <c r="F103" s="1232" t="n">
        <v>0.45</v>
      </c>
      <c r="G103" s="37" t="n">
        <v>6</v>
      </c>
      <c r="H103" s="1232" t="n">
        <v>2.7</v>
      </c>
      <c r="I103" s="1232" t="n">
        <v>2.988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45</v>
      </c>
      <c r="P103" s="128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03" s="1234" t="n"/>
      <c r="R103" s="1234" t="n"/>
      <c r="S103" s="1234" t="n"/>
      <c r="T103" s="1235" t="n"/>
      <c r="U103" s="39" t="inlineStr"/>
      <c r="V103" s="39" t="inlineStr"/>
      <c r="W103" s="40" t="inlineStr">
        <is>
          <t>кг</t>
        </is>
      </c>
      <c r="X103" s="1236" t="n">
        <v>0</v>
      </c>
      <c r="Y103" s="1237">
        <f>IFERROR(IF(X103="",0,CEILING((X103/$H103),1)*$H103),"")</f>
        <v/>
      </c>
      <c r="Z103" s="41">
        <f>IFERROR(IF(Y103=0,"",ROUNDUP(Y103/H103,0)*0.00902),"")</f>
        <v/>
      </c>
      <c r="AA103" s="68" t="inlineStr"/>
      <c r="AB103" s="69" t="inlineStr"/>
      <c r="AC103" s="180" t="inlineStr">
        <is>
          <t>ЕАЭС N RU Д-RU.РА06.В.12617/22</t>
        </is>
      </c>
      <c r="AG103" s="78" t="n"/>
      <c r="AJ103" s="84" t="inlineStr"/>
      <c r="AK103" s="84" t="n">
        <v>0</v>
      </c>
      <c r="BB103" s="181" t="inlineStr">
        <is>
          <t>КИ</t>
        </is>
      </c>
      <c r="BM103" s="78">
        <f>IFERROR(X103*I103/H103,"0")</f>
        <v/>
      </c>
      <c r="BN103" s="78">
        <f>IFERROR(Y103*I103/H103,"0")</f>
        <v/>
      </c>
      <c r="BO103" s="78">
        <f>IFERROR(1/J103*(X103/H103),"0")</f>
        <v/>
      </c>
      <c r="BP103" s="78">
        <f>IFERROR(1/J103*(Y103/H103),"0")</f>
        <v/>
      </c>
    </row>
    <row r="104">
      <c r="A104" s="843" t="n"/>
      <c r="B104" s="1182" t="n"/>
      <c r="C104" s="1182" t="n"/>
      <c r="D104" s="1182" t="n"/>
      <c r="E104" s="1182" t="n"/>
      <c r="F104" s="1182" t="n"/>
      <c r="G104" s="1182" t="n"/>
      <c r="H104" s="1182" t="n"/>
      <c r="I104" s="1182" t="n"/>
      <c r="J104" s="1182" t="n"/>
      <c r="K104" s="1182" t="n"/>
      <c r="L104" s="1182" t="n"/>
      <c r="M104" s="1182" t="n"/>
      <c r="N104" s="1182" t="n"/>
      <c r="O104" s="1241" t="n"/>
      <c r="P104" s="1242" t="inlineStr">
        <is>
          <t>Итого</t>
        </is>
      </c>
      <c r="Q104" s="1201" t="n"/>
      <c r="R104" s="1201" t="n"/>
      <c r="S104" s="1201" t="n"/>
      <c r="T104" s="1201" t="n"/>
      <c r="U104" s="1201" t="n"/>
      <c r="V104" s="1202" t="n"/>
      <c r="W104" s="42" t="inlineStr">
        <is>
          <t>кор</t>
        </is>
      </c>
      <c r="X104" s="1243">
        <f>IFERROR(X98/H98,"0")+IFERROR(X99/H99,"0")+IFERROR(X100/H100,"0")+IFERROR(X101/H101,"0")+IFERROR(X102/H102,"0")+IFERROR(X103/H103,"0")</f>
        <v/>
      </c>
      <c r="Y104" s="1243">
        <f>IFERROR(Y98/H98,"0")+IFERROR(Y99/H99,"0")+IFERROR(Y100/H100,"0")+IFERROR(Y101/H101,"0")+IFERROR(Y102/H102,"0")+IFERROR(Y103/H103,"0")</f>
        <v/>
      </c>
      <c r="Z104" s="1243">
        <f>IFERROR(IF(Z98="",0,Z98),"0")+IFERROR(IF(Z99="",0,Z99),"0")+IFERROR(IF(Z100="",0,Z100),"0")+IFERROR(IF(Z101="",0,Z101),"0")+IFERROR(IF(Z102="",0,Z102),"0")+IFERROR(IF(Z103="",0,Z103),"0")</f>
        <v/>
      </c>
      <c r="AA104" s="1244" t="n"/>
      <c r="AB104" s="1244" t="n"/>
      <c r="AC104" s="1244" t="n"/>
    </row>
    <row r="105">
      <c r="A105" s="1182" t="n"/>
      <c r="B105" s="1182" t="n"/>
      <c r="C105" s="1182" t="n"/>
      <c r="D105" s="1182" t="n"/>
      <c r="E105" s="1182" t="n"/>
      <c r="F105" s="1182" t="n"/>
      <c r="G105" s="1182" t="n"/>
      <c r="H105" s="1182" t="n"/>
      <c r="I105" s="1182" t="n"/>
      <c r="J105" s="1182" t="n"/>
      <c r="K105" s="1182" t="n"/>
      <c r="L105" s="1182" t="n"/>
      <c r="M105" s="1182" t="n"/>
      <c r="N105" s="1182" t="n"/>
      <c r="O105" s="1241" t="n"/>
      <c r="P105" s="1242" t="inlineStr">
        <is>
          <t>Итого</t>
        </is>
      </c>
      <c r="Q105" s="1201" t="n"/>
      <c r="R105" s="1201" t="n"/>
      <c r="S105" s="1201" t="n"/>
      <c r="T105" s="1201" t="n"/>
      <c r="U105" s="1201" t="n"/>
      <c r="V105" s="1202" t="n"/>
      <c r="W105" s="42" t="inlineStr">
        <is>
          <t>кг</t>
        </is>
      </c>
      <c r="X105" s="1243">
        <f>IFERROR(SUM(X98:X103),"0")</f>
        <v/>
      </c>
      <c r="Y105" s="1243">
        <f>IFERROR(SUM(Y98:Y103),"0")</f>
        <v/>
      </c>
      <c r="Z105" s="42" t="n"/>
      <c r="AA105" s="1244" t="n"/>
      <c r="AB105" s="1244" t="n"/>
      <c r="AC105" s="1244" t="n"/>
    </row>
    <row r="106" ht="16.5" customHeight="1">
      <c r="A106" s="830" t="inlineStr">
        <is>
          <t>Сливушка</t>
        </is>
      </c>
      <c r="B106" s="1182" t="n"/>
      <c r="C106" s="1182" t="n"/>
      <c r="D106" s="1182" t="n"/>
      <c r="E106" s="1182" t="n"/>
      <c r="F106" s="1182" t="n"/>
      <c r="G106" s="1182" t="n"/>
      <c r="H106" s="1182" t="n"/>
      <c r="I106" s="1182" t="n"/>
      <c r="J106" s="1182" t="n"/>
      <c r="K106" s="1182" t="n"/>
      <c r="L106" s="1182" t="n"/>
      <c r="M106" s="1182" t="n"/>
      <c r="N106" s="1182" t="n"/>
      <c r="O106" s="1182" t="n"/>
      <c r="P106" s="1182" t="n"/>
      <c r="Q106" s="1182" t="n"/>
      <c r="R106" s="1182" t="n"/>
      <c r="S106" s="1182" t="n"/>
      <c r="T106" s="1182" t="n"/>
      <c r="U106" s="1182" t="n"/>
      <c r="V106" s="1182" t="n"/>
      <c r="W106" s="1182" t="n"/>
      <c r="X106" s="1182" t="n"/>
      <c r="Y106" s="1182" t="n"/>
      <c r="Z106" s="1182" t="n"/>
      <c r="AA106" s="830" t="n"/>
      <c r="AB106" s="830" t="n"/>
      <c r="AC106" s="830" t="n"/>
    </row>
    <row r="107" ht="14.25" customHeight="1">
      <c r="A107" s="831" t="inlineStr">
        <is>
          <t>Вареные колбасы</t>
        </is>
      </c>
      <c r="B107" s="1182" t="n"/>
      <c r="C107" s="1182" t="n"/>
      <c r="D107" s="1182" t="n"/>
      <c r="E107" s="1182" t="n"/>
      <c r="F107" s="1182" t="n"/>
      <c r="G107" s="1182" t="n"/>
      <c r="H107" s="1182" t="n"/>
      <c r="I107" s="1182" t="n"/>
      <c r="J107" s="1182" t="n"/>
      <c r="K107" s="1182" t="n"/>
      <c r="L107" s="1182" t="n"/>
      <c r="M107" s="1182" t="n"/>
      <c r="N107" s="1182" t="n"/>
      <c r="O107" s="1182" t="n"/>
      <c r="P107" s="1182" t="n"/>
      <c r="Q107" s="1182" t="n"/>
      <c r="R107" s="1182" t="n"/>
      <c r="S107" s="1182" t="n"/>
      <c r="T107" s="1182" t="n"/>
      <c r="U107" s="1182" t="n"/>
      <c r="V107" s="1182" t="n"/>
      <c r="W107" s="1182" t="n"/>
      <c r="X107" s="1182" t="n"/>
      <c r="Y107" s="1182" t="n"/>
      <c r="Z107" s="1182" t="n"/>
      <c r="AA107" s="831" t="n"/>
      <c r="AB107" s="831" t="n"/>
      <c r="AC107" s="831" t="n"/>
    </row>
    <row r="108" ht="16.5" customHeight="1">
      <c r="A108" s="63" t="inlineStr">
        <is>
          <t>SU002928</t>
        </is>
      </c>
      <c r="B108" s="63" t="inlineStr">
        <is>
          <t>P003902</t>
        </is>
      </c>
      <c r="C108" s="36" t="n">
        <v>4301011703</v>
      </c>
      <c r="D108" s="832" t="n">
        <v>4680115882133</v>
      </c>
      <c r="E108" s="1193" t="n"/>
      <c r="F108" s="1232" t="n">
        <v>1.4</v>
      </c>
      <c r="G108" s="37" t="n">
        <v>8</v>
      </c>
      <c r="H108" s="1232" t="n">
        <v>11.2</v>
      </c>
      <c r="I108" s="1232" t="n">
        <v>11.635</v>
      </c>
      <c r="J108" s="37" t="n">
        <v>64</v>
      </c>
      <c r="K108" s="37" t="inlineStr">
        <is>
          <t>8</t>
        </is>
      </c>
      <c r="L108" s="37" t="inlineStr"/>
      <c r="M108" s="38" t="inlineStr">
        <is>
          <t>СК1</t>
        </is>
      </c>
      <c r="N108" s="38" t="n"/>
      <c r="O108" s="37" t="n">
        <v>50</v>
      </c>
      <c r="P108" s="1289">
        <f>HYPERLINK("https://abi.ru/products/Охлажденные/Вязанка/Сливушка/Вареные колбасы/P003902/","Вареные колбасы «Сливушка» Вес П/а ТМ «Вязанка»")</f>
        <v/>
      </c>
      <c r="Q108" s="1234" t="n"/>
      <c r="R108" s="1234" t="n"/>
      <c r="S108" s="1234" t="n"/>
      <c r="T108" s="1235" t="n"/>
      <c r="U108" s="39" t="inlineStr"/>
      <c r="V108" s="39" t="inlineStr">
        <is>
          <t>26.02.2025</t>
        </is>
      </c>
      <c r="W108" s="40" t="inlineStr">
        <is>
          <t>кг</t>
        </is>
      </c>
      <c r="X108" s="1236" t="n">
        <v>70</v>
      </c>
      <c r="Y108" s="1237">
        <f>IFERROR(IF(X108="",0,CEILING((X108/$H108),1)*$H108),"")</f>
        <v/>
      </c>
      <c r="Z108" s="41">
        <f>IFERROR(IF(Y108=0,"",ROUNDUP(Y108/H108,0)*0.01898),"")</f>
        <v/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SU002928</t>
        </is>
      </c>
      <c r="B109" s="63" t="inlineStr">
        <is>
          <t>P003357</t>
        </is>
      </c>
      <c r="C109" s="36" t="n">
        <v>4301011514</v>
      </c>
      <c r="D109" s="832" t="n">
        <v>4680115882133</v>
      </c>
      <c r="E109" s="1193" t="n"/>
      <c r="F109" s="1232" t="n">
        <v>1.35</v>
      </c>
      <c r="G109" s="37" t="n">
        <v>8</v>
      </c>
      <c r="H109" s="1232" t="n">
        <v>10.8</v>
      </c>
      <c r="I109" s="1232" t="n">
        <v>11.235</v>
      </c>
      <c r="J109" s="37" t="n">
        <v>64</v>
      </c>
      <c r="K109" s="37" t="inlineStr">
        <is>
          <t>8</t>
        </is>
      </c>
      <c r="L109" s="37" t="inlineStr"/>
      <c r="M109" s="38" t="inlineStr">
        <is>
          <t>СК1</t>
        </is>
      </c>
      <c r="N109" s="38" t="n"/>
      <c r="O109" s="37" t="n">
        <v>50</v>
      </c>
      <c r="P109" s="1290">
        <f>HYPERLINK("https://abi.ru/products/Охлажденные/Вязанка/Сливушка/Вареные колбасы/P003357/","Вареные колбасы «Сливушка» Вес П/а ТМ «Вязанка»")</f>
        <v/>
      </c>
      <c r="Q109" s="1234" t="n"/>
      <c r="R109" s="1234" t="n"/>
      <c r="S109" s="1234" t="n"/>
      <c r="T109" s="1235" t="n"/>
      <c r="U109" s="39" t="inlineStr"/>
      <c r="V109" s="39" t="inlineStr"/>
      <c r="W109" s="40" t="inlineStr">
        <is>
          <t>кг</t>
        </is>
      </c>
      <c r="X109" s="1236" t="n">
        <v>0</v>
      </c>
      <c r="Y109" s="1237">
        <f>IFERROR(IF(X109="",0,CEILING((X109/$H109),1)*$H109),"")</f>
        <v/>
      </c>
      <c r="Z109" s="41">
        <f>IFERROR(IF(Y109=0,"",ROUNDUP(Y109/H109,0)*0.01898),"")</f>
        <v/>
      </c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 ht="16.5" customHeight="1">
      <c r="A110" s="63" t="inlineStr">
        <is>
          <t>SU002733</t>
        </is>
      </c>
      <c r="B110" s="63" t="inlineStr">
        <is>
          <t>P003102</t>
        </is>
      </c>
      <c r="C110" s="36" t="n">
        <v>4301011417</v>
      </c>
      <c r="D110" s="832" t="n">
        <v>4680115880269</v>
      </c>
      <c r="E110" s="1193" t="n"/>
      <c r="F110" s="1232" t="n">
        <v>0.375</v>
      </c>
      <c r="G110" s="37" t="n">
        <v>10</v>
      </c>
      <c r="H110" s="1232" t="n">
        <v>3.75</v>
      </c>
      <c r="I110" s="1232" t="n">
        <v>3.96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291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10" s="1234" t="n"/>
      <c r="R110" s="1234" t="n"/>
      <c r="S110" s="1234" t="n"/>
      <c r="T110" s="1235" t="n"/>
      <c r="U110" s="39" t="inlineStr"/>
      <c r="V110" s="39" t="inlineStr"/>
      <c r="W110" s="40" t="inlineStr">
        <is>
          <t>кг</t>
        </is>
      </c>
      <c r="X110" s="1236" t="n">
        <v>0</v>
      </c>
      <c r="Y110" s="1237">
        <f>IFERROR(IF(X110="",0,CEILING((X110/$H110),1)*$H110),"")</f>
        <v/>
      </c>
      <c r="Z110" s="41">
        <f>IFERROR(IF(Y110=0,"",ROUNDUP(Y110/H110,0)*0.00902),"")</f>
        <v/>
      </c>
      <c r="AA110" s="68" t="inlineStr"/>
      <c r="AB110" s="69" t="inlineStr"/>
      <c r="AC110" s="186" t="inlineStr">
        <is>
          <t>ЕАЭС N RU Д-RU.РА06.В.04803/22</t>
        </is>
      </c>
      <c r="AG110" s="78" t="n"/>
      <c r="AJ110" s="84" t="inlineStr"/>
      <c r="AK110" s="84" t="n">
        <v>0</v>
      </c>
      <c r="BB110" s="187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 ht="16.5" customHeight="1">
      <c r="A111" s="63" t="inlineStr">
        <is>
          <t>SU002734</t>
        </is>
      </c>
      <c r="B111" s="63" t="inlineStr">
        <is>
          <t>P003103</t>
        </is>
      </c>
      <c r="C111" s="36" t="n">
        <v>4301011415</v>
      </c>
      <c r="D111" s="832" t="n">
        <v>4680115880429</v>
      </c>
      <c r="E111" s="1193" t="n"/>
      <c r="F111" s="1232" t="n">
        <v>0.45</v>
      </c>
      <c r="G111" s="37" t="n">
        <v>10</v>
      </c>
      <c r="H111" s="1232" t="n">
        <v>4.5</v>
      </c>
      <c r="I111" s="1232" t="n">
        <v>4.71</v>
      </c>
      <c r="J111" s="37" t="n">
        <v>132</v>
      </c>
      <c r="K111" s="37" t="inlineStr">
        <is>
          <t>12</t>
        </is>
      </c>
      <c r="L111" s="37" t="inlineStr"/>
      <c r="M111" s="38" t="inlineStr">
        <is>
          <t>СК3</t>
        </is>
      </c>
      <c r="N111" s="38" t="n"/>
      <c r="O111" s="37" t="n">
        <v>50</v>
      </c>
      <c r="P111" s="1292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11" s="1234" t="n"/>
      <c r="R111" s="1234" t="n"/>
      <c r="S111" s="1234" t="n"/>
      <c r="T111" s="1235" t="n"/>
      <c r="U111" s="39" t="inlineStr"/>
      <c r="V111" s="39" t="inlineStr"/>
      <c r="W111" s="40" t="inlineStr">
        <is>
          <t>кг</t>
        </is>
      </c>
      <c r="X111" s="1236" t="n">
        <v>540</v>
      </c>
      <c r="Y111" s="1237">
        <f>IFERROR(IF(X111="",0,CEILING((X111/$H111),1)*$H111),"")</f>
        <v/>
      </c>
      <c r="Z111" s="41">
        <f>IFERROR(IF(Y111=0,"",ROUNDUP(Y111/H111,0)*0.00902),"")</f>
        <v/>
      </c>
      <c r="AA111" s="68" t="inlineStr"/>
      <c r="AB111" s="69" t="inlineStr"/>
      <c r="AC111" s="188" t="inlineStr">
        <is>
          <t>ЕАЭС N RU Д-RU.РА06.В.04803/22</t>
        </is>
      </c>
      <c r="AG111" s="78" t="n"/>
      <c r="AJ111" s="84" t="inlineStr"/>
      <c r="AK111" s="84" t="n">
        <v>0</v>
      </c>
      <c r="BB111" s="189" t="inlineStr">
        <is>
          <t>КИ</t>
        </is>
      </c>
      <c r="BM111" s="78">
        <f>IFERROR(X111*I111/H111,"0")</f>
        <v/>
      </c>
      <c r="BN111" s="78">
        <f>IFERROR(Y111*I111/H111,"0")</f>
        <v/>
      </c>
      <c r="BO111" s="78">
        <f>IFERROR(1/J111*(X111/H111),"0")</f>
        <v/>
      </c>
      <c r="BP111" s="78">
        <f>IFERROR(1/J111*(Y111/H111),"0")</f>
        <v/>
      </c>
    </row>
    <row r="112" ht="16.5" customHeight="1">
      <c r="A112" s="63" t="inlineStr">
        <is>
          <t>SU002827</t>
        </is>
      </c>
      <c r="B112" s="63" t="inlineStr">
        <is>
          <t>P003233</t>
        </is>
      </c>
      <c r="C112" s="36" t="n">
        <v>4301011462</v>
      </c>
      <c r="D112" s="832" t="n">
        <v>4680115881457</v>
      </c>
      <c r="E112" s="1193" t="n"/>
      <c r="F112" s="1232" t="n">
        <v>0.75</v>
      </c>
      <c r="G112" s="37" t="n">
        <v>6</v>
      </c>
      <c r="H112" s="1232" t="n">
        <v>4.5</v>
      </c>
      <c r="I112" s="1232" t="n">
        <v>4.71</v>
      </c>
      <c r="J112" s="37" t="n">
        <v>132</v>
      </c>
      <c r="K112" s="37" t="inlineStr">
        <is>
          <t>12</t>
        </is>
      </c>
      <c r="L112" s="37" t="inlineStr"/>
      <c r="M112" s="38" t="inlineStr">
        <is>
          <t>СК3</t>
        </is>
      </c>
      <c r="N112" s="38" t="n"/>
      <c r="O112" s="37" t="n">
        <v>50</v>
      </c>
      <c r="P112" s="1293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12" s="1234" t="n"/>
      <c r="R112" s="1234" t="n"/>
      <c r="S112" s="1234" t="n"/>
      <c r="T112" s="1235" t="n"/>
      <c r="U112" s="39" t="inlineStr"/>
      <c r="V112" s="39" t="inlineStr"/>
      <c r="W112" s="40" t="inlineStr">
        <is>
          <t>кг</t>
        </is>
      </c>
      <c r="X112" s="1236" t="n">
        <v>0</v>
      </c>
      <c r="Y112" s="1237">
        <f>IFERROR(IF(X112="",0,CEILING((X112/$H112),1)*$H112),"")</f>
        <v/>
      </c>
      <c r="Z112" s="41">
        <f>IFERROR(IF(Y112=0,"",ROUNDUP(Y112/H112,0)*0.00902),"")</f>
        <v/>
      </c>
      <c r="AA112" s="68" t="inlineStr"/>
      <c r="AB112" s="69" t="inlineStr"/>
      <c r="AC112" s="190" t="inlineStr">
        <is>
          <t>ЕАЭС N RU Д-RU.РА06.В.04803/22</t>
        </is>
      </c>
      <c r="AG112" s="78" t="n"/>
      <c r="AJ112" s="84" t="inlineStr"/>
      <c r="AK112" s="84" t="n">
        <v>0</v>
      </c>
      <c r="BB112" s="191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>
      <c r="A113" s="843" t="n"/>
      <c r="B113" s="1182" t="n"/>
      <c r="C113" s="1182" t="n"/>
      <c r="D113" s="1182" t="n"/>
      <c r="E113" s="1182" t="n"/>
      <c r="F113" s="1182" t="n"/>
      <c r="G113" s="1182" t="n"/>
      <c r="H113" s="1182" t="n"/>
      <c r="I113" s="1182" t="n"/>
      <c r="J113" s="1182" t="n"/>
      <c r="K113" s="1182" t="n"/>
      <c r="L113" s="1182" t="n"/>
      <c r="M113" s="1182" t="n"/>
      <c r="N113" s="1182" t="n"/>
      <c r="O113" s="1241" t="n"/>
      <c r="P113" s="1242" t="inlineStr">
        <is>
          <t>Итого</t>
        </is>
      </c>
      <c r="Q113" s="1201" t="n"/>
      <c r="R113" s="1201" t="n"/>
      <c r="S113" s="1201" t="n"/>
      <c r="T113" s="1201" t="n"/>
      <c r="U113" s="1201" t="n"/>
      <c r="V113" s="1202" t="n"/>
      <c r="W113" s="42" t="inlineStr">
        <is>
          <t>кор</t>
        </is>
      </c>
      <c r="X113" s="1243">
        <f>IFERROR(X108/H108,"0")+IFERROR(X109/H109,"0")+IFERROR(X110/H110,"0")+IFERROR(X111/H111,"0")+IFERROR(X112/H112,"0")</f>
        <v/>
      </c>
      <c r="Y113" s="1243">
        <f>IFERROR(Y108/H108,"0")+IFERROR(Y109/H109,"0")+IFERROR(Y110/H110,"0")+IFERROR(Y111/H111,"0")+IFERROR(Y112/H112,"0")</f>
        <v/>
      </c>
      <c r="Z113" s="1243">
        <f>IFERROR(IF(Z108="",0,Z108),"0")+IFERROR(IF(Z109="",0,Z109),"0")+IFERROR(IF(Z110="",0,Z110),"0")+IFERROR(IF(Z111="",0,Z111),"0")+IFERROR(IF(Z112="",0,Z112),"0")</f>
        <v/>
      </c>
      <c r="AA113" s="1244" t="n"/>
      <c r="AB113" s="1244" t="n"/>
      <c r="AC113" s="1244" t="n"/>
    </row>
    <row r="114">
      <c r="A114" s="1182" t="n"/>
      <c r="B114" s="1182" t="n"/>
      <c r="C114" s="1182" t="n"/>
      <c r="D114" s="1182" t="n"/>
      <c r="E114" s="1182" t="n"/>
      <c r="F114" s="1182" t="n"/>
      <c r="G114" s="1182" t="n"/>
      <c r="H114" s="1182" t="n"/>
      <c r="I114" s="1182" t="n"/>
      <c r="J114" s="1182" t="n"/>
      <c r="K114" s="1182" t="n"/>
      <c r="L114" s="1182" t="n"/>
      <c r="M114" s="1182" t="n"/>
      <c r="N114" s="1182" t="n"/>
      <c r="O114" s="1241" t="n"/>
      <c r="P114" s="1242" t="inlineStr">
        <is>
          <t>Итого</t>
        </is>
      </c>
      <c r="Q114" s="1201" t="n"/>
      <c r="R114" s="1201" t="n"/>
      <c r="S114" s="1201" t="n"/>
      <c r="T114" s="1201" t="n"/>
      <c r="U114" s="1201" t="n"/>
      <c r="V114" s="1202" t="n"/>
      <c r="W114" s="42" t="inlineStr">
        <is>
          <t>кг</t>
        </is>
      </c>
      <c r="X114" s="1243">
        <f>IFERROR(SUM(X108:X112),"0")</f>
        <v/>
      </c>
      <c r="Y114" s="1243">
        <f>IFERROR(SUM(Y108:Y112),"0")</f>
        <v/>
      </c>
      <c r="Z114" s="42" t="n"/>
      <c r="AA114" s="1244" t="n"/>
      <c r="AB114" s="1244" t="n"/>
      <c r="AC114" s="1244" t="n"/>
    </row>
    <row r="115" ht="14.25" customHeight="1">
      <c r="A115" s="831" t="inlineStr">
        <is>
          <t>Ветчины</t>
        </is>
      </c>
      <c r="B115" s="1182" t="n"/>
      <c r="C115" s="1182" t="n"/>
      <c r="D115" s="1182" t="n"/>
      <c r="E115" s="1182" t="n"/>
      <c r="F115" s="1182" t="n"/>
      <c r="G115" s="1182" t="n"/>
      <c r="H115" s="1182" t="n"/>
      <c r="I115" s="1182" t="n"/>
      <c r="J115" s="1182" t="n"/>
      <c r="K115" s="1182" t="n"/>
      <c r="L115" s="1182" t="n"/>
      <c r="M115" s="1182" t="n"/>
      <c r="N115" s="1182" t="n"/>
      <c r="O115" s="1182" t="n"/>
      <c r="P115" s="1182" t="n"/>
      <c r="Q115" s="1182" t="n"/>
      <c r="R115" s="1182" t="n"/>
      <c r="S115" s="1182" t="n"/>
      <c r="T115" s="1182" t="n"/>
      <c r="U115" s="1182" t="n"/>
      <c r="V115" s="1182" t="n"/>
      <c r="W115" s="1182" t="n"/>
      <c r="X115" s="1182" t="n"/>
      <c r="Y115" s="1182" t="n"/>
      <c r="Z115" s="1182" t="n"/>
      <c r="AA115" s="831" t="n"/>
      <c r="AB115" s="831" t="n"/>
      <c r="AC115" s="831" t="n"/>
    </row>
    <row r="116" ht="16.5" customHeight="1">
      <c r="A116" s="63" t="inlineStr">
        <is>
          <t>SU002833</t>
        </is>
      </c>
      <c r="B116" s="63" t="inlineStr">
        <is>
          <t>P004607</t>
        </is>
      </c>
      <c r="C116" s="36" t="n">
        <v>4301020345</v>
      </c>
      <c r="D116" s="832" t="n">
        <v>4680115881488</v>
      </c>
      <c r="E116" s="1193" t="n"/>
      <c r="F116" s="1232" t="n">
        <v>1.35</v>
      </c>
      <c r="G116" s="37" t="n">
        <v>8</v>
      </c>
      <c r="H116" s="1232" t="n">
        <v>10.8</v>
      </c>
      <c r="I116" s="1232" t="n">
        <v>11.235</v>
      </c>
      <c r="J116" s="37" t="n">
        <v>64</v>
      </c>
      <c r="K116" s="37" t="inlineStr">
        <is>
          <t>8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294">
        <f>HYPERLINK("https://abi.ru/products/Охлажденные/Вязанка/Сливушка/Ветчины/P004607/","Ветчины «Сливушка с индейкой» вес п/а ТМ «Вязанка»")</f>
        <v/>
      </c>
      <c r="Q116" s="1234" t="n"/>
      <c r="R116" s="1234" t="n"/>
      <c r="S116" s="1234" t="n"/>
      <c r="T116" s="1235" t="n"/>
      <c r="U116" s="39" t="inlineStr"/>
      <c r="V116" s="39" t="inlineStr"/>
      <c r="W116" s="40" t="inlineStr">
        <is>
          <t>кг</t>
        </is>
      </c>
      <c r="X116" s="1236" t="n">
        <v>0</v>
      </c>
      <c r="Y116" s="1237">
        <f>IFERROR(IF(X116="",0,CEILING((X116/$H116),1)*$H116),"")</f>
        <v/>
      </c>
      <c r="Z116" s="41">
        <f>IFERROR(IF(Y116=0,"",ROUNDUP(Y116/H116,0)*0.01898),"")</f>
        <v/>
      </c>
      <c r="AA116" s="68" t="inlineStr"/>
      <c r="AB116" s="69" t="inlineStr"/>
      <c r="AC116" s="192" t="inlineStr">
        <is>
          <t>ЕАЭС N RU Д-RU.РА06.В.97082/24</t>
        </is>
      </c>
      <c r="AG116" s="78" t="n"/>
      <c r="AJ116" s="84" t="inlineStr"/>
      <c r="AK116" s="84" t="n">
        <v>0</v>
      </c>
      <c r="BB116" s="193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16.5" customHeight="1">
      <c r="A117" s="63" t="inlineStr">
        <is>
          <t>SU003037</t>
        </is>
      </c>
      <c r="B117" s="63" t="inlineStr">
        <is>
          <t>P004609</t>
        </is>
      </c>
      <c r="C117" s="36" t="n">
        <v>4301020346</v>
      </c>
      <c r="D117" s="832" t="n">
        <v>4680115882775</v>
      </c>
      <c r="E117" s="1193" t="n"/>
      <c r="F117" s="1232" t="n">
        <v>0.3</v>
      </c>
      <c r="G117" s="37" t="n">
        <v>8</v>
      </c>
      <c r="H117" s="1232" t="n">
        <v>2.4</v>
      </c>
      <c r="I117" s="1232" t="n">
        <v>2.5</v>
      </c>
      <c r="J117" s="37" t="n">
        <v>234</v>
      </c>
      <c r="K117" s="37" t="inlineStr">
        <is>
          <t>18</t>
        </is>
      </c>
      <c r="L117" s="37" t="inlineStr"/>
      <c r="M117" s="38" t="inlineStr">
        <is>
          <t>СК1</t>
        </is>
      </c>
      <c r="N117" s="38" t="n"/>
      <c r="O117" s="37" t="n">
        <v>55</v>
      </c>
      <c r="P117" s="1295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7" s="1234" t="n"/>
      <c r="R117" s="1234" t="n"/>
      <c r="S117" s="1234" t="n"/>
      <c r="T117" s="1235" t="n"/>
      <c r="U117" s="39" t="inlineStr"/>
      <c r="V117" s="39" t="inlineStr"/>
      <c r="W117" s="40" t="inlineStr">
        <is>
          <t>кг</t>
        </is>
      </c>
      <c r="X117" s="1236" t="n">
        <v>0</v>
      </c>
      <c r="Y117" s="1237">
        <f>IFERROR(IF(X117="",0,CEILING((X117/$H117),1)*$H117),"")</f>
        <v/>
      </c>
      <c r="Z117" s="41">
        <f>IFERROR(IF(Y117=0,"",ROUNDUP(Y117/H117,0)*0.00502),"")</f>
        <v/>
      </c>
      <c r="AA117" s="68" t="inlineStr"/>
      <c r="AB117" s="69" t="inlineStr"/>
      <c r="AC117" s="194" t="inlineStr">
        <is>
          <t>ЕАЭС N RU Д-RU.РА06.В.97082/24</t>
        </is>
      </c>
      <c r="AG117" s="78" t="n"/>
      <c r="AJ117" s="84" t="inlineStr"/>
      <c r="AK117" s="84" t="n">
        <v>0</v>
      </c>
      <c r="BB117" s="195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 ht="16.5" customHeight="1">
      <c r="A118" s="63" t="inlineStr">
        <is>
          <t>SU002735</t>
        </is>
      </c>
      <c r="B118" s="63" t="inlineStr">
        <is>
          <t>P004586</t>
        </is>
      </c>
      <c r="C118" s="36" t="n">
        <v>4301020344</v>
      </c>
      <c r="D118" s="832" t="n">
        <v>4680115880658</v>
      </c>
      <c r="E118" s="1193" t="n"/>
      <c r="F118" s="1232" t="n">
        <v>0.4</v>
      </c>
      <c r="G118" s="37" t="n">
        <v>6</v>
      </c>
      <c r="H118" s="1232" t="n">
        <v>2.4</v>
      </c>
      <c r="I118" s="1232" t="n">
        <v>2.58</v>
      </c>
      <c r="J118" s="37" t="n">
        <v>182</v>
      </c>
      <c r="K118" s="37" t="inlineStr">
        <is>
          <t>14</t>
        </is>
      </c>
      <c r="L118" s="37" t="inlineStr"/>
      <c r="M118" s="38" t="inlineStr">
        <is>
          <t>СК1</t>
        </is>
      </c>
      <c r="N118" s="38" t="n"/>
      <c r="O118" s="37" t="n">
        <v>55</v>
      </c>
      <c r="P118" s="1296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8" s="1234" t="n"/>
      <c r="R118" s="1234" t="n"/>
      <c r="S118" s="1234" t="n"/>
      <c r="T118" s="1235" t="n"/>
      <c r="U118" s="39" t="inlineStr"/>
      <c r="V118" s="39" t="inlineStr"/>
      <c r="W118" s="40" t="inlineStr">
        <is>
          <t>кг</t>
        </is>
      </c>
      <c r="X118" s="1236" t="n">
        <v>0</v>
      </c>
      <c r="Y118" s="1237">
        <f>IFERROR(IF(X118="",0,CEILING((X118/$H118),1)*$H118),"")</f>
        <v/>
      </c>
      <c r="Z118" s="41">
        <f>IFERROR(IF(Y118=0,"",ROUNDUP(Y118/H118,0)*0.00651),"")</f>
        <v/>
      </c>
      <c r="AA118" s="68" t="inlineStr"/>
      <c r="AB118" s="69" t="inlineStr"/>
      <c r="AC118" s="196" t="inlineStr">
        <is>
          <t>ЕАЭС N RU Д-RU.РА06.В.97082/24</t>
        </is>
      </c>
      <c r="AG118" s="78" t="n"/>
      <c r="AJ118" s="84" t="inlineStr"/>
      <c r="AK118" s="84" t="n">
        <v>0</v>
      </c>
      <c r="BB118" s="197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>
      <c r="A119" s="843" t="n"/>
      <c r="B119" s="1182" t="n"/>
      <c r="C119" s="1182" t="n"/>
      <c r="D119" s="1182" t="n"/>
      <c r="E119" s="1182" t="n"/>
      <c r="F119" s="1182" t="n"/>
      <c r="G119" s="1182" t="n"/>
      <c r="H119" s="1182" t="n"/>
      <c r="I119" s="1182" t="n"/>
      <c r="J119" s="1182" t="n"/>
      <c r="K119" s="1182" t="n"/>
      <c r="L119" s="1182" t="n"/>
      <c r="M119" s="1182" t="n"/>
      <c r="N119" s="1182" t="n"/>
      <c r="O119" s="1241" t="n"/>
      <c r="P119" s="1242" t="inlineStr">
        <is>
          <t>Итого</t>
        </is>
      </c>
      <c r="Q119" s="1201" t="n"/>
      <c r="R119" s="1201" t="n"/>
      <c r="S119" s="1201" t="n"/>
      <c r="T119" s="1201" t="n"/>
      <c r="U119" s="1201" t="n"/>
      <c r="V119" s="1202" t="n"/>
      <c r="W119" s="42" t="inlineStr">
        <is>
          <t>кор</t>
        </is>
      </c>
      <c r="X119" s="1243">
        <f>IFERROR(X116/H116,"0")+IFERROR(X117/H117,"0")+IFERROR(X118/H118,"0")</f>
        <v/>
      </c>
      <c r="Y119" s="1243">
        <f>IFERROR(Y116/H116,"0")+IFERROR(Y117/H117,"0")+IFERROR(Y118/H118,"0")</f>
        <v/>
      </c>
      <c r="Z119" s="1243">
        <f>IFERROR(IF(Z116="",0,Z116),"0")+IFERROR(IF(Z117="",0,Z117),"0")+IFERROR(IF(Z118="",0,Z118),"0")</f>
        <v/>
      </c>
      <c r="AA119" s="1244" t="n"/>
      <c r="AB119" s="1244" t="n"/>
      <c r="AC119" s="1244" t="n"/>
    </row>
    <row r="120">
      <c r="A120" s="1182" t="n"/>
      <c r="B120" s="1182" t="n"/>
      <c r="C120" s="1182" t="n"/>
      <c r="D120" s="1182" t="n"/>
      <c r="E120" s="1182" t="n"/>
      <c r="F120" s="1182" t="n"/>
      <c r="G120" s="1182" t="n"/>
      <c r="H120" s="1182" t="n"/>
      <c r="I120" s="1182" t="n"/>
      <c r="J120" s="1182" t="n"/>
      <c r="K120" s="1182" t="n"/>
      <c r="L120" s="1182" t="n"/>
      <c r="M120" s="1182" t="n"/>
      <c r="N120" s="1182" t="n"/>
      <c r="O120" s="1241" t="n"/>
      <c r="P120" s="1242" t="inlineStr">
        <is>
          <t>Итого</t>
        </is>
      </c>
      <c r="Q120" s="1201" t="n"/>
      <c r="R120" s="1201" t="n"/>
      <c r="S120" s="1201" t="n"/>
      <c r="T120" s="1201" t="n"/>
      <c r="U120" s="1201" t="n"/>
      <c r="V120" s="1202" t="n"/>
      <c r="W120" s="42" t="inlineStr">
        <is>
          <t>кг</t>
        </is>
      </c>
      <c r="X120" s="1243">
        <f>IFERROR(SUM(X116:X118),"0")</f>
        <v/>
      </c>
      <c r="Y120" s="1243">
        <f>IFERROR(SUM(Y116:Y118),"0")</f>
        <v/>
      </c>
      <c r="Z120" s="42" t="n"/>
      <c r="AA120" s="1244" t="n"/>
      <c r="AB120" s="1244" t="n"/>
      <c r="AC120" s="1244" t="n"/>
    </row>
    <row r="121" ht="14.25" customHeight="1">
      <c r="A121" s="831" t="inlineStr">
        <is>
          <t>Сосиски</t>
        </is>
      </c>
      <c r="B121" s="1182" t="n"/>
      <c r="C121" s="1182" t="n"/>
      <c r="D121" s="1182" t="n"/>
      <c r="E121" s="1182" t="n"/>
      <c r="F121" s="1182" t="n"/>
      <c r="G121" s="1182" t="n"/>
      <c r="H121" s="1182" t="n"/>
      <c r="I121" s="1182" t="n"/>
      <c r="J121" s="1182" t="n"/>
      <c r="K121" s="1182" t="n"/>
      <c r="L121" s="1182" t="n"/>
      <c r="M121" s="1182" t="n"/>
      <c r="N121" s="1182" t="n"/>
      <c r="O121" s="1182" t="n"/>
      <c r="P121" s="1182" t="n"/>
      <c r="Q121" s="1182" t="n"/>
      <c r="R121" s="1182" t="n"/>
      <c r="S121" s="1182" t="n"/>
      <c r="T121" s="1182" t="n"/>
      <c r="U121" s="1182" t="n"/>
      <c r="V121" s="1182" t="n"/>
      <c r="W121" s="1182" t="n"/>
      <c r="X121" s="1182" t="n"/>
      <c r="Y121" s="1182" t="n"/>
      <c r="Z121" s="1182" t="n"/>
      <c r="AA121" s="831" t="n"/>
      <c r="AB121" s="831" t="n"/>
      <c r="AC121" s="831" t="n"/>
    </row>
    <row r="122" ht="37.5" customHeight="1">
      <c r="A122" s="63" t="inlineStr">
        <is>
          <t>SU001721</t>
        </is>
      </c>
      <c r="B122" s="63" t="inlineStr">
        <is>
          <t>P003161</t>
        </is>
      </c>
      <c r="C122" s="36" t="n">
        <v>4301051360</v>
      </c>
      <c r="D122" s="832" t="n">
        <v>4607091385168</v>
      </c>
      <c r="E122" s="1193" t="n"/>
      <c r="F122" s="1232" t="n">
        <v>1.35</v>
      </c>
      <c r="G122" s="37" t="n">
        <v>6</v>
      </c>
      <c r="H122" s="1232" t="n">
        <v>8.1</v>
      </c>
      <c r="I122" s="1232" t="n">
        <v>8.613</v>
      </c>
      <c r="J122" s="37" t="n">
        <v>64</v>
      </c>
      <c r="K122" s="37" t="inlineStr">
        <is>
          <t>8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29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22" s="1234" t="n"/>
      <c r="R122" s="1234" t="n"/>
      <c r="S122" s="1234" t="n"/>
      <c r="T122" s="1235" t="n"/>
      <c r="U122" s="39" t="inlineStr"/>
      <c r="V122" s="39" t="inlineStr"/>
      <c r="W122" s="40" t="inlineStr">
        <is>
          <t>кг</t>
        </is>
      </c>
      <c r="X122" s="1236" t="n">
        <v>0</v>
      </c>
      <c r="Y122" s="1237">
        <f>IFERROR(IF(X122="",0,CEILING((X122/$H122),1)*$H122),"")</f>
        <v/>
      </c>
      <c r="Z122" s="41">
        <f>IFERROR(IF(Y122=0,"",ROUNDUP(Y122/H122,0)*0.01898),"")</f>
        <v/>
      </c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SU001721</t>
        </is>
      </c>
      <c r="B123" s="63" t="inlineStr">
        <is>
          <t>P003905</t>
        </is>
      </c>
      <c r="C123" s="36" t="n">
        <v>4301051625</v>
      </c>
      <c r="D123" s="832" t="n">
        <v>4607091385168</v>
      </c>
      <c r="E123" s="1193" t="n"/>
      <c r="F123" s="1232" t="n">
        <v>1.4</v>
      </c>
      <c r="G123" s="37" t="n">
        <v>6</v>
      </c>
      <c r="H123" s="1232" t="n">
        <v>8.4</v>
      </c>
      <c r="I123" s="1232" t="n">
        <v>8.913</v>
      </c>
      <c r="J123" s="37" t="n">
        <v>64</v>
      </c>
      <c r="K123" s="37" t="inlineStr">
        <is>
          <t>8</t>
        </is>
      </c>
      <c r="L123" s="37" t="inlineStr"/>
      <c r="M123" s="38" t="inlineStr">
        <is>
          <t>СК3</t>
        </is>
      </c>
      <c r="N123" s="38" t="n"/>
      <c r="O123" s="37" t="n">
        <v>45</v>
      </c>
      <c r="P123" s="1298">
        <f>HYPERLINK("https://abi.ru/products/Охлажденные/Вязанка/Сливушка/Сосиски/P003905/","Сосиски «Вязанка Сливочные» Весовые П/а мгс ТМ «Вязанка»")</f>
        <v/>
      </c>
      <c r="Q123" s="1234" t="n"/>
      <c r="R123" s="1234" t="n"/>
      <c r="S123" s="1234" t="n"/>
      <c r="T123" s="1235" t="n"/>
      <c r="U123" s="39" t="inlineStr"/>
      <c r="V123" s="39" t="inlineStr">
        <is>
          <t>26.02.2025</t>
        </is>
      </c>
      <c r="W123" s="40" t="inlineStr">
        <is>
          <t>кг</t>
        </is>
      </c>
      <c r="X123" s="1236" t="n">
        <v>600</v>
      </c>
      <c r="Y123" s="1237">
        <f>IFERROR(IF(X123="",0,CEILING((X123/$H123),1)*$H123),"")</f>
        <v/>
      </c>
      <c r="Z123" s="41">
        <f>IFERROR(IF(Y123=0,"",ROUNDUP(Y123/H123,0)*0.01898),"")</f>
        <v/>
      </c>
      <c r="AA123" s="68" t="inlineStr"/>
      <c r="AB123" s="69" t="inlineStr"/>
      <c r="AC123" s="200" t="inlineStr">
        <is>
          <t>ЕАЭС N RU Д-RU.РА01.В.20765/23, 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27" customHeight="1">
      <c r="A124" s="63" t="inlineStr">
        <is>
          <t>SU003337</t>
        </is>
      </c>
      <c r="B124" s="63" t="inlineStr">
        <is>
          <t>P004117</t>
        </is>
      </c>
      <c r="C124" s="36" t="n">
        <v>4301051742</v>
      </c>
      <c r="D124" s="832" t="n">
        <v>4680115884540</v>
      </c>
      <c r="E124" s="1193" t="n"/>
      <c r="F124" s="1232" t="n">
        <v>1.4</v>
      </c>
      <c r="G124" s="37" t="n">
        <v>6</v>
      </c>
      <c r="H124" s="1232" t="n">
        <v>8.4</v>
      </c>
      <c r="I124" s="1232" t="n">
        <v>8.835000000000001</v>
      </c>
      <c r="J124" s="37" t="n">
        <v>64</v>
      </c>
      <c r="K124" s="37" t="inlineStr">
        <is>
          <t>8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299">
        <f>HYPERLINK("https://abi.ru/products/Охлажденные/Вязанка/Сливушка/Сосиски/P004117/","Сосиски «Сливушки по-венски» Весовой п/а ТМ «Вязанка»")</f>
        <v/>
      </c>
      <c r="Q124" s="1234" t="n"/>
      <c r="R124" s="1234" t="n"/>
      <c r="S124" s="1234" t="n"/>
      <c r="T124" s="1235" t="n"/>
      <c r="U124" s="39" t="inlineStr"/>
      <c r="V124" s="39" t="inlineStr"/>
      <c r="W124" s="40" t="inlineStr">
        <is>
          <t>кг</t>
        </is>
      </c>
      <c r="X124" s="1236" t="n">
        <v>0</v>
      </c>
      <c r="Y124" s="1237">
        <f>IFERROR(IF(X124="",0,CEILING((X124/$H124),1)*$H124),"")</f>
        <v/>
      </c>
      <c r="Z124" s="41">
        <f>IFERROR(IF(Y124=0,"",ROUNDUP(Y124/H124,0)*0.01898),"")</f>
        <v/>
      </c>
      <c r="AA124" s="68" t="inlineStr"/>
      <c r="AB124" s="69" t="inlineStr"/>
      <c r="AC124" s="202" t="inlineStr">
        <is>
          <t>ЕАЭС N RU Д-RU.РА01.В.81091/24, ЕАЭС N RU Д-RU.РА01.В.81330/24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37.5" customHeight="1">
      <c r="A125" s="63" t="inlineStr">
        <is>
          <t>SU002139</t>
        </is>
      </c>
      <c r="B125" s="63" t="inlineStr">
        <is>
          <t>P003162</t>
        </is>
      </c>
      <c r="C125" s="36" t="n">
        <v>4301051362</v>
      </c>
      <c r="D125" s="832" t="n">
        <v>4607091383256</v>
      </c>
      <c r="E125" s="1193" t="n"/>
      <c r="F125" s="1232" t="n">
        <v>0.33</v>
      </c>
      <c r="G125" s="37" t="n">
        <v>6</v>
      </c>
      <c r="H125" s="1232" t="n">
        <v>1.98</v>
      </c>
      <c r="I125" s="1232" t="n">
        <v>2.226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45</v>
      </c>
      <c r="P125" s="1300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25" s="1234" t="n"/>
      <c r="R125" s="1234" t="n"/>
      <c r="S125" s="1234" t="n"/>
      <c r="T125" s="1235" t="n"/>
      <c r="U125" s="39" t="inlineStr"/>
      <c r="V125" s="39" t="inlineStr"/>
      <c r="W125" s="40" t="inlineStr">
        <is>
          <t>кг</t>
        </is>
      </c>
      <c r="X125" s="1236" t="n">
        <v>0</v>
      </c>
      <c r="Y125" s="1237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204" t="inlineStr">
        <is>
          <t>ЕАЭС N RU Д-RU.РА01.В.20765/23, ЕАЭС N RU Д-RU.РА01.В.61077/20, ЕАЭС N RU Д-RU.РА06.В.77196/22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37.5" customHeight="1">
      <c r="A126" s="63" t="inlineStr">
        <is>
          <t>SU001720</t>
        </is>
      </c>
      <c r="B126" s="63" t="inlineStr">
        <is>
          <t>P003160</t>
        </is>
      </c>
      <c r="C126" s="36" t="n">
        <v>4301051358</v>
      </c>
      <c r="D126" s="832" t="n">
        <v>4607091385748</v>
      </c>
      <c r="E126" s="1193" t="n"/>
      <c r="F126" s="1232" t="n">
        <v>0.45</v>
      </c>
      <c r="G126" s="37" t="n">
        <v>6</v>
      </c>
      <c r="H126" s="1232" t="n">
        <v>2.7</v>
      </c>
      <c r="I126" s="1232" t="n">
        <v>2.952</v>
      </c>
      <c r="J126" s="37" t="n">
        <v>182</v>
      </c>
      <c r="K126" s="37" t="inlineStr">
        <is>
          <t>14</t>
        </is>
      </c>
      <c r="L126" s="37" t="inlineStr">
        <is>
          <t>Палетта, мин. 1</t>
        </is>
      </c>
      <c r="M126" s="38" t="inlineStr">
        <is>
          <t>СК3</t>
        </is>
      </c>
      <c r="N126" s="38" t="n"/>
      <c r="O126" s="37" t="n">
        <v>45</v>
      </c>
      <c r="P126" s="1301">
        <f>HYPERLINK("https://abi.ru/products/Охлажденные/Вязанка/Сливушка/Сосиски/P003160/","Сосиски Сливочные Сливушки Фикс.вес 0,45 П/а мгс Вязанка")</f>
        <v/>
      </c>
      <c r="Q126" s="1234" t="n"/>
      <c r="R126" s="1234" t="n"/>
      <c r="S126" s="1234" t="n"/>
      <c r="T126" s="1235" t="n"/>
      <c r="U126" s="39" t="inlineStr"/>
      <c r="V126" s="39" t="inlineStr"/>
      <c r="W126" s="40" t="inlineStr">
        <is>
          <t>кг</t>
        </is>
      </c>
      <c r="X126" s="1236" t="n">
        <v>495</v>
      </c>
      <c r="Y126" s="1237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206" t="inlineStr">
        <is>
          <t>ЕАЭС N RU Д-RU.РА01.В.20765/23, ЕАЭС N RU Д-RU.РА01.В.61077/20, ЕАЭС N RU Д-RU.РА06.В.77196/22</t>
        </is>
      </c>
      <c r="AG126" s="78" t="n"/>
      <c r="AJ126" s="84" t="inlineStr">
        <is>
          <t>Палетта</t>
        </is>
      </c>
      <c r="AK126" s="84" t="n">
        <v>491.4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27" customHeight="1">
      <c r="A127" s="63" t="inlineStr">
        <is>
          <t>SU003336</t>
        </is>
      </c>
      <c r="B127" s="63" t="inlineStr">
        <is>
          <t>P004116</t>
        </is>
      </c>
      <c r="C127" s="36" t="n">
        <v>4301051740</v>
      </c>
      <c r="D127" s="832" t="n">
        <v>4680115884533</v>
      </c>
      <c r="E127" s="1193" t="n"/>
      <c r="F127" s="1232" t="n">
        <v>0.3</v>
      </c>
      <c r="G127" s="37" t="n">
        <v>6</v>
      </c>
      <c r="H127" s="1232" t="n">
        <v>1.8</v>
      </c>
      <c r="I127" s="1232" t="n">
        <v>1.98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45</v>
      </c>
      <c r="P127" s="1302">
        <f>HYPERLINK("https://abi.ru/products/Охлажденные/Вязанка/Сливушка/Сосиски/P004116/","Сосиски «Сливушки по-венски» ф/в 0,3 п/а ТМ «Вязанка»")</f>
        <v/>
      </c>
      <c r="Q127" s="1234" t="n"/>
      <c r="R127" s="1234" t="n"/>
      <c r="S127" s="1234" t="n"/>
      <c r="T127" s="1235" t="n"/>
      <c r="U127" s="39" t="inlineStr"/>
      <c r="V127" s="39" t="inlineStr"/>
      <c r="W127" s="40" t="inlineStr">
        <is>
          <t>кг</t>
        </is>
      </c>
      <c r="X127" s="1236" t="n">
        <v>45</v>
      </c>
      <c r="Y127" s="1237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208" t="inlineStr">
        <is>
          <t>ЕАЭС N RU Д-RU.РА01.В.81091/24, ЕАЭС N RU Д-RU.РА01.В.81330/24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 ht="37.5" customHeight="1">
      <c r="A128" s="63" t="inlineStr">
        <is>
          <t>SU002996</t>
        </is>
      </c>
      <c r="B128" s="63" t="inlineStr">
        <is>
          <t>P003464</t>
        </is>
      </c>
      <c r="C128" s="36" t="n">
        <v>4301051480</v>
      </c>
      <c r="D128" s="832" t="n">
        <v>4680115882645</v>
      </c>
      <c r="E128" s="1193" t="n"/>
      <c r="F128" s="1232" t="n">
        <v>0.3</v>
      </c>
      <c r="G128" s="37" t="n">
        <v>6</v>
      </c>
      <c r="H128" s="1232" t="n">
        <v>1.8</v>
      </c>
      <c r="I128" s="1232" t="n">
        <v>2.64</v>
      </c>
      <c r="J128" s="37" t="n">
        <v>182</v>
      </c>
      <c r="K128" s="37" t="inlineStr">
        <is>
          <t>14</t>
        </is>
      </c>
      <c r="L128" s="37" t="inlineStr"/>
      <c r="M128" s="38" t="inlineStr">
        <is>
          <t>СК2</t>
        </is>
      </c>
      <c r="N128" s="38" t="n"/>
      <c r="O128" s="37" t="n">
        <v>40</v>
      </c>
      <c r="P128" s="1303">
        <f>HYPERLINK("https://abi.ru/products/Охлажденные/Вязанка/Сливушка/Сосиски/P003464/","Сосиски «Сливушки с сыром» ф/в 0,3 п/а ТМ «Вязанка»")</f>
        <v/>
      </c>
      <c r="Q128" s="1234" t="n"/>
      <c r="R128" s="1234" t="n"/>
      <c r="S128" s="1234" t="n"/>
      <c r="T128" s="1235" t="n"/>
      <c r="U128" s="39" t="inlineStr"/>
      <c r="V128" s="39" t="inlineStr"/>
      <c r="W128" s="40" t="inlineStr">
        <is>
          <t>кг</t>
        </is>
      </c>
      <c r="X128" s="1236" t="n">
        <v>0</v>
      </c>
      <c r="Y128" s="1237">
        <f>IFERROR(IF(X128="",0,CEILING((X128/$H128),1)*$H128),"")</f>
        <v/>
      </c>
      <c r="Z128" s="41">
        <f>IFERROR(IF(Y128=0,"",ROUNDUP(Y128/H128,0)*0.00651),"")</f>
        <v/>
      </c>
      <c r="AA128" s="68" t="inlineStr"/>
      <c r="AB128" s="69" t="inlineStr"/>
      <c r="AC128" s="210" t="inlineStr">
        <is>
          <t>ЕАЭС N RU Д-RU.РА05.В.77082/23, ЕАЭС N RU Д-RU.РА05.В.77149/23, ЕАЭС N RU Д-RU.РА05.В.77296/23</t>
        </is>
      </c>
      <c r="AG128" s="78" t="n"/>
      <c r="AJ128" s="84" t="inlineStr"/>
      <c r="AK128" s="84" t="n">
        <v>0</v>
      </c>
      <c r="BB128" s="211" t="inlineStr">
        <is>
          <t>КИ</t>
        </is>
      </c>
      <c r="BM128" s="78">
        <f>IFERROR(X128*I128/H128,"0")</f>
        <v/>
      </c>
      <c r="BN128" s="78">
        <f>IFERROR(Y128*I128/H128,"0")</f>
        <v/>
      </c>
      <c r="BO128" s="78">
        <f>IFERROR(1/J128*(X128/H128),"0")</f>
        <v/>
      </c>
      <c r="BP128" s="78">
        <f>IFERROR(1/J128*(Y128/H128),"0")</f>
        <v/>
      </c>
    </row>
    <row r="129">
      <c r="A129" s="843" t="n"/>
      <c r="B129" s="1182" t="n"/>
      <c r="C129" s="1182" t="n"/>
      <c r="D129" s="1182" t="n"/>
      <c r="E129" s="1182" t="n"/>
      <c r="F129" s="1182" t="n"/>
      <c r="G129" s="1182" t="n"/>
      <c r="H129" s="1182" t="n"/>
      <c r="I129" s="1182" t="n"/>
      <c r="J129" s="1182" t="n"/>
      <c r="K129" s="1182" t="n"/>
      <c r="L129" s="1182" t="n"/>
      <c r="M129" s="1182" t="n"/>
      <c r="N129" s="1182" t="n"/>
      <c r="O129" s="1241" t="n"/>
      <c r="P129" s="1242" t="inlineStr">
        <is>
          <t>Итого</t>
        </is>
      </c>
      <c r="Q129" s="1201" t="n"/>
      <c r="R129" s="1201" t="n"/>
      <c r="S129" s="1201" t="n"/>
      <c r="T129" s="1201" t="n"/>
      <c r="U129" s="1201" t="n"/>
      <c r="V129" s="1202" t="n"/>
      <c r="W129" s="42" t="inlineStr">
        <is>
          <t>кор</t>
        </is>
      </c>
      <c r="X129" s="1243">
        <f>IFERROR(X122/H122,"0")+IFERROR(X123/H123,"0")+IFERROR(X124/H124,"0")+IFERROR(X125/H125,"0")+IFERROR(X126/H126,"0")+IFERROR(X127/H127,"0")+IFERROR(X128/H128,"0")</f>
        <v/>
      </c>
      <c r="Y129" s="1243">
        <f>IFERROR(Y122/H122,"0")+IFERROR(Y123/H123,"0")+IFERROR(Y124/H124,"0")+IFERROR(Y125/H125,"0")+IFERROR(Y126/H126,"0")+IFERROR(Y127/H127,"0")+IFERROR(Y128/H128,"0")</f>
        <v/>
      </c>
      <c r="Z129" s="1243">
        <f>IFERROR(IF(Z122="",0,Z122),"0")+IFERROR(IF(Z123="",0,Z123),"0")+IFERROR(IF(Z124="",0,Z124),"0")+IFERROR(IF(Z125="",0,Z125),"0")+IFERROR(IF(Z126="",0,Z126),"0")+IFERROR(IF(Z127="",0,Z127),"0")+IFERROR(IF(Z128="",0,Z128),"0")</f>
        <v/>
      </c>
      <c r="AA129" s="1244" t="n"/>
      <c r="AB129" s="1244" t="n"/>
      <c r="AC129" s="1244" t="n"/>
    </row>
    <row r="130">
      <c r="A130" s="1182" t="n"/>
      <c r="B130" s="1182" t="n"/>
      <c r="C130" s="1182" t="n"/>
      <c r="D130" s="1182" t="n"/>
      <c r="E130" s="1182" t="n"/>
      <c r="F130" s="1182" t="n"/>
      <c r="G130" s="1182" t="n"/>
      <c r="H130" s="1182" t="n"/>
      <c r="I130" s="1182" t="n"/>
      <c r="J130" s="1182" t="n"/>
      <c r="K130" s="1182" t="n"/>
      <c r="L130" s="1182" t="n"/>
      <c r="M130" s="1182" t="n"/>
      <c r="N130" s="1182" t="n"/>
      <c r="O130" s="1241" t="n"/>
      <c r="P130" s="1242" t="inlineStr">
        <is>
          <t>Итого</t>
        </is>
      </c>
      <c r="Q130" s="1201" t="n"/>
      <c r="R130" s="1201" t="n"/>
      <c r="S130" s="1201" t="n"/>
      <c r="T130" s="1201" t="n"/>
      <c r="U130" s="1201" t="n"/>
      <c r="V130" s="1202" t="n"/>
      <c r="W130" s="42" t="inlineStr">
        <is>
          <t>кг</t>
        </is>
      </c>
      <c r="X130" s="1243">
        <f>IFERROR(SUM(X122:X128),"0")</f>
        <v/>
      </c>
      <c r="Y130" s="1243">
        <f>IFERROR(SUM(Y122:Y128),"0")</f>
        <v/>
      </c>
      <c r="Z130" s="42" t="n"/>
      <c r="AA130" s="1244" t="n"/>
      <c r="AB130" s="1244" t="n"/>
      <c r="AC130" s="1244" t="n"/>
    </row>
    <row r="131" ht="14.25" customHeight="1">
      <c r="A131" s="831" t="inlineStr">
        <is>
          <t>Сардельки</t>
        </is>
      </c>
      <c r="B131" s="1182" t="n"/>
      <c r="C131" s="1182" t="n"/>
      <c r="D131" s="1182" t="n"/>
      <c r="E131" s="1182" t="n"/>
      <c r="F131" s="1182" t="n"/>
      <c r="G131" s="1182" t="n"/>
      <c r="H131" s="1182" t="n"/>
      <c r="I131" s="1182" t="n"/>
      <c r="J131" s="1182" t="n"/>
      <c r="K131" s="1182" t="n"/>
      <c r="L131" s="1182" t="n"/>
      <c r="M131" s="1182" t="n"/>
      <c r="N131" s="1182" t="n"/>
      <c r="O131" s="1182" t="n"/>
      <c r="P131" s="1182" t="n"/>
      <c r="Q131" s="1182" t="n"/>
      <c r="R131" s="1182" t="n"/>
      <c r="S131" s="1182" t="n"/>
      <c r="T131" s="1182" t="n"/>
      <c r="U131" s="1182" t="n"/>
      <c r="V131" s="1182" t="n"/>
      <c r="W131" s="1182" t="n"/>
      <c r="X131" s="1182" t="n"/>
      <c r="Y131" s="1182" t="n"/>
      <c r="Z131" s="1182" t="n"/>
      <c r="AA131" s="831" t="n"/>
      <c r="AB131" s="831" t="n"/>
      <c r="AC131" s="831" t="n"/>
    </row>
    <row r="132" ht="37.5" customHeight="1">
      <c r="A132" s="63" t="inlineStr">
        <is>
          <t>SU002997</t>
        </is>
      </c>
      <c r="B132" s="63" t="inlineStr">
        <is>
          <t>P003465</t>
        </is>
      </c>
      <c r="C132" s="36" t="n">
        <v>4301060356</v>
      </c>
      <c r="D132" s="832" t="n">
        <v>4680115882652</v>
      </c>
      <c r="E132" s="1193" t="n"/>
      <c r="F132" s="1232" t="n">
        <v>0.33</v>
      </c>
      <c r="G132" s="37" t="n">
        <v>6</v>
      </c>
      <c r="H132" s="1232" t="n">
        <v>1.98</v>
      </c>
      <c r="I132" s="1232" t="n">
        <v>2.82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СК2</t>
        </is>
      </c>
      <c r="N132" s="38" t="n"/>
      <c r="O132" s="37" t="n">
        <v>40</v>
      </c>
      <c r="P132" s="1304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32" s="1234" t="n"/>
      <c r="R132" s="1234" t="n"/>
      <c r="S132" s="1234" t="n"/>
      <c r="T132" s="1235" t="n"/>
      <c r="U132" s="39" t="inlineStr"/>
      <c r="V132" s="39" t="inlineStr"/>
      <c r="W132" s="40" t="inlineStr">
        <is>
          <t>кг</t>
        </is>
      </c>
      <c r="X132" s="1236" t="n">
        <v>0</v>
      </c>
      <c r="Y132" s="1237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212" t="inlineStr">
        <is>
          <t>ЕАЭС N RU Д-RU.РА06.В.31864/23, ЕАЭС N RU Д-RU.РА06.В.31929/23, ЕАЭС N RU Д-RU.РА10.В.01810/23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27" customHeight="1">
      <c r="A133" s="63" t="inlineStr">
        <is>
          <t>SU002367</t>
        </is>
      </c>
      <c r="B133" s="63" t="inlineStr">
        <is>
          <t>P002644</t>
        </is>
      </c>
      <c r="C133" s="36" t="n">
        <v>4301060317</v>
      </c>
      <c r="D133" s="832" t="n">
        <v>4680115880238</v>
      </c>
      <c r="E133" s="1193" t="n"/>
      <c r="F133" s="1232" t="n">
        <v>0.33</v>
      </c>
      <c r="G133" s="37" t="n">
        <v>6</v>
      </c>
      <c r="H133" s="1232" t="n">
        <v>1.98</v>
      </c>
      <c r="I133" s="1232" t="n">
        <v>2.238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СК3</t>
        </is>
      </c>
      <c r="N133" s="38" t="n"/>
      <c r="O133" s="37" t="n">
        <v>40</v>
      </c>
      <c r="P133" s="1305">
        <f>HYPERLINK("https://abi.ru/products/Охлажденные/Вязанка/Сливушка/Сардельки/P002644/","Сардельки «Сливушки» фикс.вес 0,33 п/а мгс ТМ «Вязанка»")</f>
        <v/>
      </c>
      <c r="Q133" s="1234" t="n"/>
      <c r="R133" s="1234" t="n"/>
      <c r="S133" s="1234" t="n"/>
      <c r="T133" s="1235" t="n"/>
      <c r="U133" s="39" t="inlineStr"/>
      <c r="V133" s="39" t="inlineStr"/>
      <c r="W133" s="40" t="inlineStr">
        <is>
          <t>кг</t>
        </is>
      </c>
      <c r="X133" s="1236" t="n">
        <v>0</v>
      </c>
      <c r="Y133" s="1237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214" t="inlineStr">
        <is>
          <t>ЕАЭС N RU Д-RU.РА03.В.02429/22, ЕАЭС N RU Д-RU.РА10.В.09810/24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843" t="n"/>
      <c r="B134" s="1182" t="n"/>
      <c r="C134" s="1182" t="n"/>
      <c r="D134" s="1182" t="n"/>
      <c r="E134" s="1182" t="n"/>
      <c r="F134" s="1182" t="n"/>
      <c r="G134" s="1182" t="n"/>
      <c r="H134" s="1182" t="n"/>
      <c r="I134" s="1182" t="n"/>
      <c r="J134" s="1182" t="n"/>
      <c r="K134" s="1182" t="n"/>
      <c r="L134" s="1182" t="n"/>
      <c r="M134" s="1182" t="n"/>
      <c r="N134" s="1182" t="n"/>
      <c r="O134" s="1241" t="n"/>
      <c r="P134" s="1242" t="inlineStr">
        <is>
          <t>Итого</t>
        </is>
      </c>
      <c r="Q134" s="1201" t="n"/>
      <c r="R134" s="1201" t="n"/>
      <c r="S134" s="1201" t="n"/>
      <c r="T134" s="1201" t="n"/>
      <c r="U134" s="1201" t="n"/>
      <c r="V134" s="1202" t="n"/>
      <c r="W134" s="42" t="inlineStr">
        <is>
          <t>кор</t>
        </is>
      </c>
      <c r="X134" s="1243">
        <f>IFERROR(X132/H132,"0")+IFERROR(X133/H133,"0")</f>
        <v/>
      </c>
      <c r="Y134" s="1243">
        <f>IFERROR(Y132/H132,"0")+IFERROR(Y133/H133,"0")</f>
        <v/>
      </c>
      <c r="Z134" s="1243">
        <f>IFERROR(IF(Z132="",0,Z132),"0")+IFERROR(IF(Z133="",0,Z133),"0")</f>
        <v/>
      </c>
      <c r="AA134" s="1244" t="n"/>
      <c r="AB134" s="1244" t="n"/>
      <c r="AC134" s="1244" t="n"/>
    </row>
    <row r="135">
      <c r="A135" s="1182" t="n"/>
      <c r="B135" s="1182" t="n"/>
      <c r="C135" s="1182" t="n"/>
      <c r="D135" s="1182" t="n"/>
      <c r="E135" s="1182" t="n"/>
      <c r="F135" s="1182" t="n"/>
      <c r="G135" s="1182" t="n"/>
      <c r="H135" s="1182" t="n"/>
      <c r="I135" s="1182" t="n"/>
      <c r="J135" s="1182" t="n"/>
      <c r="K135" s="1182" t="n"/>
      <c r="L135" s="1182" t="n"/>
      <c r="M135" s="1182" t="n"/>
      <c r="N135" s="1182" t="n"/>
      <c r="O135" s="1241" t="n"/>
      <c r="P135" s="1242" t="inlineStr">
        <is>
          <t>Итого</t>
        </is>
      </c>
      <c r="Q135" s="1201" t="n"/>
      <c r="R135" s="1201" t="n"/>
      <c r="S135" s="1201" t="n"/>
      <c r="T135" s="1201" t="n"/>
      <c r="U135" s="1201" t="n"/>
      <c r="V135" s="1202" t="n"/>
      <c r="W135" s="42" t="inlineStr">
        <is>
          <t>кг</t>
        </is>
      </c>
      <c r="X135" s="1243">
        <f>IFERROR(SUM(X132:X133),"0")</f>
        <v/>
      </c>
      <c r="Y135" s="1243">
        <f>IFERROR(SUM(Y132:Y133),"0")</f>
        <v/>
      </c>
      <c r="Z135" s="42" t="n"/>
      <c r="AA135" s="1244" t="n"/>
      <c r="AB135" s="1244" t="n"/>
      <c r="AC135" s="1244" t="n"/>
    </row>
    <row r="136" ht="16.5" customHeight="1">
      <c r="A136" s="830" t="inlineStr">
        <is>
          <t>Халяль</t>
        </is>
      </c>
      <c r="B136" s="1182" t="n"/>
      <c r="C136" s="1182" t="n"/>
      <c r="D136" s="1182" t="n"/>
      <c r="E136" s="1182" t="n"/>
      <c r="F136" s="1182" t="n"/>
      <c r="G136" s="1182" t="n"/>
      <c r="H136" s="1182" t="n"/>
      <c r="I136" s="1182" t="n"/>
      <c r="J136" s="1182" t="n"/>
      <c r="K136" s="1182" t="n"/>
      <c r="L136" s="1182" t="n"/>
      <c r="M136" s="1182" t="n"/>
      <c r="N136" s="1182" t="n"/>
      <c r="O136" s="1182" t="n"/>
      <c r="P136" s="1182" t="n"/>
      <c r="Q136" s="1182" t="n"/>
      <c r="R136" s="1182" t="n"/>
      <c r="S136" s="1182" t="n"/>
      <c r="T136" s="1182" t="n"/>
      <c r="U136" s="1182" t="n"/>
      <c r="V136" s="1182" t="n"/>
      <c r="W136" s="1182" t="n"/>
      <c r="X136" s="1182" t="n"/>
      <c r="Y136" s="1182" t="n"/>
      <c r="Z136" s="1182" t="n"/>
      <c r="AA136" s="830" t="n"/>
      <c r="AB136" s="830" t="n"/>
      <c r="AC136" s="830" t="n"/>
    </row>
    <row r="137" ht="14.25" customHeight="1">
      <c r="A137" s="831" t="inlineStr">
        <is>
          <t>Вареные колбасы</t>
        </is>
      </c>
      <c r="B137" s="1182" t="n"/>
      <c r="C137" s="1182" t="n"/>
      <c r="D137" s="1182" t="n"/>
      <c r="E137" s="1182" t="n"/>
      <c r="F137" s="1182" t="n"/>
      <c r="G137" s="1182" t="n"/>
      <c r="H137" s="1182" t="n"/>
      <c r="I137" s="1182" t="n"/>
      <c r="J137" s="1182" t="n"/>
      <c r="K137" s="1182" t="n"/>
      <c r="L137" s="1182" t="n"/>
      <c r="M137" s="1182" t="n"/>
      <c r="N137" s="1182" t="n"/>
      <c r="O137" s="1182" t="n"/>
      <c r="P137" s="1182" t="n"/>
      <c r="Q137" s="1182" t="n"/>
      <c r="R137" s="1182" t="n"/>
      <c r="S137" s="1182" t="n"/>
      <c r="T137" s="1182" t="n"/>
      <c r="U137" s="1182" t="n"/>
      <c r="V137" s="1182" t="n"/>
      <c r="W137" s="1182" t="n"/>
      <c r="X137" s="1182" t="n"/>
      <c r="Y137" s="1182" t="n"/>
      <c r="Z137" s="1182" t="n"/>
      <c r="AA137" s="831" t="n"/>
      <c r="AB137" s="831" t="n"/>
      <c r="AC137" s="831" t="n"/>
    </row>
    <row r="138" ht="27" customHeight="1">
      <c r="A138" s="63" t="inlineStr">
        <is>
          <t>SU002983</t>
        </is>
      </c>
      <c r="B138" s="63" t="inlineStr">
        <is>
          <t>P003441</t>
        </is>
      </c>
      <c r="C138" s="36" t="n">
        <v>4301011564</v>
      </c>
      <c r="D138" s="832" t="n">
        <v>4680115882577</v>
      </c>
      <c r="E138" s="1193" t="n"/>
      <c r="F138" s="1232" t="n">
        <v>0.4</v>
      </c>
      <c r="G138" s="37" t="n">
        <v>8</v>
      </c>
      <c r="H138" s="1232" t="n">
        <v>3.2</v>
      </c>
      <c r="I138" s="1232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306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8" s="1234" t="n"/>
      <c r="R138" s="1234" t="n"/>
      <c r="S138" s="1234" t="n"/>
      <c r="T138" s="1235" t="n"/>
      <c r="U138" s="39" t="inlineStr"/>
      <c r="V138" s="39" t="inlineStr"/>
      <c r="W138" s="40" t="inlineStr">
        <is>
          <t>кг</t>
        </is>
      </c>
      <c r="X138" s="1236" t="n">
        <v>0</v>
      </c>
      <c r="Y138" s="1237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SU002983</t>
        </is>
      </c>
      <c r="B139" s="63" t="inlineStr">
        <is>
          <t>P003437</t>
        </is>
      </c>
      <c r="C139" s="36" t="n">
        <v>4301011562</v>
      </c>
      <c r="D139" s="832" t="n">
        <v>4680115882577</v>
      </c>
      <c r="E139" s="1193" t="n"/>
      <c r="F139" s="1232" t="n">
        <v>0.4</v>
      </c>
      <c r="G139" s="37" t="n">
        <v>8</v>
      </c>
      <c r="H139" s="1232" t="n">
        <v>3.2</v>
      </c>
      <c r="I139" s="1232" t="n">
        <v>3.38</v>
      </c>
      <c r="J139" s="37" t="n">
        <v>182</v>
      </c>
      <c r="K139" s="37" t="inlineStr">
        <is>
          <t>14</t>
        </is>
      </c>
      <c r="L139" s="37" t="inlineStr"/>
      <c r="M139" s="38" t="inlineStr">
        <is>
          <t>АК</t>
        </is>
      </c>
      <c r="N139" s="38" t="n"/>
      <c r="O139" s="37" t="n">
        <v>90</v>
      </c>
      <c r="P139" s="1307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9" s="1234" t="n"/>
      <c r="R139" s="1234" t="n"/>
      <c r="S139" s="1234" t="n"/>
      <c r="T139" s="1235" t="n"/>
      <c r="U139" s="39" t="inlineStr"/>
      <c r="V139" s="39" t="inlineStr"/>
      <c r="W139" s="40" t="inlineStr">
        <is>
          <t>кг</t>
        </is>
      </c>
      <c r="X139" s="1236" t="n">
        <v>40</v>
      </c>
      <c r="Y139" s="1237">
        <f>IFERROR(IF(X139="",0,CEILING((X139/$H139),1)*$H139),"")</f>
        <v/>
      </c>
      <c r="Z139" s="41">
        <f>IFERROR(IF(Y139=0,"",ROUNDUP(Y139/H139,0)*0.00651),"")</f>
        <v/>
      </c>
      <c r="AA139" s="68" t="inlineStr"/>
      <c r="AB139" s="69" t="inlineStr"/>
      <c r="AC139" s="218" t="inlineStr">
        <is>
          <t>ЕАЭС N RU Д-RU.РА05.В.96405/23</t>
        </is>
      </c>
      <c r="AG139" s="78" t="n"/>
      <c r="AJ139" s="84" t="inlineStr"/>
      <c r="AK139" s="84" t="n">
        <v>0</v>
      </c>
      <c r="BB139" s="219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>
      <c r="A140" s="843" t="n"/>
      <c r="B140" s="1182" t="n"/>
      <c r="C140" s="1182" t="n"/>
      <c r="D140" s="1182" t="n"/>
      <c r="E140" s="1182" t="n"/>
      <c r="F140" s="1182" t="n"/>
      <c r="G140" s="1182" t="n"/>
      <c r="H140" s="1182" t="n"/>
      <c r="I140" s="1182" t="n"/>
      <c r="J140" s="1182" t="n"/>
      <c r="K140" s="1182" t="n"/>
      <c r="L140" s="1182" t="n"/>
      <c r="M140" s="1182" t="n"/>
      <c r="N140" s="1182" t="n"/>
      <c r="O140" s="1241" t="n"/>
      <c r="P140" s="1242" t="inlineStr">
        <is>
          <t>Итого</t>
        </is>
      </c>
      <c r="Q140" s="1201" t="n"/>
      <c r="R140" s="1201" t="n"/>
      <c r="S140" s="1201" t="n"/>
      <c r="T140" s="1201" t="n"/>
      <c r="U140" s="1201" t="n"/>
      <c r="V140" s="1202" t="n"/>
      <c r="W140" s="42" t="inlineStr">
        <is>
          <t>кор</t>
        </is>
      </c>
      <c r="X140" s="1243">
        <f>IFERROR(X138/H138,"0")+IFERROR(X139/H139,"0")</f>
        <v/>
      </c>
      <c r="Y140" s="1243">
        <f>IFERROR(Y138/H138,"0")+IFERROR(Y139/H139,"0")</f>
        <v/>
      </c>
      <c r="Z140" s="1243">
        <f>IFERROR(IF(Z138="",0,Z138),"0")+IFERROR(IF(Z139="",0,Z139),"0")</f>
        <v/>
      </c>
      <c r="AA140" s="1244" t="n"/>
      <c r="AB140" s="1244" t="n"/>
      <c r="AC140" s="1244" t="n"/>
    </row>
    <row r="141">
      <c r="A141" s="1182" t="n"/>
      <c r="B141" s="1182" t="n"/>
      <c r="C141" s="1182" t="n"/>
      <c r="D141" s="1182" t="n"/>
      <c r="E141" s="1182" t="n"/>
      <c r="F141" s="1182" t="n"/>
      <c r="G141" s="1182" t="n"/>
      <c r="H141" s="1182" t="n"/>
      <c r="I141" s="1182" t="n"/>
      <c r="J141" s="1182" t="n"/>
      <c r="K141" s="1182" t="n"/>
      <c r="L141" s="1182" t="n"/>
      <c r="M141" s="1182" t="n"/>
      <c r="N141" s="1182" t="n"/>
      <c r="O141" s="1241" t="n"/>
      <c r="P141" s="1242" t="inlineStr">
        <is>
          <t>Итого</t>
        </is>
      </c>
      <c r="Q141" s="1201" t="n"/>
      <c r="R141" s="1201" t="n"/>
      <c r="S141" s="1201" t="n"/>
      <c r="T141" s="1201" t="n"/>
      <c r="U141" s="1201" t="n"/>
      <c r="V141" s="1202" t="n"/>
      <c r="W141" s="42" t="inlineStr">
        <is>
          <t>кг</t>
        </is>
      </c>
      <c r="X141" s="1243">
        <f>IFERROR(SUM(X138:X139),"0")</f>
        <v/>
      </c>
      <c r="Y141" s="1243">
        <f>IFERROR(SUM(Y138:Y139),"0")</f>
        <v/>
      </c>
      <c r="Z141" s="42" t="n"/>
      <c r="AA141" s="1244" t="n"/>
      <c r="AB141" s="1244" t="n"/>
      <c r="AC141" s="1244" t="n"/>
    </row>
    <row r="142" ht="14.25" customHeight="1">
      <c r="A142" s="831" t="inlineStr">
        <is>
          <t>Копченые колбасы</t>
        </is>
      </c>
      <c r="B142" s="1182" t="n"/>
      <c r="C142" s="1182" t="n"/>
      <c r="D142" s="1182" t="n"/>
      <c r="E142" s="1182" t="n"/>
      <c r="F142" s="1182" t="n"/>
      <c r="G142" s="1182" t="n"/>
      <c r="H142" s="1182" t="n"/>
      <c r="I142" s="1182" t="n"/>
      <c r="J142" s="1182" t="n"/>
      <c r="K142" s="1182" t="n"/>
      <c r="L142" s="1182" t="n"/>
      <c r="M142" s="1182" t="n"/>
      <c r="N142" s="1182" t="n"/>
      <c r="O142" s="1182" t="n"/>
      <c r="P142" s="1182" t="n"/>
      <c r="Q142" s="1182" t="n"/>
      <c r="R142" s="1182" t="n"/>
      <c r="S142" s="1182" t="n"/>
      <c r="T142" s="1182" t="n"/>
      <c r="U142" s="1182" t="n"/>
      <c r="V142" s="1182" t="n"/>
      <c r="W142" s="1182" t="n"/>
      <c r="X142" s="1182" t="n"/>
      <c r="Y142" s="1182" t="n"/>
      <c r="Z142" s="1182" t="n"/>
      <c r="AA142" s="831" t="n"/>
      <c r="AB142" s="831" t="n"/>
      <c r="AC142" s="831" t="n"/>
    </row>
    <row r="143" ht="27" customHeight="1">
      <c r="A143" s="63" t="inlineStr">
        <is>
          <t>SU002985</t>
        </is>
      </c>
      <c r="B143" s="63" t="inlineStr">
        <is>
          <t>P003442</t>
        </is>
      </c>
      <c r="C143" s="36" t="n">
        <v>4301031235</v>
      </c>
      <c r="D143" s="832" t="n">
        <v>4680115883444</v>
      </c>
      <c r="E143" s="1193" t="n"/>
      <c r="F143" s="1232" t="n">
        <v>0.35</v>
      </c>
      <c r="G143" s="37" t="n">
        <v>8</v>
      </c>
      <c r="H143" s="1232" t="n">
        <v>2.8</v>
      </c>
      <c r="I143" s="1232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308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3" s="1234" t="n"/>
      <c r="R143" s="1234" t="n"/>
      <c r="S143" s="1234" t="n"/>
      <c r="T143" s="1235" t="n"/>
      <c r="U143" s="39" t="inlineStr"/>
      <c r="V143" s="39" t="inlineStr"/>
      <c r="W143" s="40" t="inlineStr">
        <is>
          <t>кг</t>
        </is>
      </c>
      <c r="X143" s="1236" t="n">
        <v>0</v>
      </c>
      <c r="Y143" s="1237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27" customHeight="1">
      <c r="A144" s="63" t="inlineStr">
        <is>
          <t>SU002985</t>
        </is>
      </c>
      <c r="B144" s="63" t="inlineStr">
        <is>
          <t>P003439</t>
        </is>
      </c>
      <c r="C144" s="36" t="n">
        <v>4301031234</v>
      </c>
      <c r="D144" s="832" t="n">
        <v>4680115883444</v>
      </c>
      <c r="E144" s="1193" t="n"/>
      <c r="F144" s="1232" t="n">
        <v>0.35</v>
      </c>
      <c r="G144" s="37" t="n">
        <v>8</v>
      </c>
      <c r="H144" s="1232" t="n">
        <v>2.8</v>
      </c>
      <c r="I144" s="1232" t="n">
        <v>3.068</v>
      </c>
      <c r="J144" s="37" t="n">
        <v>182</v>
      </c>
      <c r="K144" s="37" t="inlineStr">
        <is>
          <t>14</t>
        </is>
      </c>
      <c r="L144" s="37" t="inlineStr"/>
      <c r="M144" s="38" t="inlineStr">
        <is>
          <t>АК</t>
        </is>
      </c>
      <c r="N144" s="38" t="n"/>
      <c r="O144" s="37" t="n">
        <v>90</v>
      </c>
      <c r="P144" s="1309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4" s="1234" t="n"/>
      <c r="R144" s="1234" t="n"/>
      <c r="S144" s="1234" t="n"/>
      <c r="T144" s="1235" t="n"/>
      <c r="U144" s="39" t="inlineStr"/>
      <c r="V144" s="39" t="inlineStr"/>
      <c r="W144" s="40" t="inlineStr">
        <is>
          <t>кг</t>
        </is>
      </c>
      <c r="X144" s="1236" t="n">
        <v>42</v>
      </c>
      <c r="Y144" s="1237">
        <f>IFERROR(IF(X144="",0,CEILING((X144/$H144),1)*$H144),"")</f>
        <v/>
      </c>
      <c r="Z144" s="41">
        <f>IFERROR(IF(Y144=0,"",ROUNDUP(Y144/H144,0)*0.00651),"")</f>
        <v/>
      </c>
      <c r="AA144" s="68" t="inlineStr"/>
      <c r="AB144" s="69" t="inlineStr"/>
      <c r="AC144" s="222" t="inlineStr">
        <is>
          <t>ЕАЭС N RU Д-RU.РА08.В.16764/23</t>
        </is>
      </c>
      <c r="AG144" s="78" t="n"/>
      <c r="AJ144" s="84" t="inlineStr"/>
      <c r="AK144" s="84" t="n">
        <v>0</v>
      </c>
      <c r="BB144" s="223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>
      <c r="A145" s="843" t="n"/>
      <c r="B145" s="1182" t="n"/>
      <c r="C145" s="1182" t="n"/>
      <c r="D145" s="1182" t="n"/>
      <c r="E145" s="1182" t="n"/>
      <c r="F145" s="1182" t="n"/>
      <c r="G145" s="1182" t="n"/>
      <c r="H145" s="1182" t="n"/>
      <c r="I145" s="1182" t="n"/>
      <c r="J145" s="1182" t="n"/>
      <c r="K145" s="1182" t="n"/>
      <c r="L145" s="1182" t="n"/>
      <c r="M145" s="1182" t="n"/>
      <c r="N145" s="1182" t="n"/>
      <c r="O145" s="1241" t="n"/>
      <c r="P145" s="1242" t="inlineStr">
        <is>
          <t>Итого</t>
        </is>
      </c>
      <c r="Q145" s="1201" t="n"/>
      <c r="R145" s="1201" t="n"/>
      <c r="S145" s="1201" t="n"/>
      <c r="T145" s="1201" t="n"/>
      <c r="U145" s="1201" t="n"/>
      <c r="V145" s="1202" t="n"/>
      <c r="W145" s="42" t="inlineStr">
        <is>
          <t>кор</t>
        </is>
      </c>
      <c r="X145" s="1243">
        <f>IFERROR(X143/H143,"0")+IFERROR(X144/H144,"0")</f>
        <v/>
      </c>
      <c r="Y145" s="1243">
        <f>IFERROR(Y143/H143,"0")+IFERROR(Y144/H144,"0")</f>
        <v/>
      </c>
      <c r="Z145" s="1243">
        <f>IFERROR(IF(Z143="",0,Z143),"0")+IFERROR(IF(Z144="",0,Z144),"0")</f>
        <v/>
      </c>
      <c r="AA145" s="1244" t="n"/>
      <c r="AB145" s="1244" t="n"/>
      <c r="AC145" s="1244" t="n"/>
    </row>
    <row r="146">
      <c r="A146" s="1182" t="n"/>
      <c r="B146" s="1182" t="n"/>
      <c r="C146" s="1182" t="n"/>
      <c r="D146" s="1182" t="n"/>
      <c r="E146" s="1182" t="n"/>
      <c r="F146" s="1182" t="n"/>
      <c r="G146" s="1182" t="n"/>
      <c r="H146" s="1182" t="n"/>
      <c r="I146" s="1182" t="n"/>
      <c r="J146" s="1182" t="n"/>
      <c r="K146" s="1182" t="n"/>
      <c r="L146" s="1182" t="n"/>
      <c r="M146" s="1182" t="n"/>
      <c r="N146" s="1182" t="n"/>
      <c r="O146" s="1241" t="n"/>
      <c r="P146" s="1242" t="inlineStr">
        <is>
          <t>Итого</t>
        </is>
      </c>
      <c r="Q146" s="1201" t="n"/>
      <c r="R146" s="1201" t="n"/>
      <c r="S146" s="1201" t="n"/>
      <c r="T146" s="1201" t="n"/>
      <c r="U146" s="1201" t="n"/>
      <c r="V146" s="1202" t="n"/>
      <c r="W146" s="42" t="inlineStr">
        <is>
          <t>кг</t>
        </is>
      </c>
      <c r="X146" s="1243">
        <f>IFERROR(SUM(X143:X144),"0")</f>
        <v/>
      </c>
      <c r="Y146" s="1243">
        <f>IFERROR(SUM(Y143:Y144),"0")</f>
        <v/>
      </c>
      <c r="Z146" s="42" t="n"/>
      <c r="AA146" s="1244" t="n"/>
      <c r="AB146" s="1244" t="n"/>
      <c r="AC146" s="1244" t="n"/>
    </row>
    <row r="147" ht="14.25" customHeight="1">
      <c r="A147" s="831" t="inlineStr">
        <is>
          <t>Сосиски</t>
        </is>
      </c>
      <c r="B147" s="1182" t="n"/>
      <c r="C147" s="1182" t="n"/>
      <c r="D147" s="1182" t="n"/>
      <c r="E147" s="1182" t="n"/>
      <c r="F147" s="1182" t="n"/>
      <c r="G147" s="1182" t="n"/>
      <c r="H147" s="1182" t="n"/>
      <c r="I147" s="1182" t="n"/>
      <c r="J147" s="1182" t="n"/>
      <c r="K147" s="1182" t="n"/>
      <c r="L147" s="1182" t="n"/>
      <c r="M147" s="1182" t="n"/>
      <c r="N147" s="1182" t="n"/>
      <c r="O147" s="1182" t="n"/>
      <c r="P147" s="1182" t="n"/>
      <c r="Q147" s="1182" t="n"/>
      <c r="R147" s="1182" t="n"/>
      <c r="S147" s="1182" t="n"/>
      <c r="T147" s="1182" t="n"/>
      <c r="U147" s="1182" t="n"/>
      <c r="V147" s="1182" t="n"/>
      <c r="W147" s="1182" t="n"/>
      <c r="X147" s="1182" t="n"/>
      <c r="Y147" s="1182" t="n"/>
      <c r="Z147" s="1182" t="n"/>
      <c r="AA147" s="831" t="n"/>
      <c r="AB147" s="831" t="n"/>
      <c r="AC147" s="831" t="n"/>
    </row>
    <row r="148" ht="16.5" customHeight="1">
      <c r="A148" s="63" t="inlineStr">
        <is>
          <t>SU002984</t>
        </is>
      </c>
      <c r="B148" s="63" t="inlineStr">
        <is>
          <t>P003440</t>
        </is>
      </c>
      <c r="C148" s="36" t="n">
        <v>4301051477</v>
      </c>
      <c r="D148" s="832" t="n">
        <v>4680115882584</v>
      </c>
      <c r="E148" s="1193" t="n"/>
      <c r="F148" s="1232" t="n">
        <v>0.33</v>
      </c>
      <c r="G148" s="37" t="n">
        <v>8</v>
      </c>
      <c r="H148" s="1232" t="n">
        <v>2.64</v>
      </c>
      <c r="I148" s="1232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310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8" s="1234" t="n"/>
      <c r="R148" s="1234" t="n"/>
      <c r="S148" s="1234" t="n"/>
      <c r="T148" s="1235" t="n"/>
      <c r="U148" s="39" t="inlineStr"/>
      <c r="V148" s="39" t="inlineStr"/>
      <c r="W148" s="40" t="inlineStr">
        <is>
          <t>кг</t>
        </is>
      </c>
      <c r="X148" s="1236" t="n">
        <v>0</v>
      </c>
      <c r="Y148" s="1237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 ht="16.5" customHeight="1">
      <c r="A149" s="63" t="inlineStr">
        <is>
          <t>SU002984</t>
        </is>
      </c>
      <c r="B149" s="63" t="inlineStr">
        <is>
          <t>P003438</t>
        </is>
      </c>
      <c r="C149" s="36" t="n">
        <v>4301051476</v>
      </c>
      <c r="D149" s="832" t="n">
        <v>4680115882584</v>
      </c>
      <c r="E149" s="1193" t="n"/>
      <c r="F149" s="1232" t="n">
        <v>0.33</v>
      </c>
      <c r="G149" s="37" t="n">
        <v>8</v>
      </c>
      <c r="H149" s="1232" t="n">
        <v>2.64</v>
      </c>
      <c r="I149" s="1232" t="n">
        <v>2.908</v>
      </c>
      <c r="J149" s="37" t="n">
        <v>182</v>
      </c>
      <c r="K149" s="37" t="inlineStr">
        <is>
          <t>14</t>
        </is>
      </c>
      <c r="L149" s="37" t="inlineStr"/>
      <c r="M149" s="38" t="inlineStr">
        <is>
          <t>АК</t>
        </is>
      </c>
      <c r="N149" s="38" t="n"/>
      <c r="O149" s="37" t="n">
        <v>60</v>
      </c>
      <c r="P149" s="131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9" s="1234" t="n"/>
      <c r="R149" s="1234" t="n"/>
      <c r="S149" s="1234" t="n"/>
      <c r="T149" s="1235" t="n"/>
      <c r="U149" s="39" t="inlineStr"/>
      <c r="V149" s="39" t="inlineStr"/>
      <c r="W149" s="40" t="inlineStr">
        <is>
          <t>кг</t>
        </is>
      </c>
      <c r="X149" s="1236" t="n">
        <v>49.5</v>
      </c>
      <c r="Y149" s="1237">
        <f>IFERROR(IF(X149="",0,CEILING((X149/$H149),1)*$H149),"")</f>
        <v/>
      </c>
      <c r="Z149" s="41">
        <f>IFERROR(IF(Y149=0,"",ROUNDUP(Y149/H149,0)*0.00651),"")</f>
        <v/>
      </c>
      <c r="AA149" s="68" t="inlineStr"/>
      <c r="AB149" s="69" t="inlineStr"/>
      <c r="AC149" s="226" t="inlineStr">
        <is>
          <t>ЕАЭС N RU Д-RU.РА05.В.96405/23</t>
        </is>
      </c>
      <c r="AG149" s="78" t="n"/>
      <c r="AJ149" s="84" t="inlineStr"/>
      <c r="AK149" s="84" t="n">
        <v>0</v>
      </c>
      <c r="BB149" s="227" t="inlineStr">
        <is>
          <t>КИ</t>
        </is>
      </c>
      <c r="BM149" s="78">
        <f>IFERROR(X149*I149/H149,"0")</f>
        <v/>
      </c>
      <c r="BN149" s="78">
        <f>IFERROR(Y149*I149/H149,"0")</f>
        <v/>
      </c>
      <c r="BO149" s="78">
        <f>IFERROR(1/J149*(X149/H149),"0")</f>
        <v/>
      </c>
      <c r="BP149" s="78">
        <f>IFERROR(1/J149*(Y149/H149),"0")</f>
        <v/>
      </c>
    </row>
    <row r="150">
      <c r="A150" s="843" t="n"/>
      <c r="B150" s="1182" t="n"/>
      <c r="C150" s="1182" t="n"/>
      <c r="D150" s="1182" t="n"/>
      <c r="E150" s="1182" t="n"/>
      <c r="F150" s="1182" t="n"/>
      <c r="G150" s="1182" t="n"/>
      <c r="H150" s="1182" t="n"/>
      <c r="I150" s="1182" t="n"/>
      <c r="J150" s="1182" t="n"/>
      <c r="K150" s="1182" t="n"/>
      <c r="L150" s="1182" t="n"/>
      <c r="M150" s="1182" t="n"/>
      <c r="N150" s="1182" t="n"/>
      <c r="O150" s="1241" t="n"/>
      <c r="P150" s="1242" t="inlineStr">
        <is>
          <t>Итого</t>
        </is>
      </c>
      <c r="Q150" s="1201" t="n"/>
      <c r="R150" s="1201" t="n"/>
      <c r="S150" s="1201" t="n"/>
      <c r="T150" s="1201" t="n"/>
      <c r="U150" s="1201" t="n"/>
      <c r="V150" s="1202" t="n"/>
      <c r="W150" s="42" t="inlineStr">
        <is>
          <t>кор</t>
        </is>
      </c>
      <c r="X150" s="1243">
        <f>IFERROR(X148/H148,"0")+IFERROR(X149/H149,"0")</f>
        <v/>
      </c>
      <c r="Y150" s="1243">
        <f>IFERROR(Y148/H148,"0")+IFERROR(Y149/H149,"0")</f>
        <v/>
      </c>
      <c r="Z150" s="1243">
        <f>IFERROR(IF(Z148="",0,Z148),"0")+IFERROR(IF(Z149="",0,Z149),"0")</f>
        <v/>
      </c>
      <c r="AA150" s="1244" t="n"/>
      <c r="AB150" s="1244" t="n"/>
      <c r="AC150" s="1244" t="n"/>
    </row>
    <row r="151">
      <c r="A151" s="1182" t="n"/>
      <c r="B151" s="1182" t="n"/>
      <c r="C151" s="1182" t="n"/>
      <c r="D151" s="1182" t="n"/>
      <c r="E151" s="1182" t="n"/>
      <c r="F151" s="1182" t="n"/>
      <c r="G151" s="1182" t="n"/>
      <c r="H151" s="1182" t="n"/>
      <c r="I151" s="1182" t="n"/>
      <c r="J151" s="1182" t="n"/>
      <c r="K151" s="1182" t="n"/>
      <c r="L151" s="1182" t="n"/>
      <c r="M151" s="1182" t="n"/>
      <c r="N151" s="1182" t="n"/>
      <c r="O151" s="1241" t="n"/>
      <c r="P151" s="1242" t="inlineStr">
        <is>
          <t>Итого</t>
        </is>
      </c>
      <c r="Q151" s="1201" t="n"/>
      <c r="R151" s="1201" t="n"/>
      <c r="S151" s="1201" t="n"/>
      <c r="T151" s="1201" t="n"/>
      <c r="U151" s="1201" t="n"/>
      <c r="V151" s="1202" t="n"/>
      <c r="W151" s="42" t="inlineStr">
        <is>
          <t>кг</t>
        </is>
      </c>
      <c r="X151" s="1243">
        <f>IFERROR(SUM(X148:X149),"0")</f>
        <v/>
      </c>
      <c r="Y151" s="1243">
        <f>IFERROR(SUM(Y148:Y149),"0")</f>
        <v/>
      </c>
      <c r="Z151" s="42" t="n"/>
      <c r="AA151" s="1244" t="n"/>
      <c r="AB151" s="1244" t="n"/>
      <c r="AC151" s="1244" t="n"/>
    </row>
    <row r="152" ht="16.5" customHeight="1">
      <c r="A152" s="830" t="inlineStr">
        <is>
          <t>Вязанка</t>
        </is>
      </c>
      <c r="B152" s="1182" t="n"/>
      <c r="C152" s="1182" t="n"/>
      <c r="D152" s="1182" t="n"/>
      <c r="E152" s="1182" t="n"/>
      <c r="F152" s="1182" t="n"/>
      <c r="G152" s="1182" t="n"/>
      <c r="H152" s="1182" t="n"/>
      <c r="I152" s="1182" t="n"/>
      <c r="J152" s="1182" t="n"/>
      <c r="K152" s="1182" t="n"/>
      <c r="L152" s="1182" t="n"/>
      <c r="M152" s="1182" t="n"/>
      <c r="N152" s="1182" t="n"/>
      <c r="O152" s="1182" t="n"/>
      <c r="P152" s="1182" t="n"/>
      <c r="Q152" s="1182" t="n"/>
      <c r="R152" s="1182" t="n"/>
      <c r="S152" s="1182" t="n"/>
      <c r="T152" s="1182" t="n"/>
      <c r="U152" s="1182" t="n"/>
      <c r="V152" s="1182" t="n"/>
      <c r="W152" s="1182" t="n"/>
      <c r="X152" s="1182" t="n"/>
      <c r="Y152" s="1182" t="n"/>
      <c r="Z152" s="1182" t="n"/>
      <c r="AA152" s="830" t="n"/>
      <c r="AB152" s="830" t="n"/>
      <c r="AC152" s="830" t="n"/>
    </row>
    <row r="153" ht="14.25" customHeight="1">
      <c r="A153" s="831" t="inlineStr">
        <is>
          <t>Вареные колбасы</t>
        </is>
      </c>
      <c r="B153" s="1182" t="n"/>
      <c r="C153" s="1182" t="n"/>
      <c r="D153" s="1182" t="n"/>
      <c r="E153" s="1182" t="n"/>
      <c r="F153" s="1182" t="n"/>
      <c r="G153" s="1182" t="n"/>
      <c r="H153" s="1182" t="n"/>
      <c r="I153" s="1182" t="n"/>
      <c r="J153" s="1182" t="n"/>
      <c r="K153" s="1182" t="n"/>
      <c r="L153" s="1182" t="n"/>
      <c r="M153" s="1182" t="n"/>
      <c r="N153" s="1182" t="n"/>
      <c r="O153" s="1182" t="n"/>
      <c r="P153" s="1182" t="n"/>
      <c r="Q153" s="1182" t="n"/>
      <c r="R153" s="1182" t="n"/>
      <c r="S153" s="1182" t="n"/>
      <c r="T153" s="1182" t="n"/>
      <c r="U153" s="1182" t="n"/>
      <c r="V153" s="1182" t="n"/>
      <c r="W153" s="1182" t="n"/>
      <c r="X153" s="1182" t="n"/>
      <c r="Y153" s="1182" t="n"/>
      <c r="Z153" s="1182" t="n"/>
      <c r="AA153" s="831" t="n"/>
      <c r="AB153" s="831" t="n"/>
      <c r="AC153" s="831" t="n"/>
    </row>
    <row r="154" ht="27" customHeight="1">
      <c r="A154" s="63" t="inlineStr">
        <is>
          <t>SU002312</t>
        </is>
      </c>
      <c r="B154" s="63" t="inlineStr">
        <is>
          <t>P003913</t>
        </is>
      </c>
      <c r="C154" s="36" t="n">
        <v>4301011705</v>
      </c>
      <c r="D154" s="832" t="n">
        <v>4607091384604</v>
      </c>
      <c r="E154" s="1193" t="n"/>
      <c r="F154" s="1232" t="n">
        <v>0.4</v>
      </c>
      <c r="G154" s="37" t="n">
        <v>10</v>
      </c>
      <c r="H154" s="1232" t="n">
        <v>4</v>
      </c>
      <c r="I154" s="1232" t="n">
        <v>4.21</v>
      </c>
      <c r="J154" s="37" t="n">
        <v>132</v>
      </c>
      <c r="K154" s="37" t="inlineStr">
        <is>
          <t>12</t>
        </is>
      </c>
      <c r="L154" s="37" t="inlineStr"/>
      <c r="M154" s="38" t="inlineStr">
        <is>
          <t>СК1</t>
        </is>
      </c>
      <c r="N154" s="38" t="n"/>
      <c r="O154" s="37" t="n">
        <v>50</v>
      </c>
      <c r="P154" s="131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4" s="1234" t="n"/>
      <c r="R154" s="1234" t="n"/>
      <c r="S154" s="1234" t="n"/>
      <c r="T154" s="1235" t="n"/>
      <c r="U154" s="39" t="inlineStr"/>
      <c r="V154" s="39" t="inlineStr"/>
      <c r="W154" s="40" t="inlineStr">
        <is>
          <t>кг</t>
        </is>
      </c>
      <c r="X154" s="1236" t="n">
        <v>0</v>
      </c>
      <c r="Y154" s="1237">
        <f>IFERROR(IF(X154="",0,CEILING((X154/$H154),1)*$H154),"")</f>
        <v/>
      </c>
      <c r="Z154" s="41">
        <f>IFERROR(IF(Y154=0,"",ROUNDUP(Y154/H154,0)*0.00902),"")</f>
        <v/>
      </c>
      <c r="AA154" s="68" t="inlineStr"/>
      <c r="AB154" s="69" t="inlineStr"/>
      <c r="AC154" s="228" t="inlineStr">
        <is>
          <t>ЕАЭС N RU Д-RU.РА09.В.81376/23</t>
        </is>
      </c>
      <c r="AG154" s="78" t="n"/>
      <c r="AJ154" s="84" t="inlineStr"/>
      <c r="AK154" s="84" t="n">
        <v>0</v>
      </c>
      <c r="BB154" s="229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843" t="n"/>
      <c r="B155" s="1182" t="n"/>
      <c r="C155" s="1182" t="n"/>
      <c r="D155" s="1182" t="n"/>
      <c r="E155" s="1182" t="n"/>
      <c r="F155" s="1182" t="n"/>
      <c r="G155" s="1182" t="n"/>
      <c r="H155" s="1182" t="n"/>
      <c r="I155" s="1182" t="n"/>
      <c r="J155" s="1182" t="n"/>
      <c r="K155" s="1182" t="n"/>
      <c r="L155" s="1182" t="n"/>
      <c r="M155" s="1182" t="n"/>
      <c r="N155" s="1182" t="n"/>
      <c r="O155" s="1241" t="n"/>
      <c r="P155" s="1242" t="inlineStr">
        <is>
          <t>Итого</t>
        </is>
      </c>
      <c r="Q155" s="1201" t="n"/>
      <c r="R155" s="1201" t="n"/>
      <c r="S155" s="1201" t="n"/>
      <c r="T155" s="1201" t="n"/>
      <c r="U155" s="1201" t="n"/>
      <c r="V155" s="1202" t="n"/>
      <c r="W155" s="42" t="inlineStr">
        <is>
          <t>кор</t>
        </is>
      </c>
      <c r="X155" s="1243">
        <f>IFERROR(X154/H154,"0")</f>
        <v/>
      </c>
      <c r="Y155" s="1243">
        <f>IFERROR(Y154/H154,"0")</f>
        <v/>
      </c>
      <c r="Z155" s="1243">
        <f>IFERROR(IF(Z154="",0,Z154),"0")</f>
        <v/>
      </c>
      <c r="AA155" s="1244" t="n"/>
      <c r="AB155" s="1244" t="n"/>
      <c r="AC155" s="1244" t="n"/>
    </row>
    <row r="156">
      <c r="A156" s="1182" t="n"/>
      <c r="B156" s="1182" t="n"/>
      <c r="C156" s="1182" t="n"/>
      <c r="D156" s="1182" t="n"/>
      <c r="E156" s="1182" t="n"/>
      <c r="F156" s="1182" t="n"/>
      <c r="G156" s="1182" t="n"/>
      <c r="H156" s="1182" t="n"/>
      <c r="I156" s="1182" t="n"/>
      <c r="J156" s="1182" t="n"/>
      <c r="K156" s="1182" t="n"/>
      <c r="L156" s="1182" t="n"/>
      <c r="M156" s="1182" t="n"/>
      <c r="N156" s="1182" t="n"/>
      <c r="O156" s="1241" t="n"/>
      <c r="P156" s="1242" t="inlineStr">
        <is>
          <t>Итого</t>
        </is>
      </c>
      <c r="Q156" s="1201" t="n"/>
      <c r="R156" s="1201" t="n"/>
      <c r="S156" s="1201" t="n"/>
      <c r="T156" s="1201" t="n"/>
      <c r="U156" s="1201" t="n"/>
      <c r="V156" s="1202" t="n"/>
      <c r="W156" s="42" t="inlineStr">
        <is>
          <t>кг</t>
        </is>
      </c>
      <c r="X156" s="1243">
        <f>IFERROR(SUM(X154:X154),"0")</f>
        <v/>
      </c>
      <c r="Y156" s="1243">
        <f>IFERROR(SUM(Y154:Y154),"0")</f>
        <v/>
      </c>
      <c r="Z156" s="42" t="n"/>
      <c r="AA156" s="1244" t="n"/>
      <c r="AB156" s="1244" t="n"/>
      <c r="AC156" s="1244" t="n"/>
    </row>
    <row r="157" ht="14.25" customHeight="1">
      <c r="A157" s="831" t="inlineStr">
        <is>
          <t>Копченые колбасы</t>
        </is>
      </c>
      <c r="B157" s="1182" t="n"/>
      <c r="C157" s="1182" t="n"/>
      <c r="D157" s="1182" t="n"/>
      <c r="E157" s="1182" t="n"/>
      <c r="F157" s="1182" t="n"/>
      <c r="G157" s="1182" t="n"/>
      <c r="H157" s="1182" t="n"/>
      <c r="I157" s="1182" t="n"/>
      <c r="J157" s="1182" t="n"/>
      <c r="K157" s="1182" t="n"/>
      <c r="L157" s="1182" t="n"/>
      <c r="M157" s="1182" t="n"/>
      <c r="N157" s="1182" t="n"/>
      <c r="O157" s="1182" t="n"/>
      <c r="P157" s="1182" t="n"/>
      <c r="Q157" s="1182" t="n"/>
      <c r="R157" s="1182" t="n"/>
      <c r="S157" s="1182" t="n"/>
      <c r="T157" s="1182" t="n"/>
      <c r="U157" s="1182" t="n"/>
      <c r="V157" s="1182" t="n"/>
      <c r="W157" s="1182" t="n"/>
      <c r="X157" s="1182" t="n"/>
      <c r="Y157" s="1182" t="n"/>
      <c r="Z157" s="1182" t="n"/>
      <c r="AA157" s="831" t="n"/>
      <c r="AB157" s="831" t="n"/>
      <c r="AC157" s="831" t="n"/>
    </row>
    <row r="158" ht="16.5" customHeight="1">
      <c r="A158" s="63" t="inlineStr">
        <is>
          <t>SU000064</t>
        </is>
      </c>
      <c r="B158" s="63" t="inlineStr">
        <is>
          <t>P001841</t>
        </is>
      </c>
      <c r="C158" s="36" t="n">
        <v>4301030895</v>
      </c>
      <c r="D158" s="832" t="n">
        <v>4607091387667</v>
      </c>
      <c r="E158" s="1193" t="n"/>
      <c r="F158" s="1232" t="n">
        <v>0.9</v>
      </c>
      <c r="G158" s="37" t="n">
        <v>10</v>
      </c>
      <c r="H158" s="1232" t="n">
        <v>9</v>
      </c>
      <c r="I158" s="1232" t="n">
        <v>9.585000000000001</v>
      </c>
      <c r="J158" s="37" t="n">
        <v>64</v>
      </c>
      <c r="K158" s="37" t="inlineStr">
        <is>
          <t>8</t>
        </is>
      </c>
      <c r="L158" s="37" t="inlineStr"/>
      <c r="M158" s="38" t="inlineStr">
        <is>
          <t>СК1</t>
        </is>
      </c>
      <c r="N158" s="38" t="n"/>
      <c r="O158" s="37" t="n">
        <v>40</v>
      </c>
      <c r="P158" s="13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8" s="1234" t="n"/>
      <c r="R158" s="1234" t="n"/>
      <c r="S158" s="1234" t="n"/>
      <c r="T158" s="1235" t="n"/>
      <c r="U158" s="39" t="inlineStr"/>
      <c r="V158" s="39" t="inlineStr"/>
      <c r="W158" s="40" t="inlineStr">
        <is>
          <t>кг</t>
        </is>
      </c>
      <c r="X158" s="1236" t="n">
        <v>0</v>
      </c>
      <c r="Y158" s="1237">
        <f>IFERROR(IF(X158="",0,CEILING((X158/$H158),1)*$H158),"")</f>
        <v/>
      </c>
      <c r="Z158" s="41">
        <f>IFERROR(IF(Y158=0,"",ROUNDUP(Y158/H158,0)*0.01898),"")</f>
        <v/>
      </c>
      <c r="AA158" s="68" t="inlineStr"/>
      <c r="AB158" s="69" t="inlineStr"/>
      <c r="AC158" s="230" t="inlineStr">
        <is>
          <t>ЕАЭС N RU Д-RU.АБ75.В.01119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27" customHeight="1">
      <c r="A159" s="63" t="inlineStr">
        <is>
          <t>SU000664</t>
        </is>
      </c>
      <c r="B159" s="63" t="inlineStr">
        <is>
          <t>P002177</t>
        </is>
      </c>
      <c r="C159" s="36" t="n">
        <v>4301030961</v>
      </c>
      <c r="D159" s="832" t="n">
        <v>4607091387636</v>
      </c>
      <c r="E159" s="1193" t="n"/>
      <c r="F159" s="1232" t="n">
        <v>0.7</v>
      </c>
      <c r="G159" s="37" t="n">
        <v>6</v>
      </c>
      <c r="H159" s="1232" t="n">
        <v>4.2</v>
      </c>
      <c r="I159" s="1232" t="n">
        <v>4.5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3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9" s="1234" t="n"/>
      <c r="R159" s="1234" t="n"/>
      <c r="S159" s="1234" t="n"/>
      <c r="T159" s="1235" t="n"/>
      <c r="U159" s="39" t="inlineStr"/>
      <c r="V159" s="39" t="inlineStr"/>
      <c r="W159" s="40" t="inlineStr">
        <is>
          <t>кг</t>
        </is>
      </c>
      <c r="X159" s="1236" t="n">
        <v>0</v>
      </c>
      <c r="Y159" s="1237">
        <f>IFERROR(IF(X159="",0,CEILING((X159/$H159),1)*$H159),"")</f>
        <v/>
      </c>
      <c r="Z159" s="41">
        <f>IFERROR(IF(Y159=0,"",ROUNDUP(Y159/H159,0)*0.00902),"")</f>
        <v/>
      </c>
      <c r="AA159" s="68" t="inlineStr"/>
      <c r="AB159" s="69" t="inlineStr"/>
      <c r="AC159" s="232" t="inlineStr">
        <is>
          <t>ЕАЭС N RU Д-RU.РА02.В.62668/22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16.5" customHeight="1">
      <c r="A160" s="63" t="inlineStr">
        <is>
          <t>SU000097</t>
        </is>
      </c>
      <c r="B160" s="63" t="inlineStr">
        <is>
          <t>P002179</t>
        </is>
      </c>
      <c r="C160" s="36" t="n">
        <v>4301030963</v>
      </c>
      <c r="D160" s="832" t="n">
        <v>4607091382426</v>
      </c>
      <c r="E160" s="1193" t="n"/>
      <c r="F160" s="1232" t="n">
        <v>0.9</v>
      </c>
      <c r="G160" s="37" t="n">
        <v>10</v>
      </c>
      <c r="H160" s="1232" t="n">
        <v>9</v>
      </c>
      <c r="I160" s="1232" t="n">
        <v>9.585000000000001</v>
      </c>
      <c r="J160" s="37" t="n">
        <v>64</v>
      </c>
      <c r="K160" s="37" t="inlineStr">
        <is>
          <t>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3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60" s="1234" t="n"/>
      <c r="R160" s="1234" t="n"/>
      <c r="S160" s="1234" t="n"/>
      <c r="T160" s="1235" t="n"/>
      <c r="U160" s="39" t="inlineStr"/>
      <c r="V160" s="39" t="inlineStr"/>
      <c r="W160" s="40" t="inlineStr">
        <is>
          <t>кг</t>
        </is>
      </c>
      <c r="X160" s="1236" t="n">
        <v>0</v>
      </c>
      <c r="Y160" s="1237">
        <f>IFERROR(IF(X160="",0,CEILING((X160/$H160),1)*$H160),"")</f>
        <v/>
      </c>
      <c r="Z160" s="41">
        <f>IFERROR(IF(Y160=0,"",ROUNDUP(Y160/H160,0)*0.01898),"")</f>
        <v/>
      </c>
      <c r="AA160" s="68" t="inlineStr"/>
      <c r="AB160" s="69" t="inlineStr"/>
      <c r="AC160" s="234" t="inlineStr">
        <is>
          <t>ЕАЭС N RU Д-RU.РА02.В.56867/22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SU000665</t>
        </is>
      </c>
      <c r="B161" s="63" t="inlineStr">
        <is>
          <t>P002178</t>
        </is>
      </c>
      <c r="C161" s="36" t="n">
        <v>4301030962</v>
      </c>
      <c r="D161" s="832" t="n">
        <v>4607091386547</v>
      </c>
      <c r="E161" s="1193" t="n"/>
      <c r="F161" s="1232" t="n">
        <v>0.35</v>
      </c>
      <c r="G161" s="37" t="n">
        <v>8</v>
      </c>
      <c r="H161" s="1232" t="n">
        <v>2.8</v>
      </c>
      <c r="I161" s="1232" t="n">
        <v>2.94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13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1" s="1234" t="n"/>
      <c r="R161" s="1234" t="n"/>
      <c r="S161" s="1234" t="n"/>
      <c r="T161" s="1235" t="n"/>
      <c r="U161" s="39" t="inlineStr"/>
      <c r="V161" s="39" t="inlineStr"/>
      <c r="W161" s="40" t="inlineStr">
        <is>
          <t>кг</t>
        </is>
      </c>
      <c r="X161" s="1236" t="n">
        <v>0</v>
      </c>
      <c r="Y161" s="1237">
        <f>IFERROR(IF(X161="",0,CEILING((X161/$H161),1)*$H161),"")</f>
        <v/>
      </c>
      <c r="Z161" s="41">
        <f>IFERROR(IF(Y161=0,"",ROUNDUP(Y161/H161,0)*0.00502),"")</f>
        <v/>
      </c>
      <c r="AA161" s="68" t="inlineStr"/>
      <c r="AB161" s="69" t="inlineStr"/>
      <c r="AC161" s="236" t="inlineStr">
        <is>
          <t>ЕАЭС N RU Д-RU.РА02.В.62668/22</t>
        </is>
      </c>
      <c r="AG161" s="78" t="n"/>
      <c r="AJ161" s="84" t="inlineStr"/>
      <c r="AK161" s="84" t="n">
        <v>0</v>
      </c>
      <c r="BB161" s="237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 ht="27" customHeight="1">
      <c r="A162" s="63" t="inlineStr">
        <is>
          <t>SU001605</t>
        </is>
      </c>
      <c r="B162" s="63" t="inlineStr">
        <is>
          <t>P002180</t>
        </is>
      </c>
      <c r="C162" s="36" t="n">
        <v>4301030964</v>
      </c>
      <c r="D162" s="832" t="n">
        <v>4607091382464</v>
      </c>
      <c r="E162" s="1193" t="n"/>
      <c r="F162" s="1232" t="n">
        <v>0.35</v>
      </c>
      <c r="G162" s="37" t="n">
        <v>8</v>
      </c>
      <c r="H162" s="1232" t="n">
        <v>2.8</v>
      </c>
      <c r="I162" s="1232" t="n">
        <v>2.964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3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62" s="1234" t="n"/>
      <c r="R162" s="1234" t="n"/>
      <c r="S162" s="1234" t="n"/>
      <c r="T162" s="1235" t="n"/>
      <c r="U162" s="39" t="inlineStr"/>
      <c r="V162" s="39" t="inlineStr"/>
      <c r="W162" s="40" t="inlineStr">
        <is>
          <t>кг</t>
        </is>
      </c>
      <c r="X162" s="1236" t="n">
        <v>0</v>
      </c>
      <c r="Y162" s="1237">
        <f>IFERROR(IF(X162="",0,CEILING((X162/$H162),1)*$H162),"")</f>
        <v/>
      </c>
      <c r="Z162" s="41">
        <f>IFERROR(IF(Y162=0,"",ROUNDUP(Y162/H162,0)*0.00502),"")</f>
        <v/>
      </c>
      <c r="AA162" s="68" t="inlineStr"/>
      <c r="AB162" s="69" t="inlineStr"/>
      <c r="AC162" s="238" t="inlineStr">
        <is>
          <t>ЕАЭС N RU Д-RU.РА02.В.56867/22</t>
        </is>
      </c>
      <c r="AG162" s="78" t="n"/>
      <c r="AJ162" s="84" t="inlineStr"/>
      <c r="AK162" s="84" t="n">
        <v>0</v>
      </c>
      <c r="BB162" s="239" t="inlineStr">
        <is>
          <t>КИ</t>
        </is>
      </c>
      <c r="BM162" s="78">
        <f>IFERROR(X162*I162/H162,"0")</f>
        <v/>
      </c>
      <c r="BN162" s="78">
        <f>IFERROR(Y162*I162/H162,"0")</f>
        <v/>
      </c>
      <c r="BO162" s="78">
        <f>IFERROR(1/J162*(X162/H162),"0")</f>
        <v/>
      </c>
      <c r="BP162" s="78">
        <f>IFERROR(1/J162*(Y162/H162),"0")</f>
        <v/>
      </c>
    </row>
    <row r="163">
      <c r="A163" s="843" t="n"/>
      <c r="B163" s="1182" t="n"/>
      <c r="C163" s="1182" t="n"/>
      <c r="D163" s="1182" t="n"/>
      <c r="E163" s="1182" t="n"/>
      <c r="F163" s="1182" t="n"/>
      <c r="G163" s="1182" t="n"/>
      <c r="H163" s="1182" t="n"/>
      <c r="I163" s="1182" t="n"/>
      <c r="J163" s="1182" t="n"/>
      <c r="K163" s="1182" t="n"/>
      <c r="L163" s="1182" t="n"/>
      <c r="M163" s="1182" t="n"/>
      <c r="N163" s="1182" t="n"/>
      <c r="O163" s="1241" t="n"/>
      <c r="P163" s="1242" t="inlineStr">
        <is>
          <t>Итого</t>
        </is>
      </c>
      <c r="Q163" s="1201" t="n"/>
      <c r="R163" s="1201" t="n"/>
      <c r="S163" s="1201" t="n"/>
      <c r="T163" s="1201" t="n"/>
      <c r="U163" s="1201" t="n"/>
      <c r="V163" s="1202" t="n"/>
      <c r="W163" s="42" t="inlineStr">
        <is>
          <t>кор</t>
        </is>
      </c>
      <c r="X163" s="1243">
        <f>IFERROR(X158/H158,"0")+IFERROR(X159/H159,"0")+IFERROR(X160/H160,"0")+IFERROR(X161/H161,"0")+IFERROR(X162/H162,"0")</f>
        <v/>
      </c>
      <c r="Y163" s="1243">
        <f>IFERROR(Y158/H158,"0")+IFERROR(Y159/H159,"0")+IFERROR(Y160/H160,"0")+IFERROR(Y161/H161,"0")+IFERROR(Y162/H162,"0")</f>
        <v/>
      </c>
      <c r="Z163" s="1243">
        <f>IFERROR(IF(Z158="",0,Z158),"0")+IFERROR(IF(Z159="",0,Z159),"0")+IFERROR(IF(Z160="",0,Z160),"0")+IFERROR(IF(Z161="",0,Z161),"0")+IFERROR(IF(Z162="",0,Z162),"0")</f>
        <v/>
      </c>
      <c r="AA163" s="1244" t="n"/>
      <c r="AB163" s="1244" t="n"/>
      <c r="AC163" s="1244" t="n"/>
    </row>
    <row r="164">
      <c r="A164" s="1182" t="n"/>
      <c r="B164" s="1182" t="n"/>
      <c r="C164" s="1182" t="n"/>
      <c r="D164" s="1182" t="n"/>
      <c r="E164" s="1182" t="n"/>
      <c r="F164" s="1182" t="n"/>
      <c r="G164" s="1182" t="n"/>
      <c r="H164" s="1182" t="n"/>
      <c r="I164" s="1182" t="n"/>
      <c r="J164" s="1182" t="n"/>
      <c r="K164" s="1182" t="n"/>
      <c r="L164" s="1182" t="n"/>
      <c r="M164" s="1182" t="n"/>
      <c r="N164" s="1182" t="n"/>
      <c r="O164" s="1241" t="n"/>
      <c r="P164" s="1242" t="inlineStr">
        <is>
          <t>Итого</t>
        </is>
      </c>
      <c r="Q164" s="1201" t="n"/>
      <c r="R164" s="1201" t="n"/>
      <c r="S164" s="1201" t="n"/>
      <c r="T164" s="1201" t="n"/>
      <c r="U164" s="1201" t="n"/>
      <c r="V164" s="1202" t="n"/>
      <c r="W164" s="42" t="inlineStr">
        <is>
          <t>кг</t>
        </is>
      </c>
      <c r="X164" s="1243">
        <f>IFERROR(SUM(X158:X162),"0")</f>
        <v/>
      </c>
      <c r="Y164" s="1243">
        <f>IFERROR(SUM(Y158:Y162),"0")</f>
        <v/>
      </c>
      <c r="Z164" s="42" t="n"/>
      <c r="AA164" s="1244" t="n"/>
      <c r="AB164" s="1244" t="n"/>
      <c r="AC164" s="1244" t="n"/>
    </row>
    <row r="165" ht="14.25" customHeight="1">
      <c r="A165" s="831" t="inlineStr">
        <is>
          <t>Сосиски</t>
        </is>
      </c>
      <c r="B165" s="1182" t="n"/>
      <c r="C165" s="1182" t="n"/>
      <c r="D165" s="1182" t="n"/>
      <c r="E165" s="1182" t="n"/>
      <c r="F165" s="1182" t="n"/>
      <c r="G165" s="1182" t="n"/>
      <c r="H165" s="1182" t="n"/>
      <c r="I165" s="1182" t="n"/>
      <c r="J165" s="1182" t="n"/>
      <c r="K165" s="1182" t="n"/>
      <c r="L165" s="1182" t="n"/>
      <c r="M165" s="1182" t="n"/>
      <c r="N165" s="1182" t="n"/>
      <c r="O165" s="1182" t="n"/>
      <c r="P165" s="1182" t="n"/>
      <c r="Q165" s="1182" t="n"/>
      <c r="R165" s="1182" t="n"/>
      <c r="S165" s="1182" t="n"/>
      <c r="T165" s="1182" t="n"/>
      <c r="U165" s="1182" t="n"/>
      <c r="V165" s="1182" t="n"/>
      <c r="W165" s="1182" t="n"/>
      <c r="X165" s="1182" t="n"/>
      <c r="Y165" s="1182" t="n"/>
      <c r="Z165" s="1182" t="n"/>
      <c r="AA165" s="831" t="n"/>
      <c r="AB165" s="831" t="n"/>
      <c r="AC165" s="831" t="n"/>
    </row>
    <row r="166" ht="16.5" customHeight="1">
      <c r="A166" s="63" t="inlineStr">
        <is>
          <t>SU001527</t>
        </is>
      </c>
      <c r="B166" s="63" t="inlineStr">
        <is>
          <t>P003992</t>
        </is>
      </c>
      <c r="C166" s="36" t="n">
        <v>4301051653</v>
      </c>
      <c r="D166" s="832" t="n">
        <v>4607091386264</v>
      </c>
      <c r="E166" s="1193" t="n"/>
      <c r="F166" s="1232" t="n">
        <v>0.5</v>
      </c>
      <c r="G166" s="37" t="n">
        <v>6</v>
      </c>
      <c r="H166" s="1232" t="n">
        <v>3</v>
      </c>
      <c r="I166" s="1232" t="n">
        <v>3.258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СК3</t>
        </is>
      </c>
      <c r="N166" s="38" t="n"/>
      <c r="O166" s="37" t="n">
        <v>31</v>
      </c>
      <c r="P166" s="1318">
        <f>HYPERLINK("https://abi.ru/products/Охлажденные/Вязанка/Вязанка/Сосиски/P003992/","Сосиски «Венские» Фикс.вес 0,5 п/а мгс ТМ «Вязанка»")</f>
        <v/>
      </c>
      <c r="Q166" s="1234" t="n"/>
      <c r="R166" s="1234" t="n"/>
      <c r="S166" s="1234" t="n"/>
      <c r="T166" s="1235" t="n"/>
      <c r="U166" s="39" t="inlineStr"/>
      <c r="V166" s="39" t="inlineStr"/>
      <c r="W166" s="40" t="inlineStr">
        <is>
          <t>кг</t>
        </is>
      </c>
      <c r="X166" s="1236" t="n">
        <v>0</v>
      </c>
      <c r="Y166" s="1237">
        <f>IFERROR(IF(X166="",0,CEILING((X166/$H166),1)*$H166),"")</f>
        <v/>
      </c>
      <c r="Z166" s="41">
        <f>IFERROR(IF(Y166=0,"",ROUNDUP(Y166/H166,0)*0.00651),"")</f>
        <v/>
      </c>
      <c r="AA166" s="68" t="inlineStr"/>
      <c r="AB166" s="69" t="inlineStr"/>
      <c r="AC166" s="240" t="inlineStr">
        <is>
          <t>ЕАЭС N RU Д-RU.РА07.В.08947/22</t>
        </is>
      </c>
      <c r="AG166" s="78" t="n"/>
      <c r="AJ166" s="84" t="inlineStr"/>
      <c r="AK166" s="84" t="n">
        <v>0</v>
      </c>
      <c r="BB166" s="241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 ht="27" customHeight="1">
      <c r="A167" s="63" t="inlineStr">
        <is>
          <t>SU001354</t>
        </is>
      </c>
      <c r="B167" s="63" t="inlineStr">
        <is>
          <t>P003030</t>
        </is>
      </c>
      <c r="C167" s="36" t="n">
        <v>4301051313</v>
      </c>
      <c r="D167" s="832" t="n">
        <v>4607091385427</v>
      </c>
      <c r="E167" s="1193" t="n"/>
      <c r="F167" s="1232" t="n">
        <v>0.5</v>
      </c>
      <c r="G167" s="37" t="n">
        <v>6</v>
      </c>
      <c r="H167" s="1232" t="n">
        <v>3</v>
      </c>
      <c r="I167" s="1232" t="n">
        <v>3.252</v>
      </c>
      <c r="J167" s="37" t="n">
        <v>182</v>
      </c>
      <c r="K167" s="37" t="inlineStr">
        <is>
          <t>14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319">
        <f>HYPERLINK("https://abi.ru/products/Охлажденные/Вязанка/Вязанка/Сосиски/P003030/","Сосиски Рубленые Вязанка Фикс.вес 0,5 п/а мгс Вязанка")</f>
        <v/>
      </c>
      <c r="Q167" s="1234" t="n"/>
      <c r="R167" s="1234" t="n"/>
      <c r="S167" s="1234" t="n"/>
      <c r="T167" s="1235" t="n"/>
      <c r="U167" s="39" t="inlineStr"/>
      <c r="V167" s="39" t="inlineStr"/>
      <c r="W167" s="40" t="inlineStr">
        <is>
          <t>кг</t>
        </is>
      </c>
      <c r="X167" s="1236" t="n">
        <v>0</v>
      </c>
      <c r="Y167" s="1237">
        <f>IFERROR(IF(X167="",0,CEILING((X167/$H167),1)*$H167),"")</f>
        <v/>
      </c>
      <c r="Z167" s="41">
        <f>IFERROR(IF(Y167=0,"",ROUNDUP(Y167/H167,0)*0.00651),"")</f>
        <v/>
      </c>
      <c r="AA167" s="68" t="inlineStr"/>
      <c r="AB167" s="69" t="inlineStr"/>
      <c r="AC167" s="242" t="inlineStr">
        <is>
          <t>ЕАЭС N RU Д-RU.РА01.В.25957/22, ЕАЭС N RU Д-RU.РА10.В.03533/24</t>
        </is>
      </c>
      <c r="AG167" s="78" t="n"/>
      <c r="AJ167" s="84" t="inlineStr"/>
      <c r="AK167" s="84" t="n">
        <v>0</v>
      </c>
      <c r="BB167" s="243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>
      <c r="A168" s="843" t="n"/>
      <c r="B168" s="1182" t="n"/>
      <c r="C168" s="1182" t="n"/>
      <c r="D168" s="1182" t="n"/>
      <c r="E168" s="1182" t="n"/>
      <c r="F168" s="1182" t="n"/>
      <c r="G168" s="1182" t="n"/>
      <c r="H168" s="1182" t="n"/>
      <c r="I168" s="1182" t="n"/>
      <c r="J168" s="1182" t="n"/>
      <c r="K168" s="1182" t="n"/>
      <c r="L168" s="1182" t="n"/>
      <c r="M168" s="1182" t="n"/>
      <c r="N168" s="1182" t="n"/>
      <c r="O168" s="1241" t="n"/>
      <c r="P168" s="1242" t="inlineStr">
        <is>
          <t>Итого</t>
        </is>
      </c>
      <c r="Q168" s="1201" t="n"/>
      <c r="R168" s="1201" t="n"/>
      <c r="S168" s="1201" t="n"/>
      <c r="T168" s="1201" t="n"/>
      <c r="U168" s="1201" t="n"/>
      <c r="V168" s="1202" t="n"/>
      <c r="W168" s="42" t="inlineStr">
        <is>
          <t>кор</t>
        </is>
      </c>
      <c r="X168" s="1243">
        <f>IFERROR(X166/H166,"0")+IFERROR(X167/H167,"0")</f>
        <v/>
      </c>
      <c r="Y168" s="1243">
        <f>IFERROR(Y166/H166,"0")+IFERROR(Y167/H167,"0")</f>
        <v/>
      </c>
      <c r="Z168" s="1243">
        <f>IFERROR(IF(Z166="",0,Z166),"0")+IFERROR(IF(Z167="",0,Z167),"0")</f>
        <v/>
      </c>
      <c r="AA168" s="1244" t="n"/>
      <c r="AB168" s="1244" t="n"/>
      <c r="AC168" s="1244" t="n"/>
    </row>
    <row r="169">
      <c r="A169" s="1182" t="n"/>
      <c r="B169" s="1182" t="n"/>
      <c r="C169" s="1182" t="n"/>
      <c r="D169" s="1182" t="n"/>
      <c r="E169" s="1182" t="n"/>
      <c r="F169" s="1182" t="n"/>
      <c r="G169" s="1182" t="n"/>
      <c r="H169" s="1182" t="n"/>
      <c r="I169" s="1182" t="n"/>
      <c r="J169" s="1182" t="n"/>
      <c r="K169" s="1182" t="n"/>
      <c r="L169" s="1182" t="n"/>
      <c r="M169" s="1182" t="n"/>
      <c r="N169" s="1182" t="n"/>
      <c r="O169" s="1241" t="n"/>
      <c r="P169" s="1242" t="inlineStr">
        <is>
          <t>Итого</t>
        </is>
      </c>
      <c r="Q169" s="1201" t="n"/>
      <c r="R169" s="1201" t="n"/>
      <c r="S169" s="1201" t="n"/>
      <c r="T169" s="1201" t="n"/>
      <c r="U169" s="1201" t="n"/>
      <c r="V169" s="1202" t="n"/>
      <c r="W169" s="42" t="inlineStr">
        <is>
          <t>кг</t>
        </is>
      </c>
      <c r="X169" s="1243">
        <f>IFERROR(SUM(X166:X167),"0")</f>
        <v/>
      </c>
      <c r="Y169" s="1243">
        <f>IFERROR(SUM(Y166:Y167),"0")</f>
        <v/>
      </c>
      <c r="Z169" s="42" t="n"/>
      <c r="AA169" s="1244" t="n"/>
      <c r="AB169" s="1244" t="n"/>
      <c r="AC169" s="1244" t="n"/>
    </row>
    <row r="170" ht="27.75" customHeight="1">
      <c r="A170" s="829" t="inlineStr">
        <is>
          <t>Стародворье</t>
        </is>
      </c>
      <c r="B170" s="1231" t="n"/>
      <c r="C170" s="1231" t="n"/>
      <c r="D170" s="1231" t="n"/>
      <c r="E170" s="1231" t="n"/>
      <c r="F170" s="1231" t="n"/>
      <c r="G170" s="1231" t="n"/>
      <c r="H170" s="1231" t="n"/>
      <c r="I170" s="1231" t="n"/>
      <c r="J170" s="1231" t="n"/>
      <c r="K170" s="1231" t="n"/>
      <c r="L170" s="1231" t="n"/>
      <c r="M170" s="1231" t="n"/>
      <c r="N170" s="1231" t="n"/>
      <c r="O170" s="1231" t="n"/>
      <c r="P170" s="1231" t="n"/>
      <c r="Q170" s="1231" t="n"/>
      <c r="R170" s="1231" t="n"/>
      <c r="S170" s="1231" t="n"/>
      <c r="T170" s="1231" t="n"/>
      <c r="U170" s="1231" t="n"/>
      <c r="V170" s="1231" t="n"/>
      <c r="W170" s="1231" t="n"/>
      <c r="X170" s="1231" t="n"/>
      <c r="Y170" s="1231" t="n"/>
      <c r="Z170" s="1231" t="n"/>
      <c r="AA170" s="54" t="n"/>
      <c r="AB170" s="54" t="n"/>
      <c r="AC170" s="54" t="n"/>
    </row>
    <row r="171" ht="16.5" customHeight="1">
      <c r="A171" s="830" t="inlineStr">
        <is>
          <t>Мясорубская</t>
        </is>
      </c>
      <c r="B171" s="1182" t="n"/>
      <c r="C171" s="1182" t="n"/>
      <c r="D171" s="1182" t="n"/>
      <c r="E171" s="1182" t="n"/>
      <c r="F171" s="1182" t="n"/>
      <c r="G171" s="1182" t="n"/>
      <c r="H171" s="1182" t="n"/>
      <c r="I171" s="1182" t="n"/>
      <c r="J171" s="1182" t="n"/>
      <c r="K171" s="1182" t="n"/>
      <c r="L171" s="1182" t="n"/>
      <c r="M171" s="1182" t="n"/>
      <c r="N171" s="1182" t="n"/>
      <c r="O171" s="1182" t="n"/>
      <c r="P171" s="1182" t="n"/>
      <c r="Q171" s="1182" t="n"/>
      <c r="R171" s="1182" t="n"/>
      <c r="S171" s="1182" t="n"/>
      <c r="T171" s="1182" t="n"/>
      <c r="U171" s="1182" t="n"/>
      <c r="V171" s="1182" t="n"/>
      <c r="W171" s="1182" t="n"/>
      <c r="X171" s="1182" t="n"/>
      <c r="Y171" s="1182" t="n"/>
      <c r="Z171" s="1182" t="n"/>
      <c r="AA171" s="830" t="n"/>
      <c r="AB171" s="830" t="n"/>
      <c r="AC171" s="830" t="n"/>
    </row>
    <row r="172" ht="14.25" customHeight="1">
      <c r="A172" s="831" t="inlineStr">
        <is>
          <t>Ветчины</t>
        </is>
      </c>
      <c r="B172" s="1182" t="n"/>
      <c r="C172" s="1182" t="n"/>
      <c r="D172" s="1182" t="n"/>
      <c r="E172" s="1182" t="n"/>
      <c r="F172" s="1182" t="n"/>
      <c r="G172" s="1182" t="n"/>
      <c r="H172" s="1182" t="n"/>
      <c r="I172" s="1182" t="n"/>
      <c r="J172" s="1182" t="n"/>
      <c r="K172" s="1182" t="n"/>
      <c r="L172" s="1182" t="n"/>
      <c r="M172" s="1182" t="n"/>
      <c r="N172" s="1182" t="n"/>
      <c r="O172" s="1182" t="n"/>
      <c r="P172" s="1182" t="n"/>
      <c r="Q172" s="1182" t="n"/>
      <c r="R172" s="1182" t="n"/>
      <c r="S172" s="1182" t="n"/>
      <c r="T172" s="1182" t="n"/>
      <c r="U172" s="1182" t="n"/>
      <c r="V172" s="1182" t="n"/>
      <c r="W172" s="1182" t="n"/>
      <c r="X172" s="1182" t="n"/>
      <c r="Y172" s="1182" t="n"/>
      <c r="Z172" s="1182" t="n"/>
      <c r="AA172" s="831" t="n"/>
      <c r="AB172" s="831" t="n"/>
      <c r="AC172" s="831" t="n"/>
    </row>
    <row r="173" ht="27" customHeight="1">
      <c r="A173" s="63" t="inlineStr">
        <is>
          <t>SU003512</t>
        </is>
      </c>
      <c r="B173" s="63" t="inlineStr">
        <is>
          <t>P004437</t>
        </is>
      </c>
      <c r="C173" s="36" t="n">
        <v>4301020323</v>
      </c>
      <c r="D173" s="832" t="n">
        <v>4680115886223</v>
      </c>
      <c r="E173" s="1193" t="n"/>
      <c r="F173" s="1232" t="n">
        <v>0.33</v>
      </c>
      <c r="G173" s="37" t="n">
        <v>6</v>
      </c>
      <c r="H173" s="1232" t="n">
        <v>1.98</v>
      </c>
      <c r="I173" s="1232" t="n">
        <v>2.08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320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73" s="1234" t="n"/>
      <c r="R173" s="1234" t="n"/>
      <c r="S173" s="1234" t="n"/>
      <c r="T173" s="1235" t="n"/>
      <c r="U173" s="39" t="inlineStr"/>
      <c r="V173" s="39" t="inlineStr"/>
      <c r="W173" s="40" t="inlineStr">
        <is>
          <t>кг</t>
        </is>
      </c>
      <c r="X173" s="1236" t="n">
        <v>0</v>
      </c>
      <c r="Y173" s="1237">
        <f>IFERROR(IF(X173="",0,CEILING((X173/$H173),1)*$H173),"")</f>
        <v/>
      </c>
      <c r="Z173" s="41">
        <f>IFERROR(IF(Y173=0,"",ROUNDUP(Y173/H173,0)*0.00502),"")</f>
        <v/>
      </c>
      <c r="AA173" s="68" t="inlineStr"/>
      <c r="AB173" s="69" t="inlineStr"/>
      <c r="AC173" s="244" t="inlineStr">
        <is>
          <t>ЕАЭС N RU Д-RU.РА04.В.01888/24</t>
        </is>
      </c>
      <c r="AG173" s="78" t="n"/>
      <c r="AJ173" s="84" t="inlineStr"/>
      <c r="AK173" s="84" t="n">
        <v>0</v>
      </c>
      <c r="BB173" s="245" t="inlineStr">
        <is>
          <t>КИ</t>
        </is>
      </c>
      <c r="BM173" s="78">
        <f>IFERROR(X173*I173/H173,"0")</f>
        <v/>
      </c>
      <c r="BN173" s="78">
        <f>IFERROR(Y173*I173/H173,"0")</f>
        <v/>
      </c>
      <c r="BO173" s="78">
        <f>IFERROR(1/J173*(X173/H173),"0")</f>
        <v/>
      </c>
      <c r="BP173" s="78">
        <f>IFERROR(1/J173*(Y173/H173),"0")</f>
        <v/>
      </c>
    </row>
    <row r="174">
      <c r="A174" s="843" t="n"/>
      <c r="B174" s="1182" t="n"/>
      <c r="C174" s="1182" t="n"/>
      <c r="D174" s="1182" t="n"/>
      <c r="E174" s="1182" t="n"/>
      <c r="F174" s="1182" t="n"/>
      <c r="G174" s="1182" t="n"/>
      <c r="H174" s="1182" t="n"/>
      <c r="I174" s="1182" t="n"/>
      <c r="J174" s="1182" t="n"/>
      <c r="K174" s="1182" t="n"/>
      <c r="L174" s="1182" t="n"/>
      <c r="M174" s="1182" t="n"/>
      <c r="N174" s="1182" t="n"/>
      <c r="O174" s="1241" t="n"/>
      <c r="P174" s="1242" t="inlineStr">
        <is>
          <t>Итого</t>
        </is>
      </c>
      <c r="Q174" s="1201" t="n"/>
      <c r="R174" s="1201" t="n"/>
      <c r="S174" s="1201" t="n"/>
      <c r="T174" s="1201" t="n"/>
      <c r="U174" s="1201" t="n"/>
      <c r="V174" s="1202" t="n"/>
      <c r="W174" s="42" t="inlineStr">
        <is>
          <t>кор</t>
        </is>
      </c>
      <c r="X174" s="1243">
        <f>IFERROR(X173/H173,"0")</f>
        <v/>
      </c>
      <c r="Y174" s="1243">
        <f>IFERROR(Y173/H173,"0")</f>
        <v/>
      </c>
      <c r="Z174" s="1243">
        <f>IFERROR(IF(Z173="",0,Z173),"0")</f>
        <v/>
      </c>
      <c r="AA174" s="1244" t="n"/>
      <c r="AB174" s="1244" t="n"/>
      <c r="AC174" s="1244" t="n"/>
    </row>
    <row r="175">
      <c r="A175" s="1182" t="n"/>
      <c r="B175" s="1182" t="n"/>
      <c r="C175" s="1182" t="n"/>
      <c r="D175" s="1182" t="n"/>
      <c r="E175" s="1182" t="n"/>
      <c r="F175" s="1182" t="n"/>
      <c r="G175" s="1182" t="n"/>
      <c r="H175" s="1182" t="n"/>
      <c r="I175" s="1182" t="n"/>
      <c r="J175" s="1182" t="n"/>
      <c r="K175" s="1182" t="n"/>
      <c r="L175" s="1182" t="n"/>
      <c r="M175" s="1182" t="n"/>
      <c r="N175" s="1182" t="n"/>
      <c r="O175" s="1241" t="n"/>
      <c r="P175" s="1242" t="inlineStr">
        <is>
          <t>Итого</t>
        </is>
      </c>
      <c r="Q175" s="1201" t="n"/>
      <c r="R175" s="1201" t="n"/>
      <c r="S175" s="1201" t="n"/>
      <c r="T175" s="1201" t="n"/>
      <c r="U175" s="1201" t="n"/>
      <c r="V175" s="1202" t="n"/>
      <c r="W175" s="42" t="inlineStr">
        <is>
          <t>кг</t>
        </is>
      </c>
      <c r="X175" s="1243">
        <f>IFERROR(SUM(X173:X173),"0")</f>
        <v/>
      </c>
      <c r="Y175" s="1243">
        <f>IFERROR(SUM(Y173:Y173),"0")</f>
        <v/>
      </c>
      <c r="Z175" s="42" t="n"/>
      <c r="AA175" s="1244" t="n"/>
      <c r="AB175" s="1244" t="n"/>
      <c r="AC175" s="1244" t="n"/>
    </row>
    <row r="176" ht="14.25" customHeight="1">
      <c r="A176" s="831" t="inlineStr">
        <is>
          <t>Копченые колбасы</t>
        </is>
      </c>
      <c r="B176" s="1182" t="n"/>
      <c r="C176" s="1182" t="n"/>
      <c r="D176" s="1182" t="n"/>
      <c r="E176" s="1182" t="n"/>
      <c r="F176" s="1182" t="n"/>
      <c r="G176" s="1182" t="n"/>
      <c r="H176" s="1182" t="n"/>
      <c r="I176" s="1182" t="n"/>
      <c r="J176" s="1182" t="n"/>
      <c r="K176" s="1182" t="n"/>
      <c r="L176" s="1182" t="n"/>
      <c r="M176" s="1182" t="n"/>
      <c r="N176" s="1182" t="n"/>
      <c r="O176" s="1182" t="n"/>
      <c r="P176" s="1182" t="n"/>
      <c r="Q176" s="1182" t="n"/>
      <c r="R176" s="1182" t="n"/>
      <c r="S176" s="1182" t="n"/>
      <c r="T176" s="1182" t="n"/>
      <c r="U176" s="1182" t="n"/>
      <c r="V176" s="1182" t="n"/>
      <c r="W176" s="1182" t="n"/>
      <c r="X176" s="1182" t="n"/>
      <c r="Y176" s="1182" t="n"/>
      <c r="Z176" s="1182" t="n"/>
      <c r="AA176" s="831" t="n"/>
      <c r="AB176" s="831" t="n"/>
      <c r="AC176" s="831" t="n"/>
    </row>
    <row r="177" ht="27" customHeight="1">
      <c r="A177" s="63" t="inlineStr">
        <is>
          <t>SU002756</t>
        </is>
      </c>
      <c r="B177" s="63" t="inlineStr">
        <is>
          <t>P003179</t>
        </is>
      </c>
      <c r="C177" s="36" t="n">
        <v>4301031191</v>
      </c>
      <c r="D177" s="832" t="n">
        <v>4680115880993</v>
      </c>
      <c r="E177" s="1193" t="n"/>
      <c r="F177" s="1232" t="n">
        <v>0.7</v>
      </c>
      <c r="G177" s="37" t="n">
        <v>6</v>
      </c>
      <c r="H177" s="1232" t="n">
        <v>4.2</v>
      </c>
      <c r="I177" s="1232" t="n">
        <v>4.47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2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7" s="1234" t="n"/>
      <c r="R177" s="1234" t="n"/>
      <c r="S177" s="1234" t="n"/>
      <c r="T177" s="1235" t="n"/>
      <c r="U177" s="39" t="inlineStr"/>
      <c r="V177" s="39" t="inlineStr"/>
      <c r="W177" s="40" t="inlineStr">
        <is>
          <t>кг</t>
        </is>
      </c>
      <c r="X177" s="1236" t="n">
        <v>70</v>
      </c>
      <c r="Y177" s="1237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46" t="inlineStr">
        <is>
          <t>ЕАЭС N RU Д-RU.РА05.В.84751/22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SU002876</t>
        </is>
      </c>
      <c r="B178" s="63" t="inlineStr">
        <is>
          <t>P003276</t>
        </is>
      </c>
      <c r="C178" s="36" t="n">
        <v>4301031204</v>
      </c>
      <c r="D178" s="832" t="n">
        <v>4680115881761</v>
      </c>
      <c r="E178" s="1193" t="n"/>
      <c r="F178" s="1232" t="n">
        <v>0.7</v>
      </c>
      <c r="G178" s="37" t="n">
        <v>6</v>
      </c>
      <c r="H178" s="1232" t="n">
        <v>4.2</v>
      </c>
      <c r="I178" s="1232" t="n">
        <v>4.47</v>
      </c>
      <c r="J178" s="37" t="n">
        <v>132</v>
      </c>
      <c r="K178" s="37" t="inlineStr">
        <is>
          <t>12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2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8" s="1234" t="n"/>
      <c r="R178" s="1234" t="n"/>
      <c r="S178" s="1234" t="n"/>
      <c r="T178" s="1235" t="n"/>
      <c r="U178" s="39" t="inlineStr"/>
      <c r="V178" s="39" t="inlineStr"/>
      <c r="W178" s="40" t="inlineStr">
        <is>
          <t>кг</t>
        </is>
      </c>
      <c r="X178" s="1236" t="n">
        <v>30</v>
      </c>
      <c r="Y178" s="1237">
        <f>IFERROR(IF(X178="",0,CEILING((X178/$H178),1)*$H178),"")</f>
        <v/>
      </c>
      <c r="Z178" s="41">
        <f>IFERROR(IF(Y178=0,"",ROUNDUP(Y178/H178,0)*0.00902),"")</f>
        <v/>
      </c>
      <c r="AA178" s="68" t="inlineStr"/>
      <c r="AB178" s="69" t="inlineStr"/>
      <c r="AC178" s="248" t="inlineStr">
        <is>
          <t>ЕАЭС N RU Д-RU.РА01.В.98713/23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SU002847</t>
        </is>
      </c>
      <c r="B179" s="63" t="inlineStr">
        <is>
          <t>P003259</t>
        </is>
      </c>
      <c r="C179" s="36" t="n">
        <v>4301031201</v>
      </c>
      <c r="D179" s="832" t="n">
        <v>4680115881563</v>
      </c>
      <c r="E179" s="1193" t="n"/>
      <c r="F179" s="1232" t="n">
        <v>0.7</v>
      </c>
      <c r="G179" s="37" t="n">
        <v>6</v>
      </c>
      <c r="H179" s="1232" t="n">
        <v>4.2</v>
      </c>
      <c r="I179" s="1232" t="n">
        <v>4.41</v>
      </c>
      <c r="J179" s="37" t="n">
        <v>132</v>
      </c>
      <c r="K179" s="37" t="inlineStr">
        <is>
          <t>12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2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9" s="1234" t="n"/>
      <c r="R179" s="1234" t="n"/>
      <c r="S179" s="1234" t="n"/>
      <c r="T179" s="1235" t="n"/>
      <c r="U179" s="39" t="inlineStr"/>
      <c r="V179" s="39" t="inlineStr"/>
      <c r="W179" s="40" t="inlineStr">
        <is>
          <t>кг</t>
        </is>
      </c>
      <c r="X179" s="1236" t="n">
        <v>20</v>
      </c>
      <c r="Y179" s="1237">
        <f>IFERROR(IF(X179="",0,CEILING((X179/$H179),1)*$H179),"")</f>
        <v/>
      </c>
      <c r="Z179" s="41">
        <f>IFERROR(IF(Y179=0,"",ROUNDUP(Y179/H179,0)*0.00902),"")</f>
        <v/>
      </c>
      <c r="AA179" s="68" t="inlineStr"/>
      <c r="AB179" s="69" t="inlineStr"/>
      <c r="AC179" s="250" t="inlineStr">
        <is>
          <t>ЕАЭС N RU Д-RU.РА09.В.37545/22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SU002660</t>
        </is>
      </c>
      <c r="B180" s="63" t="inlineStr">
        <is>
          <t>P003256</t>
        </is>
      </c>
      <c r="C180" s="36" t="n">
        <v>4301031199</v>
      </c>
      <c r="D180" s="832" t="n">
        <v>4680115880986</v>
      </c>
      <c r="E180" s="1193" t="n"/>
      <c r="F180" s="1232" t="n">
        <v>0.35</v>
      </c>
      <c r="G180" s="37" t="n">
        <v>6</v>
      </c>
      <c r="H180" s="1232" t="n">
        <v>2.1</v>
      </c>
      <c r="I180" s="1232" t="n">
        <v>2.23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32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80" s="1234" t="n"/>
      <c r="R180" s="1234" t="n"/>
      <c r="S180" s="1234" t="n"/>
      <c r="T180" s="1235" t="n"/>
      <c r="U180" s="39" t="inlineStr"/>
      <c r="V180" s="39" t="inlineStr"/>
      <c r="W180" s="40" t="inlineStr">
        <is>
          <t>кг</t>
        </is>
      </c>
      <c r="X180" s="1236" t="n">
        <v>105</v>
      </c>
      <c r="Y180" s="1237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52" t="inlineStr">
        <is>
          <t>ЕАЭС N RU Д-RU.РА05.В.84751/22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SU002877</t>
        </is>
      </c>
      <c r="B181" s="63" t="inlineStr">
        <is>
          <t>P003277</t>
        </is>
      </c>
      <c r="C181" s="36" t="n">
        <v>4301031205</v>
      </c>
      <c r="D181" s="832" t="n">
        <v>4680115881785</v>
      </c>
      <c r="E181" s="1193" t="n"/>
      <c r="F181" s="1232" t="n">
        <v>0.35</v>
      </c>
      <c r="G181" s="37" t="n">
        <v>6</v>
      </c>
      <c r="H181" s="1232" t="n">
        <v>2.1</v>
      </c>
      <c r="I181" s="1232" t="n">
        <v>2.23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32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81" s="1234" t="n"/>
      <c r="R181" s="1234" t="n"/>
      <c r="S181" s="1234" t="n"/>
      <c r="T181" s="1235" t="n"/>
      <c r="U181" s="39" t="inlineStr"/>
      <c r="V181" s="39" t="inlineStr"/>
      <c r="W181" s="40" t="inlineStr">
        <is>
          <t>кг</t>
        </is>
      </c>
      <c r="X181" s="1236" t="n">
        <v>105</v>
      </c>
      <c r="Y181" s="1237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54" t="inlineStr">
        <is>
          <t>ЕАЭС N RU Д-RU.РА01.В.98713/23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SU002848</t>
        </is>
      </c>
      <c r="B182" s="63" t="inlineStr">
        <is>
          <t>P003260</t>
        </is>
      </c>
      <c r="C182" s="36" t="n">
        <v>4301031202</v>
      </c>
      <c r="D182" s="832" t="n">
        <v>4680115881679</v>
      </c>
      <c r="E182" s="1193" t="n"/>
      <c r="F182" s="1232" t="n">
        <v>0.35</v>
      </c>
      <c r="G182" s="37" t="n">
        <v>6</v>
      </c>
      <c r="H182" s="1232" t="n">
        <v>2.1</v>
      </c>
      <c r="I182" s="1232" t="n">
        <v>2.2</v>
      </c>
      <c r="J182" s="37" t="n">
        <v>234</v>
      </c>
      <c r="K182" s="37" t="inlineStr">
        <is>
          <t>18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32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2" s="1234" t="n"/>
      <c r="R182" s="1234" t="n"/>
      <c r="S182" s="1234" t="n"/>
      <c r="T182" s="1235" t="n"/>
      <c r="U182" s="39" t="inlineStr"/>
      <c r="V182" s="39" t="inlineStr"/>
      <c r="W182" s="40" t="inlineStr">
        <is>
          <t>кг</t>
        </is>
      </c>
      <c r="X182" s="1236" t="n">
        <v>157.5</v>
      </c>
      <c r="Y182" s="1237">
        <f>IFERROR(IF(X182="",0,CEILING((X182/$H182),1)*$H182),"")</f>
        <v/>
      </c>
      <c r="Z182" s="41">
        <f>IFERROR(IF(Y182=0,"",ROUNDUP(Y182/H182,0)*0.00502),"")</f>
        <v/>
      </c>
      <c r="AA182" s="68" t="inlineStr"/>
      <c r="AB182" s="69" t="inlineStr"/>
      <c r="AC182" s="256" t="inlineStr">
        <is>
          <t>ЕАЭС N RU Д-RU.РА09.В.37545/22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SU002659</t>
        </is>
      </c>
      <c r="B183" s="63" t="inlineStr">
        <is>
          <t>P003034</t>
        </is>
      </c>
      <c r="C183" s="36" t="n">
        <v>4301031158</v>
      </c>
      <c r="D183" s="832" t="n">
        <v>4680115880191</v>
      </c>
      <c r="E183" s="1193" t="n"/>
      <c r="F183" s="1232" t="n">
        <v>0.4</v>
      </c>
      <c r="G183" s="37" t="n">
        <v>6</v>
      </c>
      <c r="H183" s="1232" t="n">
        <v>2.4</v>
      </c>
      <c r="I183" s="1232" t="n">
        <v>2.58</v>
      </c>
      <c r="J183" s="37" t="n">
        <v>182</v>
      </c>
      <c r="K183" s="37" t="inlineStr">
        <is>
          <t>14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2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3" s="1234" t="n"/>
      <c r="R183" s="1234" t="n"/>
      <c r="S183" s="1234" t="n"/>
      <c r="T183" s="1235" t="n"/>
      <c r="U183" s="39" t="inlineStr"/>
      <c r="V183" s="39" t="inlineStr"/>
      <c r="W183" s="40" t="inlineStr">
        <is>
          <t>кг</t>
        </is>
      </c>
      <c r="X183" s="1236" t="n">
        <v>0</v>
      </c>
      <c r="Y183" s="1237">
        <f>IFERROR(IF(X183="",0,CEILING((X183/$H183),1)*$H183),"")</f>
        <v/>
      </c>
      <c r="Z183" s="41">
        <f>IFERROR(IF(Y183=0,"",ROUNDUP(Y183/H183,0)*0.00651),"")</f>
        <v/>
      </c>
      <c r="AA183" s="68" t="inlineStr"/>
      <c r="AB183" s="69" t="inlineStr"/>
      <c r="AC183" s="258" t="inlineStr">
        <is>
          <t>ЕАЭС N RU Д-RU.РА09.В.37545/22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 ht="27" customHeight="1">
      <c r="A184" s="63" t="inlineStr">
        <is>
          <t>SU003046</t>
        </is>
      </c>
      <c r="B184" s="63" t="inlineStr">
        <is>
          <t>P003598</t>
        </is>
      </c>
      <c r="C184" s="36" t="n">
        <v>4301031245</v>
      </c>
      <c r="D184" s="832" t="n">
        <v>4680115883963</v>
      </c>
      <c r="E184" s="1193" t="n"/>
      <c r="F184" s="1232" t="n">
        <v>0.28</v>
      </c>
      <c r="G184" s="37" t="n">
        <v>6</v>
      </c>
      <c r="H184" s="1232" t="n">
        <v>1.68</v>
      </c>
      <c r="I184" s="1232" t="n">
        <v>1.78</v>
      </c>
      <c r="J184" s="37" t="n">
        <v>234</v>
      </c>
      <c r="K184" s="37" t="inlineStr">
        <is>
          <t>18</t>
        </is>
      </c>
      <c r="L184" s="37" t="inlineStr"/>
      <c r="M184" s="38" t="inlineStr">
        <is>
          <t>СК2</t>
        </is>
      </c>
      <c r="N184" s="38" t="n"/>
      <c r="O184" s="37" t="n">
        <v>40</v>
      </c>
      <c r="P184" s="132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4" s="1234" t="n"/>
      <c r="R184" s="1234" t="n"/>
      <c r="S184" s="1234" t="n"/>
      <c r="T184" s="1235" t="n"/>
      <c r="U184" s="39" t="inlineStr"/>
      <c r="V184" s="39" t="inlineStr"/>
      <c r="W184" s="40" t="inlineStr">
        <is>
          <t>кг</t>
        </is>
      </c>
      <c r="X184" s="1236" t="n">
        <v>0</v>
      </c>
      <c r="Y184" s="1237">
        <f>IFERROR(IF(X184="",0,CEILING((X184/$H184),1)*$H184),"")</f>
        <v/>
      </c>
      <c r="Z184" s="41">
        <f>IFERROR(IF(Y184=0,"",ROUNDUP(Y184/H184,0)*0.00502),"")</f>
        <v/>
      </c>
      <c r="AA184" s="68" t="inlineStr"/>
      <c r="AB184" s="69" t="inlineStr"/>
      <c r="AC184" s="260" t="inlineStr">
        <is>
          <t>ЕАЭС N RU Д-RU.РА06.В.75139/23</t>
        </is>
      </c>
      <c r="AG184" s="78" t="n"/>
      <c r="AJ184" s="84" t="inlineStr"/>
      <c r="AK184" s="84" t="n">
        <v>0</v>
      </c>
      <c r="BB184" s="261" t="inlineStr">
        <is>
          <t>КИ</t>
        </is>
      </c>
      <c r="BM184" s="78">
        <f>IFERROR(X184*I184/H184,"0")</f>
        <v/>
      </c>
      <c r="BN184" s="78">
        <f>IFERROR(Y184*I184/H184,"0")</f>
        <v/>
      </c>
      <c r="BO184" s="78">
        <f>IFERROR(1/J184*(X184/H184),"0")</f>
        <v/>
      </c>
      <c r="BP184" s="78">
        <f>IFERROR(1/J184*(Y184/H184),"0")</f>
        <v/>
      </c>
    </row>
    <row r="185">
      <c r="A185" s="843" t="n"/>
      <c r="B185" s="1182" t="n"/>
      <c r="C185" s="1182" t="n"/>
      <c r="D185" s="1182" t="n"/>
      <c r="E185" s="1182" t="n"/>
      <c r="F185" s="1182" t="n"/>
      <c r="G185" s="1182" t="n"/>
      <c r="H185" s="1182" t="n"/>
      <c r="I185" s="1182" t="n"/>
      <c r="J185" s="1182" t="n"/>
      <c r="K185" s="1182" t="n"/>
      <c r="L185" s="1182" t="n"/>
      <c r="M185" s="1182" t="n"/>
      <c r="N185" s="1182" t="n"/>
      <c r="O185" s="1241" t="n"/>
      <c r="P185" s="1242" t="inlineStr">
        <is>
          <t>Итого</t>
        </is>
      </c>
      <c r="Q185" s="1201" t="n"/>
      <c r="R185" s="1201" t="n"/>
      <c r="S185" s="1201" t="n"/>
      <c r="T185" s="1201" t="n"/>
      <c r="U185" s="1201" t="n"/>
      <c r="V185" s="1202" t="n"/>
      <c r="W185" s="42" t="inlineStr">
        <is>
          <t>кор</t>
        </is>
      </c>
      <c r="X185" s="1243">
        <f>IFERROR(X177/H177,"0")+IFERROR(X178/H178,"0")+IFERROR(X179/H179,"0")+IFERROR(X180/H180,"0")+IFERROR(X181/H181,"0")+IFERROR(X182/H182,"0")+IFERROR(X183/H183,"0")+IFERROR(X184/H184,"0")</f>
        <v/>
      </c>
      <c r="Y185" s="1243">
        <f>IFERROR(Y177/H177,"0")+IFERROR(Y178/H178,"0")+IFERROR(Y179/H179,"0")+IFERROR(Y180/H180,"0")+IFERROR(Y181/H181,"0")+IFERROR(Y182/H182,"0")+IFERROR(Y183/H183,"0")+IFERROR(Y184/H184,"0")</f>
        <v/>
      </c>
      <c r="Z185" s="12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/>
      </c>
      <c r="AA185" s="1244" t="n"/>
      <c r="AB185" s="1244" t="n"/>
      <c r="AC185" s="1244" t="n"/>
    </row>
    <row r="186">
      <c r="A186" s="1182" t="n"/>
      <c r="B186" s="1182" t="n"/>
      <c r="C186" s="1182" t="n"/>
      <c r="D186" s="1182" t="n"/>
      <c r="E186" s="1182" t="n"/>
      <c r="F186" s="1182" t="n"/>
      <c r="G186" s="1182" t="n"/>
      <c r="H186" s="1182" t="n"/>
      <c r="I186" s="1182" t="n"/>
      <c r="J186" s="1182" t="n"/>
      <c r="K186" s="1182" t="n"/>
      <c r="L186" s="1182" t="n"/>
      <c r="M186" s="1182" t="n"/>
      <c r="N186" s="1182" t="n"/>
      <c r="O186" s="1241" t="n"/>
      <c r="P186" s="1242" t="inlineStr">
        <is>
          <t>Итого</t>
        </is>
      </c>
      <c r="Q186" s="1201" t="n"/>
      <c r="R186" s="1201" t="n"/>
      <c r="S186" s="1201" t="n"/>
      <c r="T186" s="1201" t="n"/>
      <c r="U186" s="1201" t="n"/>
      <c r="V186" s="1202" t="n"/>
      <c r="W186" s="42" t="inlineStr">
        <is>
          <t>кг</t>
        </is>
      </c>
      <c r="X186" s="1243">
        <f>IFERROR(SUM(X177:X184),"0")</f>
        <v/>
      </c>
      <c r="Y186" s="1243">
        <f>IFERROR(SUM(Y177:Y184),"0")</f>
        <v/>
      </c>
      <c r="Z186" s="42" t="n"/>
      <c r="AA186" s="1244" t="n"/>
      <c r="AB186" s="1244" t="n"/>
      <c r="AC186" s="1244" t="n"/>
    </row>
    <row r="187" ht="16.5" customHeight="1">
      <c r="A187" s="830" t="inlineStr">
        <is>
          <t>Сочинка</t>
        </is>
      </c>
      <c r="B187" s="1182" t="n"/>
      <c r="C187" s="1182" t="n"/>
      <c r="D187" s="1182" t="n"/>
      <c r="E187" s="1182" t="n"/>
      <c r="F187" s="1182" t="n"/>
      <c r="G187" s="1182" t="n"/>
      <c r="H187" s="1182" t="n"/>
      <c r="I187" s="1182" t="n"/>
      <c r="J187" s="1182" t="n"/>
      <c r="K187" s="1182" t="n"/>
      <c r="L187" s="1182" t="n"/>
      <c r="M187" s="1182" t="n"/>
      <c r="N187" s="1182" t="n"/>
      <c r="O187" s="1182" t="n"/>
      <c r="P187" s="1182" t="n"/>
      <c r="Q187" s="1182" t="n"/>
      <c r="R187" s="1182" t="n"/>
      <c r="S187" s="1182" t="n"/>
      <c r="T187" s="1182" t="n"/>
      <c r="U187" s="1182" t="n"/>
      <c r="V187" s="1182" t="n"/>
      <c r="W187" s="1182" t="n"/>
      <c r="X187" s="1182" t="n"/>
      <c r="Y187" s="1182" t="n"/>
      <c r="Z187" s="1182" t="n"/>
      <c r="AA187" s="830" t="n"/>
      <c r="AB187" s="830" t="n"/>
      <c r="AC187" s="830" t="n"/>
    </row>
    <row r="188" ht="14.25" customHeight="1">
      <c r="A188" s="831" t="inlineStr">
        <is>
          <t>Вареные колбасы</t>
        </is>
      </c>
      <c r="B188" s="1182" t="n"/>
      <c r="C188" s="1182" t="n"/>
      <c r="D188" s="1182" t="n"/>
      <c r="E188" s="1182" t="n"/>
      <c r="F188" s="1182" t="n"/>
      <c r="G188" s="1182" t="n"/>
      <c r="H188" s="1182" t="n"/>
      <c r="I188" s="1182" t="n"/>
      <c r="J188" s="1182" t="n"/>
      <c r="K188" s="1182" t="n"/>
      <c r="L188" s="1182" t="n"/>
      <c r="M188" s="1182" t="n"/>
      <c r="N188" s="1182" t="n"/>
      <c r="O188" s="1182" t="n"/>
      <c r="P188" s="1182" t="n"/>
      <c r="Q188" s="1182" t="n"/>
      <c r="R188" s="1182" t="n"/>
      <c r="S188" s="1182" t="n"/>
      <c r="T188" s="1182" t="n"/>
      <c r="U188" s="1182" t="n"/>
      <c r="V188" s="1182" t="n"/>
      <c r="W188" s="1182" t="n"/>
      <c r="X188" s="1182" t="n"/>
      <c r="Y188" s="1182" t="n"/>
      <c r="Z188" s="1182" t="n"/>
      <c r="AA188" s="831" t="n"/>
      <c r="AB188" s="831" t="n"/>
      <c r="AC188" s="831" t="n"/>
    </row>
    <row r="189" ht="16.5" customHeight="1">
      <c r="A189" s="63" t="inlineStr">
        <is>
          <t>SU002824</t>
        </is>
      </c>
      <c r="B189" s="63" t="inlineStr">
        <is>
          <t>P003231</t>
        </is>
      </c>
      <c r="C189" s="36" t="n">
        <v>4301011450</v>
      </c>
      <c r="D189" s="832" t="n">
        <v>4680115881402</v>
      </c>
      <c r="E189" s="1193" t="n"/>
      <c r="F189" s="1232" t="n">
        <v>1.35</v>
      </c>
      <c r="G189" s="37" t="n">
        <v>8</v>
      </c>
      <c r="H189" s="1232" t="n">
        <v>10.8</v>
      </c>
      <c r="I189" s="1232" t="n">
        <v>11.235</v>
      </c>
      <c r="J189" s="37" t="n">
        <v>64</v>
      </c>
      <c r="K189" s="37" t="inlineStr">
        <is>
          <t>8</t>
        </is>
      </c>
      <c r="L189" s="37" t="inlineStr"/>
      <c r="M189" s="38" t="inlineStr">
        <is>
          <t>СК1</t>
        </is>
      </c>
      <c r="N189" s="38" t="n"/>
      <c r="O189" s="37" t="n">
        <v>55</v>
      </c>
      <c r="P189" s="132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9" s="1234" t="n"/>
      <c r="R189" s="1234" t="n"/>
      <c r="S189" s="1234" t="n"/>
      <c r="T189" s="1235" t="n"/>
      <c r="U189" s="39" t="inlineStr"/>
      <c r="V189" s="39" t="inlineStr"/>
      <c r="W189" s="40" t="inlineStr">
        <is>
          <t>кг</t>
        </is>
      </c>
      <c r="X189" s="1236" t="n">
        <v>0</v>
      </c>
      <c r="Y189" s="1237">
        <f>IFERROR(IF(X189="",0,CEILING((X189/$H189),1)*$H189),"")</f>
        <v/>
      </c>
      <c r="Z189" s="41">
        <f>IFERROR(IF(Y189=0,"",ROUNDUP(Y189/H189,0)*0.01898),"")</f>
        <v/>
      </c>
      <c r="AA189" s="68" t="inlineStr"/>
      <c r="AB189" s="69" t="inlineStr"/>
      <c r="AC189" s="262" t="inlineStr">
        <is>
          <t>ЕАЭС N RU Д-RU.РА09.В.00972/22</t>
        </is>
      </c>
      <c r="AG189" s="78" t="n"/>
      <c r="AJ189" s="84" t="inlineStr"/>
      <c r="AK189" s="84" t="n">
        <v>0</v>
      </c>
      <c r="BB189" s="263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 ht="27" customHeight="1">
      <c r="A190" s="63" t="inlineStr">
        <is>
          <t>SU002823</t>
        </is>
      </c>
      <c r="B190" s="63" t="inlineStr">
        <is>
          <t>P003230</t>
        </is>
      </c>
      <c r="C190" s="36" t="n">
        <v>4301011768</v>
      </c>
      <c r="D190" s="832" t="n">
        <v>4680115881396</v>
      </c>
      <c r="E190" s="1193" t="n"/>
      <c r="F190" s="1232" t="n">
        <v>0.45</v>
      </c>
      <c r="G190" s="37" t="n">
        <v>6</v>
      </c>
      <c r="H190" s="1232" t="n">
        <v>2.7</v>
      </c>
      <c r="I190" s="1232" t="n">
        <v>2.88</v>
      </c>
      <c r="J190" s="37" t="n">
        <v>182</v>
      </c>
      <c r="K190" s="37" t="inlineStr">
        <is>
          <t>14</t>
        </is>
      </c>
      <c r="L190" s="37" t="inlineStr"/>
      <c r="M190" s="38" t="inlineStr">
        <is>
          <t>СК1</t>
        </is>
      </c>
      <c r="N190" s="38" t="n"/>
      <c r="O190" s="37" t="n">
        <v>55</v>
      </c>
      <c r="P190" s="133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0" s="1234" t="n"/>
      <c r="R190" s="1234" t="n"/>
      <c r="S190" s="1234" t="n"/>
      <c r="T190" s="1235" t="n"/>
      <c r="U190" s="39" t="inlineStr"/>
      <c r="V190" s="39" t="inlineStr"/>
      <c r="W190" s="40" t="inlineStr">
        <is>
          <t>кг</t>
        </is>
      </c>
      <c r="X190" s="1236" t="n">
        <v>0</v>
      </c>
      <c r="Y190" s="1237">
        <f>IFERROR(IF(X190="",0,CEILING((X190/$H190),1)*$H190),"")</f>
        <v/>
      </c>
      <c r="Z190" s="41">
        <f>IFERROR(IF(Y190=0,"",ROUNDUP(Y190/H190,0)*0.00651),"")</f>
        <v/>
      </c>
      <c r="AA190" s="68" t="inlineStr"/>
      <c r="AB190" s="69" t="inlineStr"/>
      <c r="AC190" s="264" t="inlineStr">
        <is>
          <t>ЕАЭС N RU Д-RU.РА09.В.00972/22</t>
        </is>
      </c>
      <c r="AG190" s="78" t="n"/>
      <c r="AJ190" s="84" t="inlineStr"/>
      <c r="AK190" s="84" t="n">
        <v>0</v>
      </c>
      <c r="BB190" s="265" t="inlineStr">
        <is>
          <t>КИ</t>
        </is>
      </c>
      <c r="BM190" s="78">
        <f>IFERROR(X190*I190/H190,"0")</f>
        <v/>
      </c>
      <c r="BN190" s="78">
        <f>IFERROR(Y190*I190/H190,"0")</f>
        <v/>
      </c>
      <c r="BO190" s="78">
        <f>IFERROR(1/J190*(X190/H190),"0")</f>
        <v/>
      </c>
      <c r="BP190" s="78">
        <f>IFERROR(1/J190*(Y190/H190),"0")</f>
        <v/>
      </c>
    </row>
    <row r="191">
      <c r="A191" s="843" t="n"/>
      <c r="B191" s="1182" t="n"/>
      <c r="C191" s="1182" t="n"/>
      <c r="D191" s="1182" t="n"/>
      <c r="E191" s="1182" t="n"/>
      <c r="F191" s="1182" t="n"/>
      <c r="G191" s="1182" t="n"/>
      <c r="H191" s="1182" t="n"/>
      <c r="I191" s="1182" t="n"/>
      <c r="J191" s="1182" t="n"/>
      <c r="K191" s="1182" t="n"/>
      <c r="L191" s="1182" t="n"/>
      <c r="M191" s="1182" t="n"/>
      <c r="N191" s="1182" t="n"/>
      <c r="O191" s="1241" t="n"/>
      <c r="P191" s="1242" t="inlineStr">
        <is>
          <t>Итого</t>
        </is>
      </c>
      <c r="Q191" s="1201" t="n"/>
      <c r="R191" s="1201" t="n"/>
      <c r="S191" s="1201" t="n"/>
      <c r="T191" s="1201" t="n"/>
      <c r="U191" s="1201" t="n"/>
      <c r="V191" s="1202" t="n"/>
      <c r="W191" s="42" t="inlineStr">
        <is>
          <t>кор</t>
        </is>
      </c>
      <c r="X191" s="1243">
        <f>IFERROR(X189/H189,"0")+IFERROR(X190/H190,"0")</f>
        <v/>
      </c>
      <c r="Y191" s="1243">
        <f>IFERROR(Y189/H189,"0")+IFERROR(Y190/H190,"0")</f>
        <v/>
      </c>
      <c r="Z191" s="1243">
        <f>IFERROR(IF(Z189="",0,Z189),"0")+IFERROR(IF(Z190="",0,Z190),"0")</f>
        <v/>
      </c>
      <c r="AA191" s="1244" t="n"/>
      <c r="AB191" s="1244" t="n"/>
      <c r="AC191" s="1244" t="n"/>
    </row>
    <row r="192">
      <c r="A192" s="1182" t="n"/>
      <c r="B192" s="1182" t="n"/>
      <c r="C192" s="1182" t="n"/>
      <c r="D192" s="1182" t="n"/>
      <c r="E192" s="1182" t="n"/>
      <c r="F192" s="1182" t="n"/>
      <c r="G192" s="1182" t="n"/>
      <c r="H192" s="1182" t="n"/>
      <c r="I192" s="1182" t="n"/>
      <c r="J192" s="1182" t="n"/>
      <c r="K192" s="1182" t="n"/>
      <c r="L192" s="1182" t="n"/>
      <c r="M192" s="1182" t="n"/>
      <c r="N192" s="1182" t="n"/>
      <c r="O192" s="1241" t="n"/>
      <c r="P192" s="1242" t="inlineStr">
        <is>
          <t>Итого</t>
        </is>
      </c>
      <c r="Q192" s="1201" t="n"/>
      <c r="R192" s="1201" t="n"/>
      <c r="S192" s="1201" t="n"/>
      <c r="T192" s="1201" t="n"/>
      <c r="U192" s="1201" t="n"/>
      <c r="V192" s="1202" t="n"/>
      <c r="W192" s="42" t="inlineStr">
        <is>
          <t>кг</t>
        </is>
      </c>
      <c r="X192" s="1243">
        <f>IFERROR(SUM(X189:X190),"0")</f>
        <v/>
      </c>
      <c r="Y192" s="1243">
        <f>IFERROR(SUM(Y189:Y190),"0")</f>
        <v/>
      </c>
      <c r="Z192" s="42" t="n"/>
      <c r="AA192" s="1244" t="n"/>
      <c r="AB192" s="1244" t="n"/>
      <c r="AC192" s="1244" t="n"/>
    </row>
    <row r="193" ht="14.25" customHeight="1">
      <c r="A193" s="831" t="inlineStr">
        <is>
          <t>Ветчины</t>
        </is>
      </c>
      <c r="B193" s="1182" t="n"/>
      <c r="C193" s="1182" t="n"/>
      <c r="D193" s="1182" t="n"/>
      <c r="E193" s="1182" t="n"/>
      <c r="F193" s="1182" t="n"/>
      <c r="G193" s="1182" t="n"/>
      <c r="H193" s="1182" t="n"/>
      <c r="I193" s="1182" t="n"/>
      <c r="J193" s="1182" t="n"/>
      <c r="K193" s="1182" t="n"/>
      <c r="L193" s="1182" t="n"/>
      <c r="M193" s="1182" t="n"/>
      <c r="N193" s="1182" t="n"/>
      <c r="O193" s="1182" t="n"/>
      <c r="P193" s="1182" t="n"/>
      <c r="Q193" s="1182" t="n"/>
      <c r="R193" s="1182" t="n"/>
      <c r="S193" s="1182" t="n"/>
      <c r="T193" s="1182" t="n"/>
      <c r="U193" s="1182" t="n"/>
      <c r="V193" s="1182" t="n"/>
      <c r="W193" s="1182" t="n"/>
      <c r="X193" s="1182" t="n"/>
      <c r="Y193" s="1182" t="n"/>
      <c r="Z193" s="1182" t="n"/>
      <c r="AA193" s="831" t="n"/>
      <c r="AB193" s="831" t="n"/>
      <c r="AC193" s="831" t="n"/>
    </row>
    <row r="194" ht="16.5" customHeight="1">
      <c r="A194" s="63" t="inlineStr">
        <is>
          <t>SU003068</t>
        </is>
      </c>
      <c r="B194" s="63" t="inlineStr">
        <is>
          <t>P003611</t>
        </is>
      </c>
      <c r="C194" s="36" t="n">
        <v>4301020262</v>
      </c>
      <c r="D194" s="832" t="n">
        <v>4680115882935</v>
      </c>
      <c r="E194" s="1193" t="n"/>
      <c r="F194" s="1232" t="n">
        <v>1.35</v>
      </c>
      <c r="G194" s="37" t="n">
        <v>8</v>
      </c>
      <c r="H194" s="1232" t="n">
        <v>10.8</v>
      </c>
      <c r="I194" s="1232" t="n">
        <v>11.235</v>
      </c>
      <c r="J194" s="37" t="n">
        <v>64</v>
      </c>
      <c r="K194" s="37" t="inlineStr">
        <is>
          <t>8</t>
        </is>
      </c>
      <c r="L194" s="37" t="inlineStr"/>
      <c r="M194" s="38" t="inlineStr">
        <is>
          <t>СК3</t>
        </is>
      </c>
      <c r="N194" s="38" t="n"/>
      <c r="O194" s="37" t="n">
        <v>50</v>
      </c>
      <c r="P194" s="133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4" s="1234" t="n"/>
      <c r="R194" s="1234" t="n"/>
      <c r="S194" s="1234" t="n"/>
      <c r="T194" s="1235" t="n"/>
      <c r="U194" s="39" t="inlineStr"/>
      <c r="V194" s="39" t="inlineStr"/>
      <c r="W194" s="40" t="inlineStr">
        <is>
          <t>кг</t>
        </is>
      </c>
      <c r="X194" s="1236" t="n">
        <v>0</v>
      </c>
      <c r="Y194" s="1237">
        <f>IFERROR(IF(X194="",0,CEILING((X194/$H194),1)*$H194),"")</f>
        <v/>
      </c>
      <c r="Z194" s="41">
        <f>IFERROR(IF(Y194=0,"",ROUNDUP(Y194/H194,0)*0.01898),"")</f>
        <v/>
      </c>
      <c r="AA194" s="68" t="inlineStr"/>
      <c r="AB194" s="69" t="inlineStr"/>
      <c r="AC194" s="266" t="inlineStr">
        <is>
          <t>ЕАЭС N RU Д-RU.РА06.В.80141/22</t>
        </is>
      </c>
      <c r="AG194" s="78" t="n"/>
      <c r="AJ194" s="84" t="inlineStr"/>
      <c r="AK194" s="84" t="n">
        <v>0</v>
      </c>
      <c r="BB194" s="267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 ht="16.5" customHeight="1">
      <c r="A195" s="63" t="inlineStr">
        <is>
          <t>SU002757</t>
        </is>
      </c>
      <c r="B195" s="63" t="inlineStr">
        <is>
          <t>P003128</t>
        </is>
      </c>
      <c r="C195" s="36" t="n">
        <v>4301020220</v>
      </c>
      <c r="D195" s="832" t="n">
        <v>4680115880764</v>
      </c>
      <c r="E195" s="1193" t="n"/>
      <c r="F195" s="1232" t="n">
        <v>0.35</v>
      </c>
      <c r="G195" s="37" t="n">
        <v>6</v>
      </c>
      <c r="H195" s="1232" t="n">
        <v>2.1</v>
      </c>
      <c r="I195" s="1232" t="n">
        <v>2.28</v>
      </c>
      <c r="J195" s="37" t="n">
        <v>182</v>
      </c>
      <c r="K195" s="37" t="inlineStr">
        <is>
          <t>14</t>
        </is>
      </c>
      <c r="L195" s="37" t="inlineStr"/>
      <c r="M195" s="38" t="inlineStr">
        <is>
          <t>СК1</t>
        </is>
      </c>
      <c r="N195" s="38" t="n"/>
      <c r="O195" s="37" t="n">
        <v>50</v>
      </c>
      <c r="P195" s="133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5" s="1234" t="n"/>
      <c r="R195" s="1234" t="n"/>
      <c r="S195" s="1234" t="n"/>
      <c r="T195" s="1235" t="n"/>
      <c r="U195" s="39" t="inlineStr"/>
      <c r="V195" s="39" t="inlineStr"/>
      <c r="W195" s="40" t="inlineStr">
        <is>
          <t>кг</t>
        </is>
      </c>
      <c r="X195" s="1236" t="n">
        <v>0</v>
      </c>
      <c r="Y195" s="1237">
        <f>IFERROR(IF(X195="",0,CEILING((X195/$H195),1)*$H195),"")</f>
        <v/>
      </c>
      <c r="Z195" s="41">
        <f>IFERROR(IF(Y195=0,"",ROUNDUP(Y195/H195,0)*0.00651),"")</f>
        <v/>
      </c>
      <c r="AA195" s="68" t="inlineStr"/>
      <c r="AB195" s="69" t="inlineStr"/>
      <c r="AC195" s="268" t="inlineStr">
        <is>
          <t>ЕАЭС N RU Д-RU.РА06.В.80141/22</t>
        </is>
      </c>
      <c r="AG195" s="78" t="n"/>
      <c r="AJ195" s="84" t="inlineStr"/>
      <c r="AK195" s="84" t="n">
        <v>0</v>
      </c>
      <c r="BB195" s="269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>
      <c r="A196" s="843" t="n"/>
      <c r="B196" s="1182" t="n"/>
      <c r="C196" s="1182" t="n"/>
      <c r="D196" s="1182" t="n"/>
      <c r="E196" s="1182" t="n"/>
      <c r="F196" s="1182" t="n"/>
      <c r="G196" s="1182" t="n"/>
      <c r="H196" s="1182" t="n"/>
      <c r="I196" s="1182" t="n"/>
      <c r="J196" s="1182" t="n"/>
      <c r="K196" s="1182" t="n"/>
      <c r="L196" s="1182" t="n"/>
      <c r="M196" s="1182" t="n"/>
      <c r="N196" s="1182" t="n"/>
      <c r="O196" s="1241" t="n"/>
      <c r="P196" s="1242" t="inlineStr">
        <is>
          <t>Итого</t>
        </is>
      </c>
      <c r="Q196" s="1201" t="n"/>
      <c r="R196" s="1201" t="n"/>
      <c r="S196" s="1201" t="n"/>
      <c r="T196" s="1201" t="n"/>
      <c r="U196" s="1201" t="n"/>
      <c r="V196" s="1202" t="n"/>
      <c r="W196" s="42" t="inlineStr">
        <is>
          <t>кор</t>
        </is>
      </c>
      <c r="X196" s="1243">
        <f>IFERROR(X194/H194,"0")+IFERROR(X195/H195,"0")</f>
        <v/>
      </c>
      <c r="Y196" s="1243">
        <f>IFERROR(Y194/H194,"0")+IFERROR(Y195/H195,"0")</f>
        <v/>
      </c>
      <c r="Z196" s="1243">
        <f>IFERROR(IF(Z194="",0,Z194),"0")+IFERROR(IF(Z195="",0,Z195),"0")</f>
        <v/>
      </c>
      <c r="AA196" s="1244" t="n"/>
      <c r="AB196" s="1244" t="n"/>
      <c r="AC196" s="1244" t="n"/>
    </row>
    <row r="197">
      <c r="A197" s="1182" t="n"/>
      <c r="B197" s="1182" t="n"/>
      <c r="C197" s="1182" t="n"/>
      <c r="D197" s="1182" t="n"/>
      <c r="E197" s="1182" t="n"/>
      <c r="F197" s="1182" t="n"/>
      <c r="G197" s="1182" t="n"/>
      <c r="H197" s="1182" t="n"/>
      <c r="I197" s="1182" t="n"/>
      <c r="J197" s="1182" t="n"/>
      <c r="K197" s="1182" t="n"/>
      <c r="L197" s="1182" t="n"/>
      <c r="M197" s="1182" t="n"/>
      <c r="N197" s="1182" t="n"/>
      <c r="O197" s="1241" t="n"/>
      <c r="P197" s="1242" t="inlineStr">
        <is>
          <t>Итого</t>
        </is>
      </c>
      <c r="Q197" s="1201" t="n"/>
      <c r="R197" s="1201" t="n"/>
      <c r="S197" s="1201" t="n"/>
      <c r="T197" s="1201" t="n"/>
      <c r="U197" s="1201" t="n"/>
      <c r="V197" s="1202" t="n"/>
      <c r="W197" s="42" t="inlineStr">
        <is>
          <t>кг</t>
        </is>
      </c>
      <c r="X197" s="1243">
        <f>IFERROR(SUM(X194:X195),"0")</f>
        <v/>
      </c>
      <c r="Y197" s="1243">
        <f>IFERROR(SUM(Y194:Y195),"0")</f>
        <v/>
      </c>
      <c r="Z197" s="42" t="n"/>
      <c r="AA197" s="1244" t="n"/>
      <c r="AB197" s="1244" t="n"/>
      <c r="AC197" s="1244" t="n"/>
    </row>
    <row r="198" ht="14.25" customHeight="1">
      <c r="A198" s="831" t="inlineStr">
        <is>
          <t>Копченые колбасы</t>
        </is>
      </c>
      <c r="B198" s="1182" t="n"/>
      <c r="C198" s="1182" t="n"/>
      <c r="D198" s="1182" t="n"/>
      <c r="E198" s="1182" t="n"/>
      <c r="F198" s="1182" t="n"/>
      <c r="G198" s="1182" t="n"/>
      <c r="H198" s="1182" t="n"/>
      <c r="I198" s="1182" t="n"/>
      <c r="J198" s="1182" t="n"/>
      <c r="K198" s="1182" t="n"/>
      <c r="L198" s="1182" t="n"/>
      <c r="M198" s="1182" t="n"/>
      <c r="N198" s="1182" t="n"/>
      <c r="O198" s="1182" t="n"/>
      <c r="P198" s="1182" t="n"/>
      <c r="Q198" s="1182" t="n"/>
      <c r="R198" s="1182" t="n"/>
      <c r="S198" s="1182" t="n"/>
      <c r="T198" s="1182" t="n"/>
      <c r="U198" s="1182" t="n"/>
      <c r="V198" s="1182" t="n"/>
      <c r="W198" s="1182" t="n"/>
      <c r="X198" s="1182" t="n"/>
      <c r="Y198" s="1182" t="n"/>
      <c r="Z198" s="1182" t="n"/>
      <c r="AA198" s="831" t="n"/>
      <c r="AB198" s="831" t="n"/>
      <c r="AC198" s="831" t="n"/>
    </row>
    <row r="199" ht="27" customHeight="1">
      <c r="A199" s="63" t="inlineStr">
        <is>
          <t>SU002941</t>
        </is>
      </c>
      <c r="B199" s="63" t="inlineStr">
        <is>
          <t>P003387</t>
        </is>
      </c>
      <c r="C199" s="36" t="n">
        <v>4301031224</v>
      </c>
      <c r="D199" s="832" t="n">
        <v>4680115882683</v>
      </c>
      <c r="E199" s="1193" t="n"/>
      <c r="F199" s="1232" t="n">
        <v>0.9</v>
      </c>
      <c r="G199" s="37" t="n">
        <v>6</v>
      </c>
      <c r="H199" s="1232" t="n">
        <v>5.4</v>
      </c>
      <c r="I199" s="1232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3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9" s="1234" t="n"/>
      <c r="R199" s="1234" t="n"/>
      <c r="S199" s="1234" t="n"/>
      <c r="T199" s="1235" t="n"/>
      <c r="U199" s="39" t="inlineStr"/>
      <c r="V199" s="39" t="inlineStr"/>
      <c r="W199" s="40" t="inlineStr">
        <is>
          <t>кг</t>
        </is>
      </c>
      <c r="X199" s="1236" t="n">
        <v>150</v>
      </c>
      <c r="Y199" s="1237">
        <f>IFERROR(IF(X199="",0,CEILING((X199/$H199),1)*$H199),"")</f>
        <v/>
      </c>
      <c r="Z199" s="41">
        <f>IFERROR(IF(Y199=0,"",ROUNDUP(Y199/H199,0)*0.00902),"")</f>
        <v/>
      </c>
      <c r="AA199" s="68" t="inlineStr"/>
      <c r="AB199" s="69" t="inlineStr"/>
      <c r="AC199" s="270" t="inlineStr">
        <is>
          <t>ЕАЭС N RU Д-RU.РА04.В.74420/23</t>
        </is>
      </c>
      <c r="AG199" s="78" t="n"/>
      <c r="AJ199" s="84" t="inlineStr"/>
      <c r="AK199" s="84" t="n">
        <v>0</v>
      </c>
      <c r="BB199" s="271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SU002943</t>
        </is>
      </c>
      <c r="B200" s="63" t="inlineStr">
        <is>
          <t>P003401</t>
        </is>
      </c>
      <c r="C200" s="36" t="n">
        <v>4301031230</v>
      </c>
      <c r="D200" s="832" t="n">
        <v>4680115882690</v>
      </c>
      <c r="E200" s="1193" t="n"/>
      <c r="F200" s="1232" t="n">
        <v>0.9</v>
      </c>
      <c r="G200" s="37" t="n">
        <v>6</v>
      </c>
      <c r="H200" s="1232" t="n">
        <v>5.4</v>
      </c>
      <c r="I200" s="1232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3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0" s="1234" t="n"/>
      <c r="R200" s="1234" t="n"/>
      <c r="S200" s="1234" t="n"/>
      <c r="T200" s="1235" t="n"/>
      <c r="U200" s="39" t="inlineStr"/>
      <c r="V200" s="39" t="inlineStr"/>
      <c r="W200" s="40" t="inlineStr">
        <is>
          <t>кг</t>
        </is>
      </c>
      <c r="X200" s="1236" t="n">
        <v>80</v>
      </c>
      <c r="Y200" s="1237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72" t="inlineStr">
        <is>
          <t>ЕАЭС N RU Д-RU.РА04.В.74256/23</t>
        </is>
      </c>
      <c r="AG200" s="78" t="n"/>
      <c r="AJ200" s="84" t="inlineStr"/>
      <c r="AK200" s="84" t="n">
        <v>0</v>
      </c>
      <c r="BB200" s="273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SU002945</t>
        </is>
      </c>
      <c r="B201" s="63" t="inlineStr">
        <is>
          <t>P003383</t>
        </is>
      </c>
      <c r="C201" s="36" t="n">
        <v>4301031220</v>
      </c>
      <c r="D201" s="832" t="n">
        <v>4680115882669</v>
      </c>
      <c r="E201" s="1193" t="n"/>
      <c r="F201" s="1232" t="n">
        <v>0.9</v>
      </c>
      <c r="G201" s="37" t="n">
        <v>6</v>
      </c>
      <c r="H201" s="1232" t="n">
        <v>5.4</v>
      </c>
      <c r="I201" s="1232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3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1" s="1234" t="n"/>
      <c r="R201" s="1234" t="n"/>
      <c r="S201" s="1234" t="n"/>
      <c r="T201" s="1235" t="n"/>
      <c r="U201" s="39" t="inlineStr"/>
      <c r="V201" s="39" t="inlineStr"/>
      <c r="W201" s="40" t="inlineStr">
        <is>
          <t>кг</t>
        </is>
      </c>
      <c r="X201" s="1236" t="n">
        <v>150</v>
      </c>
      <c r="Y201" s="1237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74" t="inlineStr">
        <is>
          <t>ЕАЭС N RU Д-RU.РА04.В.93220/23</t>
        </is>
      </c>
      <c r="AG201" s="78" t="n"/>
      <c r="AJ201" s="84" t="inlineStr"/>
      <c r="AK201" s="84" t="n">
        <v>0</v>
      </c>
      <c r="BB201" s="275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SU002947</t>
        </is>
      </c>
      <c r="B202" s="63" t="inlineStr">
        <is>
          <t>P003384</t>
        </is>
      </c>
      <c r="C202" s="36" t="n">
        <v>4301031221</v>
      </c>
      <c r="D202" s="832" t="n">
        <v>4680115882676</v>
      </c>
      <c r="E202" s="1193" t="n"/>
      <c r="F202" s="1232" t="n">
        <v>0.9</v>
      </c>
      <c r="G202" s="37" t="n">
        <v>6</v>
      </c>
      <c r="H202" s="1232" t="n">
        <v>5.4</v>
      </c>
      <c r="I202" s="1232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3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2" s="1234" t="n"/>
      <c r="R202" s="1234" t="n"/>
      <c r="S202" s="1234" t="n"/>
      <c r="T202" s="1235" t="n"/>
      <c r="U202" s="39" t="inlineStr"/>
      <c r="V202" s="39" t="inlineStr"/>
      <c r="W202" s="40" t="inlineStr">
        <is>
          <t>кг</t>
        </is>
      </c>
      <c r="X202" s="1236" t="n">
        <v>90</v>
      </c>
      <c r="Y202" s="1237">
        <f>IFERROR(IF(X202="",0,CEILING((X202/$H202),1)*$H202),"")</f>
        <v/>
      </c>
      <c r="Z202" s="41">
        <f>IFERROR(IF(Y202=0,"",ROUNDUP(Y202/H202,0)*0.00902),"")</f>
        <v/>
      </c>
      <c r="AA202" s="68" t="inlineStr"/>
      <c r="AB202" s="69" t="inlineStr"/>
      <c r="AC202" s="276" t="inlineStr">
        <is>
          <t>ЕАЭС N RU Д-RU.РА04.В.93161/23</t>
        </is>
      </c>
      <c r="AG202" s="78" t="n"/>
      <c r="AJ202" s="84" t="inlineStr"/>
      <c r="AK202" s="84" t="n">
        <v>0</v>
      </c>
      <c r="BB202" s="277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SU002944</t>
        </is>
      </c>
      <c r="B203" s="63" t="inlineStr">
        <is>
          <t>P003386</t>
        </is>
      </c>
      <c r="C203" s="36" t="n">
        <v>4301031223</v>
      </c>
      <c r="D203" s="832" t="n">
        <v>4680115884014</v>
      </c>
      <c r="E203" s="1193" t="n"/>
      <c r="F203" s="1232" t="n">
        <v>0.3</v>
      </c>
      <c r="G203" s="37" t="n">
        <v>6</v>
      </c>
      <c r="H203" s="1232" t="n">
        <v>1.8</v>
      </c>
      <c r="I203" s="1232" t="n">
        <v>1.93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33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3" s="1234" t="n"/>
      <c r="R203" s="1234" t="n"/>
      <c r="S203" s="1234" t="n"/>
      <c r="T203" s="1235" t="n"/>
      <c r="U203" s="39" t="inlineStr"/>
      <c r="V203" s="39" t="inlineStr"/>
      <c r="W203" s="40" t="inlineStr">
        <is>
          <t>кг</t>
        </is>
      </c>
      <c r="X203" s="1236" t="n">
        <v>66</v>
      </c>
      <c r="Y203" s="1237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78" t="inlineStr">
        <is>
          <t>ЕАЭС N RU Д-RU.РА04.В.74420/23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SU002942</t>
        </is>
      </c>
      <c r="B204" s="63" t="inlineStr">
        <is>
          <t>P003385</t>
        </is>
      </c>
      <c r="C204" s="36" t="n">
        <v>4301031222</v>
      </c>
      <c r="D204" s="832" t="n">
        <v>4680115884007</v>
      </c>
      <c r="E204" s="1193" t="n"/>
      <c r="F204" s="1232" t="n">
        <v>0.3</v>
      </c>
      <c r="G204" s="37" t="n">
        <v>6</v>
      </c>
      <c r="H204" s="1232" t="n">
        <v>1.8</v>
      </c>
      <c r="I204" s="1232" t="n">
        <v>1.9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338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4" s="1234" t="n"/>
      <c r="R204" s="1234" t="n"/>
      <c r="S204" s="1234" t="n"/>
      <c r="T204" s="1235" t="n"/>
      <c r="U204" s="39" t="inlineStr"/>
      <c r="V204" s="39" t="inlineStr"/>
      <c r="W204" s="40" t="inlineStr">
        <is>
          <t>кг</t>
        </is>
      </c>
      <c r="X204" s="1236" t="n">
        <v>36</v>
      </c>
      <c r="Y204" s="1237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80" t="inlineStr">
        <is>
          <t>ЕАЭС N RU Д-RU.РА04.В.74256/23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SU002946</t>
        </is>
      </c>
      <c r="B205" s="63" t="inlineStr">
        <is>
          <t>P003400</t>
        </is>
      </c>
      <c r="C205" s="36" t="n">
        <v>4301031229</v>
      </c>
      <c r="D205" s="832" t="n">
        <v>4680115884038</v>
      </c>
      <c r="E205" s="1193" t="n"/>
      <c r="F205" s="1232" t="n">
        <v>0.3</v>
      </c>
      <c r="G205" s="37" t="n">
        <v>6</v>
      </c>
      <c r="H205" s="1232" t="n">
        <v>1.8</v>
      </c>
      <c r="I205" s="1232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339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5" s="1234" t="n"/>
      <c r="R205" s="1234" t="n"/>
      <c r="S205" s="1234" t="n"/>
      <c r="T205" s="1235" t="n"/>
      <c r="U205" s="39" t="inlineStr"/>
      <c r="V205" s="39" t="inlineStr"/>
      <c r="W205" s="40" t="inlineStr">
        <is>
          <t>кг</t>
        </is>
      </c>
      <c r="X205" s="1236" t="n">
        <v>45</v>
      </c>
      <c r="Y205" s="1237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82" t="inlineStr">
        <is>
          <t>ЕАЭС N RU Д-RU.РА04.В.93220/23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 ht="27" customHeight="1">
      <c r="A206" s="63" t="inlineStr">
        <is>
          <t>SU002948</t>
        </is>
      </c>
      <c r="B206" s="63" t="inlineStr">
        <is>
          <t>P003390</t>
        </is>
      </c>
      <c r="C206" s="36" t="n">
        <v>4301031225</v>
      </c>
      <c r="D206" s="832" t="n">
        <v>4680115884021</v>
      </c>
      <c r="E206" s="1193" t="n"/>
      <c r="F206" s="1232" t="n">
        <v>0.3</v>
      </c>
      <c r="G206" s="37" t="n">
        <v>6</v>
      </c>
      <c r="H206" s="1232" t="n">
        <v>1.8</v>
      </c>
      <c r="I206" s="1232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34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6" s="1234" t="n"/>
      <c r="R206" s="1234" t="n"/>
      <c r="S206" s="1234" t="n"/>
      <c r="T206" s="1235" t="n"/>
      <c r="U206" s="39" t="inlineStr"/>
      <c r="V206" s="39" t="inlineStr"/>
      <c r="W206" s="40" t="inlineStr">
        <is>
          <t>кг</t>
        </is>
      </c>
      <c r="X206" s="1236" t="n">
        <v>30</v>
      </c>
      <c r="Y206" s="1237">
        <f>IFERROR(IF(X206="",0,CEILING((X206/$H206),1)*$H206),"")</f>
        <v/>
      </c>
      <c r="Z206" s="41">
        <f>IFERROR(IF(Y206=0,"",ROUNDUP(Y206/H206,0)*0.00502),"")</f>
        <v/>
      </c>
      <c r="AA206" s="68" t="inlineStr"/>
      <c r="AB206" s="69" t="inlineStr"/>
      <c r="AC206" s="284" t="inlineStr">
        <is>
          <t>ЕАЭС N RU Д-RU.РА04.В.93161/23</t>
        </is>
      </c>
      <c r="AG206" s="78" t="n"/>
      <c r="AJ206" s="84" t="inlineStr"/>
      <c r="AK206" s="84" t="n">
        <v>0</v>
      </c>
      <c r="BB206" s="285" t="inlineStr">
        <is>
          <t>КИ</t>
        </is>
      </c>
      <c r="BM206" s="78">
        <f>IFERROR(X206*I206/H206,"0")</f>
        <v/>
      </c>
      <c r="BN206" s="78">
        <f>IFERROR(Y206*I206/H206,"0")</f>
        <v/>
      </c>
      <c r="BO206" s="78">
        <f>IFERROR(1/J206*(X206/H206),"0")</f>
        <v/>
      </c>
      <c r="BP206" s="78">
        <f>IFERROR(1/J206*(Y206/H206),"0")</f>
        <v/>
      </c>
    </row>
    <row r="207">
      <c r="A207" s="843" t="n"/>
      <c r="B207" s="1182" t="n"/>
      <c r="C207" s="1182" t="n"/>
      <c r="D207" s="1182" t="n"/>
      <c r="E207" s="1182" t="n"/>
      <c r="F207" s="1182" t="n"/>
      <c r="G207" s="1182" t="n"/>
      <c r="H207" s="1182" t="n"/>
      <c r="I207" s="1182" t="n"/>
      <c r="J207" s="1182" t="n"/>
      <c r="K207" s="1182" t="n"/>
      <c r="L207" s="1182" t="n"/>
      <c r="M207" s="1182" t="n"/>
      <c r="N207" s="1182" t="n"/>
      <c r="O207" s="1241" t="n"/>
      <c r="P207" s="1242" t="inlineStr">
        <is>
          <t>Итого</t>
        </is>
      </c>
      <c r="Q207" s="1201" t="n"/>
      <c r="R207" s="1201" t="n"/>
      <c r="S207" s="1201" t="n"/>
      <c r="T207" s="1201" t="n"/>
      <c r="U207" s="1201" t="n"/>
      <c r="V207" s="1202" t="n"/>
      <c r="W207" s="42" t="inlineStr">
        <is>
          <t>кор</t>
        </is>
      </c>
      <c r="X207" s="1243">
        <f>IFERROR(X199/H199,"0")+IFERROR(X200/H200,"0")+IFERROR(X201/H201,"0")+IFERROR(X202/H202,"0")+IFERROR(X203/H203,"0")+IFERROR(X204/H204,"0")+IFERROR(X205/H205,"0")+IFERROR(X206/H206,"0")</f>
        <v/>
      </c>
      <c r="Y207" s="1243">
        <f>IFERROR(Y199/H199,"0")+IFERROR(Y200/H200,"0")+IFERROR(Y201/H201,"0")+IFERROR(Y202/H202,"0")+IFERROR(Y203/H203,"0")+IFERROR(Y204/H204,"0")+IFERROR(Y205/H205,"0")+IFERROR(Y206/H206,"0")</f>
        <v/>
      </c>
      <c r="Z207" s="12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/>
      </c>
      <c r="AA207" s="1244" t="n"/>
      <c r="AB207" s="1244" t="n"/>
      <c r="AC207" s="1244" t="n"/>
    </row>
    <row r="208">
      <c r="A208" s="1182" t="n"/>
      <c r="B208" s="1182" t="n"/>
      <c r="C208" s="1182" t="n"/>
      <c r="D208" s="1182" t="n"/>
      <c r="E208" s="1182" t="n"/>
      <c r="F208" s="1182" t="n"/>
      <c r="G208" s="1182" t="n"/>
      <c r="H208" s="1182" t="n"/>
      <c r="I208" s="1182" t="n"/>
      <c r="J208" s="1182" t="n"/>
      <c r="K208" s="1182" t="n"/>
      <c r="L208" s="1182" t="n"/>
      <c r="M208" s="1182" t="n"/>
      <c r="N208" s="1182" t="n"/>
      <c r="O208" s="1241" t="n"/>
      <c r="P208" s="1242" t="inlineStr">
        <is>
          <t>Итого</t>
        </is>
      </c>
      <c r="Q208" s="1201" t="n"/>
      <c r="R208" s="1201" t="n"/>
      <c r="S208" s="1201" t="n"/>
      <c r="T208" s="1201" t="n"/>
      <c r="U208" s="1201" t="n"/>
      <c r="V208" s="1202" t="n"/>
      <c r="W208" s="42" t="inlineStr">
        <is>
          <t>кг</t>
        </is>
      </c>
      <c r="X208" s="1243">
        <f>IFERROR(SUM(X199:X206),"0")</f>
        <v/>
      </c>
      <c r="Y208" s="1243">
        <f>IFERROR(SUM(Y199:Y206),"0")</f>
        <v/>
      </c>
      <c r="Z208" s="42" t="n"/>
      <c r="AA208" s="1244" t="n"/>
      <c r="AB208" s="1244" t="n"/>
      <c r="AC208" s="1244" t="n"/>
    </row>
    <row r="209" ht="14.25" customHeight="1">
      <c r="A209" s="831" t="inlineStr">
        <is>
          <t>Сосиски</t>
        </is>
      </c>
      <c r="B209" s="1182" t="n"/>
      <c r="C209" s="1182" t="n"/>
      <c r="D209" s="1182" t="n"/>
      <c r="E209" s="1182" t="n"/>
      <c r="F209" s="1182" t="n"/>
      <c r="G209" s="1182" t="n"/>
      <c r="H209" s="1182" t="n"/>
      <c r="I209" s="1182" t="n"/>
      <c r="J209" s="1182" t="n"/>
      <c r="K209" s="1182" t="n"/>
      <c r="L209" s="1182" t="n"/>
      <c r="M209" s="1182" t="n"/>
      <c r="N209" s="1182" t="n"/>
      <c r="O209" s="1182" t="n"/>
      <c r="P209" s="1182" t="n"/>
      <c r="Q209" s="1182" t="n"/>
      <c r="R209" s="1182" t="n"/>
      <c r="S209" s="1182" t="n"/>
      <c r="T209" s="1182" t="n"/>
      <c r="U209" s="1182" t="n"/>
      <c r="V209" s="1182" t="n"/>
      <c r="W209" s="1182" t="n"/>
      <c r="X209" s="1182" t="n"/>
      <c r="Y209" s="1182" t="n"/>
      <c r="Z209" s="1182" t="n"/>
      <c r="AA209" s="831" t="n"/>
      <c r="AB209" s="831" t="n"/>
      <c r="AC209" s="831" t="n"/>
    </row>
    <row r="210" ht="37.5" customHeight="1">
      <c r="A210" s="63" t="inlineStr">
        <is>
          <t>SU002843</t>
        </is>
      </c>
      <c r="B210" s="63" t="inlineStr">
        <is>
          <t>P003263</t>
        </is>
      </c>
      <c r="C210" s="36" t="n">
        <v>4301051408</v>
      </c>
      <c r="D210" s="832" t="n">
        <v>4680115881594</v>
      </c>
      <c r="E210" s="1193" t="n"/>
      <c r="F210" s="1232" t="n">
        <v>1.35</v>
      </c>
      <c r="G210" s="37" t="n">
        <v>6</v>
      </c>
      <c r="H210" s="1232" t="n">
        <v>8.1</v>
      </c>
      <c r="I210" s="1232" t="n">
        <v>8.619</v>
      </c>
      <c r="J210" s="37" t="n">
        <v>64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34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0" s="1234" t="n"/>
      <c r="R210" s="1234" t="n"/>
      <c r="S210" s="1234" t="n"/>
      <c r="T210" s="1235" t="n"/>
      <c r="U210" s="39" t="inlineStr"/>
      <c r="V210" s="39" t="inlineStr"/>
      <c r="W210" s="40" t="inlineStr">
        <is>
          <t>кг</t>
        </is>
      </c>
      <c r="X210" s="1236" t="n">
        <v>0</v>
      </c>
      <c r="Y210" s="1237">
        <f>IFERROR(IF(X210="",0,CEILING((X210/$H210),1)*$H210),"")</f>
        <v/>
      </c>
      <c r="Z210" s="41">
        <f>IFERROR(IF(Y210=0,"",ROUNDUP(Y210/H210,0)*0.01898),"")</f>
        <v/>
      </c>
      <c r="AA210" s="68" t="inlineStr"/>
      <c r="AB210" s="69" t="inlineStr"/>
      <c r="AC210" s="286" t="inlineStr">
        <is>
          <t>ЕАЭС N RU Д-RU.РА01.В.99284/23, ЕАЭС N RU Д-RU.РА01.В.99309/23, ЕАЭС N RU Д-RU.РА01.В.99334/23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27" customHeight="1">
      <c r="A211" s="63" t="inlineStr">
        <is>
          <t>SU002795</t>
        </is>
      </c>
      <c r="B211" s="63" t="inlineStr">
        <is>
          <t>P004180</t>
        </is>
      </c>
      <c r="C211" s="36" t="n">
        <v>4301051754</v>
      </c>
      <c r="D211" s="832" t="n">
        <v>4680115880962</v>
      </c>
      <c r="E211" s="1193" t="n"/>
      <c r="F211" s="1232" t="n">
        <v>1.3</v>
      </c>
      <c r="G211" s="37" t="n">
        <v>6</v>
      </c>
      <c r="H211" s="1232" t="n">
        <v>7.8</v>
      </c>
      <c r="I211" s="1232" t="n">
        <v>8.319000000000001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СК2</t>
        </is>
      </c>
      <c r="N211" s="38" t="n"/>
      <c r="O211" s="37" t="n">
        <v>40</v>
      </c>
      <c r="P211" s="1342">
        <f>HYPERLINK("https://abi.ru/products/Охлажденные/Стародворье/Сочинка/Сосиски/P004180/","Сосиски Сочинки с сыром Бордо Весовой п/а Стародворье")</f>
        <v/>
      </c>
      <c r="Q211" s="1234" t="n"/>
      <c r="R211" s="1234" t="n"/>
      <c r="S211" s="1234" t="n"/>
      <c r="T211" s="1235" t="n"/>
      <c r="U211" s="39" t="inlineStr"/>
      <c r="V211" s="39" t="inlineStr"/>
      <c r="W211" s="40" t="inlineStr">
        <is>
          <t>кг</t>
        </is>
      </c>
      <c r="X211" s="1236" t="n">
        <v>0</v>
      </c>
      <c r="Y211" s="1237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88" t="inlineStr">
        <is>
          <t>ЕАЭС N RU Д-RU.РА02.В.51431/24, ЕАЭС N RU Д-RU.РА02.В.51546/24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37.5" customHeight="1">
      <c r="A212" s="63" t="inlineStr">
        <is>
          <t>SU002845</t>
        </is>
      </c>
      <c r="B212" s="63" t="inlineStr">
        <is>
          <t>P003266</t>
        </is>
      </c>
      <c r="C212" s="36" t="n">
        <v>4301051411</v>
      </c>
      <c r="D212" s="832" t="n">
        <v>4680115881617</v>
      </c>
      <c r="E212" s="1193" t="n"/>
      <c r="F212" s="1232" t="n">
        <v>1.35</v>
      </c>
      <c r="G212" s="37" t="n">
        <v>6</v>
      </c>
      <c r="H212" s="1232" t="n">
        <v>8.1</v>
      </c>
      <c r="I212" s="1232" t="n">
        <v>8.601000000000001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34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2" s="1234" t="n"/>
      <c r="R212" s="1234" t="n"/>
      <c r="S212" s="1234" t="n"/>
      <c r="T212" s="1235" t="n"/>
      <c r="U212" s="39" t="inlineStr"/>
      <c r="V212" s="39" t="inlineStr"/>
      <c r="W212" s="40" t="inlineStr">
        <is>
          <t>кг</t>
        </is>
      </c>
      <c r="X212" s="1236" t="n">
        <v>0</v>
      </c>
      <c r="Y212" s="1237">
        <f>IFERROR(IF(X212="",0,CEILING((X212/$H212),1)*$H212),"")</f>
        <v/>
      </c>
      <c r="Z212" s="41">
        <f>IFERROR(IF(Y212=0,"",ROUNDUP(Y212/H212,0)*0.01898),"")</f>
        <v/>
      </c>
      <c r="AA212" s="68" t="inlineStr"/>
      <c r="AB212" s="69" t="inlineStr"/>
      <c r="AC212" s="290" t="inlineStr">
        <is>
          <t>ЕАЭС N RU Д-RU.РА01.В.99153/23, ЕАЭС N RU Д-RU.РА01.В.99184/23, ЕАЭС N RU Д-RU.РА01.В.99209/23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27" customHeight="1">
      <c r="A213" s="63" t="inlineStr">
        <is>
          <t>SU002725</t>
        </is>
      </c>
      <c r="B213" s="63" t="inlineStr">
        <is>
          <t>P003959</t>
        </is>
      </c>
      <c r="C213" s="36" t="n">
        <v>4301051632</v>
      </c>
      <c r="D213" s="832" t="n">
        <v>4680115880573</v>
      </c>
      <c r="E213" s="1193" t="n"/>
      <c r="F213" s="1232" t="n">
        <v>1.45</v>
      </c>
      <c r="G213" s="37" t="n">
        <v>6</v>
      </c>
      <c r="H213" s="1232" t="n">
        <v>8.699999999999999</v>
      </c>
      <c r="I213" s="1232" t="n">
        <v>9.218999999999999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СК2</t>
        </is>
      </c>
      <c r="N213" s="38" t="n"/>
      <c r="O213" s="37" t="n">
        <v>45</v>
      </c>
      <c r="P213" s="1344">
        <f>HYPERLINK("https://abi.ru/products/Охлажденные/Стародворье/Сочинка/Сосиски/P003959/","Сосиски «Сочинки» Весовой п/а ТМ «Стародворье»")</f>
        <v/>
      </c>
      <c r="Q213" s="1234" t="n"/>
      <c r="R213" s="1234" t="n"/>
      <c r="S213" s="1234" t="n"/>
      <c r="T213" s="1235" t="n"/>
      <c r="U213" s="39" t="inlineStr"/>
      <c r="V213" s="39" t="inlineStr"/>
      <c r="W213" s="40" t="inlineStr">
        <is>
          <t>кг</t>
        </is>
      </c>
      <c r="X213" s="1236" t="n">
        <v>150</v>
      </c>
      <c r="Y213" s="1237">
        <f>IFERROR(IF(X213="",0,CEILING((X213/$H213),1)*$H213),"")</f>
        <v/>
      </c>
      <c r="Z213" s="41">
        <f>IFERROR(IF(Y213=0,"",ROUNDUP(Y213/H213,0)*0.01898),"")</f>
        <v/>
      </c>
      <c r="AA213" s="68" t="inlineStr"/>
      <c r="AB213" s="69" t="inlineStr"/>
      <c r="AC213" s="292" t="inlineStr">
        <is>
          <t>ЕАЭС N RU Д-RU.РА01.В.93966/24, ЕАЭС N RU Д-RU.РА01.В.98062/24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37.5" customHeight="1">
      <c r="A214" s="63" t="inlineStr">
        <is>
          <t>SU002842</t>
        </is>
      </c>
      <c r="B214" s="63" t="inlineStr">
        <is>
          <t>P003262</t>
        </is>
      </c>
      <c r="C214" s="36" t="n">
        <v>4301051407</v>
      </c>
      <c r="D214" s="832" t="n">
        <v>4680115882195</v>
      </c>
      <c r="E214" s="1193" t="n"/>
      <c r="F214" s="1232" t="n">
        <v>0.4</v>
      </c>
      <c r="G214" s="37" t="n">
        <v>6</v>
      </c>
      <c r="H214" s="1232" t="n">
        <v>2.4</v>
      </c>
      <c r="I214" s="1232" t="n">
        <v>2.67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34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4" s="1234" t="n"/>
      <c r="R214" s="1234" t="n"/>
      <c r="S214" s="1234" t="n"/>
      <c r="T214" s="1235" t="n"/>
      <c r="U214" s="39" t="inlineStr"/>
      <c r="V214" s="39" t="inlineStr"/>
      <c r="W214" s="40" t="inlineStr">
        <is>
          <t>кг</t>
        </is>
      </c>
      <c r="X214" s="1236" t="n">
        <v>280</v>
      </c>
      <c r="Y214" s="1237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94" t="inlineStr">
        <is>
          <t>ЕАЭС N RU Д-RU.РА01.В.99284/23, ЕАЭС N RU Д-RU.РА01.В.99309/23, ЕАЭС N RU Д-RU.РА01.В.99334/23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37.5" customHeight="1">
      <c r="A215" s="63" t="inlineStr">
        <is>
          <t>SU002992</t>
        </is>
      </c>
      <c r="B215" s="63" t="inlineStr">
        <is>
          <t>P004147</t>
        </is>
      </c>
      <c r="C215" s="36" t="n">
        <v>4301051752</v>
      </c>
      <c r="D215" s="832" t="n">
        <v>4680115882607</v>
      </c>
      <c r="E215" s="1193" t="n"/>
      <c r="F215" s="1232" t="n">
        <v>0.3</v>
      </c>
      <c r="G215" s="37" t="n">
        <v>6</v>
      </c>
      <c r="H215" s="1232" t="n">
        <v>1.8</v>
      </c>
      <c r="I215" s="1232" t="n">
        <v>2.052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45</v>
      </c>
      <c r="P215" s="1346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5" s="1234" t="n"/>
      <c r="R215" s="1234" t="n"/>
      <c r="S215" s="1234" t="n"/>
      <c r="T215" s="1235" t="n"/>
      <c r="U215" s="39" t="inlineStr"/>
      <c r="V215" s="39" t="inlineStr"/>
      <c r="W215" s="40" t="inlineStr">
        <is>
          <t>кг</t>
        </is>
      </c>
      <c r="X215" s="1236" t="n">
        <v>0</v>
      </c>
      <c r="Y215" s="1237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96" t="inlineStr">
        <is>
          <t>ЕАЭС N RU Д-RU.РА01.В.93966/24, ЕАЭС N RU Д-RU.РА01.В.98062/24, ЕАЭС N RU Д-RU.РА08.В.57431/22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SU002618</t>
        </is>
      </c>
      <c r="B216" s="63" t="inlineStr">
        <is>
          <t>P003957</t>
        </is>
      </c>
      <c r="C216" s="36" t="n">
        <v>4301051630</v>
      </c>
      <c r="D216" s="832" t="n">
        <v>4680115880092</v>
      </c>
      <c r="E216" s="1193" t="n"/>
      <c r="F216" s="1232" t="n">
        <v>0.4</v>
      </c>
      <c r="G216" s="37" t="n">
        <v>6</v>
      </c>
      <c r="H216" s="1232" t="n">
        <v>2.4</v>
      </c>
      <c r="I216" s="1232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СК2</t>
        </is>
      </c>
      <c r="N216" s="38" t="n"/>
      <c r="O216" s="37" t="n">
        <v>45</v>
      </c>
      <c r="P216" s="134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6" s="1234" t="n"/>
      <c r="R216" s="1234" t="n"/>
      <c r="S216" s="1234" t="n"/>
      <c r="T216" s="1235" t="n"/>
      <c r="U216" s="39" t="inlineStr"/>
      <c r="V216" s="39" t="inlineStr"/>
      <c r="W216" s="40" t="inlineStr">
        <is>
          <t>кг</t>
        </is>
      </c>
      <c r="X216" s="1236" t="n">
        <v>280</v>
      </c>
      <c r="Y216" s="1237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Д-RU.РА01.В.93966/24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SU002621</t>
        </is>
      </c>
      <c r="B217" s="63" t="inlineStr">
        <is>
          <t>P003958</t>
        </is>
      </c>
      <c r="C217" s="36" t="n">
        <v>4301051631</v>
      </c>
      <c r="D217" s="832" t="n">
        <v>4680115880221</v>
      </c>
      <c r="E217" s="1193" t="n"/>
      <c r="F217" s="1232" t="n">
        <v>0.4</v>
      </c>
      <c r="G217" s="37" t="n">
        <v>6</v>
      </c>
      <c r="H217" s="1232" t="n">
        <v>2.4</v>
      </c>
      <c r="I217" s="1232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СК2</t>
        </is>
      </c>
      <c r="N217" s="38" t="n"/>
      <c r="O217" s="37" t="n">
        <v>45</v>
      </c>
      <c r="P217" s="1348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7" s="1234" t="n"/>
      <c r="R217" s="1234" t="n"/>
      <c r="S217" s="1234" t="n"/>
      <c r="T217" s="1235" t="n"/>
      <c r="U217" s="39" t="inlineStr"/>
      <c r="V217" s="39" t="inlineStr"/>
      <c r="W217" s="40" t="inlineStr">
        <is>
          <t>кг</t>
        </is>
      </c>
      <c r="X217" s="1236" t="n">
        <v>0</v>
      </c>
      <c r="Y217" s="1237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300" t="inlineStr">
        <is>
          <t>ЕАЭС N RU Д-RU.РА01.В.93966/24, ЕАЭС N RU Д-RU.РА01.В.98062/24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SU003073</t>
        </is>
      </c>
      <c r="B218" s="63" t="inlineStr">
        <is>
          <t>P004148</t>
        </is>
      </c>
      <c r="C218" s="36" t="n">
        <v>4301051749</v>
      </c>
      <c r="D218" s="832" t="n">
        <v>4680115882942</v>
      </c>
      <c r="E218" s="1193" t="n"/>
      <c r="F218" s="1232" t="n">
        <v>0.3</v>
      </c>
      <c r="G218" s="37" t="n">
        <v>6</v>
      </c>
      <c r="H218" s="1232" t="n">
        <v>1.8</v>
      </c>
      <c r="I218" s="1232" t="n">
        <v>2.052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4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18" s="1234" t="n"/>
      <c r="R218" s="1234" t="n"/>
      <c r="S218" s="1234" t="n"/>
      <c r="T218" s="1235" t="n"/>
      <c r="U218" s="39" t="inlineStr"/>
      <c r="V218" s="39" t="inlineStr"/>
      <c r="W218" s="40" t="inlineStr">
        <is>
          <t>кг</t>
        </is>
      </c>
      <c r="X218" s="1236" t="n">
        <v>0</v>
      </c>
      <c r="Y218" s="1237">
        <f>IFERROR(IF(X218="",0,CEILING((X218/$H218),1)*$H218),"")</f>
        <v/>
      </c>
      <c r="Z218" s="41">
        <f>IFERROR(IF(Y218=0,"",ROUNDUP(Y218/H218,0)*0.00651),"")</f>
        <v/>
      </c>
      <c r="AA218" s="68" t="inlineStr"/>
      <c r="AB218" s="69" t="inlineStr"/>
      <c r="AC218" s="302" t="inlineStr">
        <is>
          <t>ЕАЭС N RU Д-RU.РА02.В.51431/24, ЕАЭС N RU Д-RU.РА02.В.51546/24</t>
        </is>
      </c>
      <c r="AG218" s="78" t="n"/>
      <c r="AJ218" s="84" t="inlineStr"/>
      <c r="AK218" s="84" t="n">
        <v>0</v>
      </c>
      <c r="BB218" s="303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SU002686</t>
        </is>
      </c>
      <c r="B219" s="63" t="inlineStr">
        <is>
          <t>P004178</t>
        </is>
      </c>
      <c r="C219" s="36" t="n">
        <v>4301051753</v>
      </c>
      <c r="D219" s="832" t="n">
        <v>4680115880504</v>
      </c>
      <c r="E219" s="1193" t="n"/>
      <c r="F219" s="1232" t="n">
        <v>0.4</v>
      </c>
      <c r="G219" s="37" t="n">
        <v>6</v>
      </c>
      <c r="H219" s="1232" t="n">
        <v>2.4</v>
      </c>
      <c r="I219" s="1232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5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9" s="1234" t="n"/>
      <c r="R219" s="1234" t="n"/>
      <c r="S219" s="1234" t="n"/>
      <c r="T219" s="1235" t="n"/>
      <c r="U219" s="39" t="inlineStr"/>
      <c r="V219" s="39" t="inlineStr"/>
      <c r="W219" s="40" t="inlineStr">
        <is>
          <t>кг</t>
        </is>
      </c>
      <c r="X219" s="1236" t="n">
        <v>88</v>
      </c>
      <c r="Y219" s="1237">
        <f>IFERROR(IF(X219="",0,CEILING((X219/$H219),1)*$H219),"")</f>
        <v/>
      </c>
      <c r="Z219" s="41">
        <f>IFERROR(IF(Y219=0,"",ROUNDUP(Y219/H219,0)*0.00651),"")</f>
        <v/>
      </c>
      <c r="AA219" s="68" t="inlineStr"/>
      <c r="AB219" s="69" t="inlineStr"/>
      <c r="AC219" s="304" t="inlineStr">
        <is>
          <t>ЕАЭС N RU Д-RU.РА02.В.51431/24, ЕАЭС N RU Д-RU.РА02.В.51546/24</t>
        </is>
      </c>
      <c r="AG219" s="78" t="n"/>
      <c r="AJ219" s="84" t="inlineStr"/>
      <c r="AK219" s="84" t="n">
        <v>0</v>
      </c>
      <c r="BB219" s="305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SU002844</t>
        </is>
      </c>
      <c r="B220" s="63" t="inlineStr">
        <is>
          <t>P003265</t>
        </is>
      </c>
      <c r="C220" s="36" t="n">
        <v>4301051410</v>
      </c>
      <c r="D220" s="832" t="n">
        <v>4680115882164</v>
      </c>
      <c r="E220" s="1193" t="n"/>
      <c r="F220" s="1232" t="n">
        <v>0.4</v>
      </c>
      <c r="G220" s="37" t="n">
        <v>6</v>
      </c>
      <c r="H220" s="1232" t="n">
        <v>2.4</v>
      </c>
      <c r="I220" s="1232" t="n">
        <v>2.658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СК3</t>
        </is>
      </c>
      <c r="N220" s="38" t="n"/>
      <c r="O220" s="37" t="n">
        <v>40</v>
      </c>
      <c r="P220" s="135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0" s="1234" t="n"/>
      <c r="R220" s="1234" t="n"/>
      <c r="S220" s="1234" t="n"/>
      <c r="T220" s="1235" t="n"/>
      <c r="U220" s="39" t="inlineStr"/>
      <c r="V220" s="39" t="inlineStr"/>
      <c r="W220" s="40" t="inlineStr">
        <is>
          <t>кг</t>
        </is>
      </c>
      <c r="X220" s="1236" t="n">
        <v>240</v>
      </c>
      <c r="Y220" s="1237">
        <f>IFERROR(IF(X220="",0,CEILING((X220/$H220),1)*$H220),"")</f>
        <v/>
      </c>
      <c r="Z220" s="41">
        <f>IFERROR(IF(Y220=0,"",ROUNDUP(Y220/H220,0)*0.00651),"")</f>
        <v/>
      </c>
      <c r="AA220" s="68" t="inlineStr"/>
      <c r="AB220" s="69" t="inlineStr"/>
      <c r="AC220" s="306" t="inlineStr">
        <is>
          <t>ЕАЭС N RU Д-RU.РА01.В.99184/23, ЕАЭС N RU Д-RU.РА01.В.99209/23</t>
        </is>
      </c>
      <c r="AG220" s="78" t="n"/>
      <c r="AJ220" s="84" t="inlineStr"/>
      <c r="AK220" s="84" t="n">
        <v>0</v>
      </c>
      <c r="BB220" s="307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>
      <c r="A221" s="843" t="n"/>
      <c r="B221" s="1182" t="n"/>
      <c r="C221" s="1182" t="n"/>
      <c r="D221" s="1182" t="n"/>
      <c r="E221" s="1182" t="n"/>
      <c r="F221" s="1182" t="n"/>
      <c r="G221" s="1182" t="n"/>
      <c r="H221" s="1182" t="n"/>
      <c r="I221" s="1182" t="n"/>
      <c r="J221" s="1182" t="n"/>
      <c r="K221" s="1182" t="n"/>
      <c r="L221" s="1182" t="n"/>
      <c r="M221" s="1182" t="n"/>
      <c r="N221" s="1182" t="n"/>
      <c r="O221" s="1241" t="n"/>
      <c r="P221" s="1242" t="inlineStr">
        <is>
          <t>Итого</t>
        </is>
      </c>
      <c r="Q221" s="1201" t="n"/>
      <c r="R221" s="1201" t="n"/>
      <c r="S221" s="1201" t="n"/>
      <c r="T221" s="1201" t="n"/>
      <c r="U221" s="1201" t="n"/>
      <c r="V221" s="1202" t="n"/>
      <c r="W221" s="42" t="inlineStr">
        <is>
          <t>кор</t>
        </is>
      </c>
      <c r="X221" s="12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/>
      </c>
      <c r="Y221" s="12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/>
      </c>
      <c r="Z221" s="12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/>
      </c>
      <c r="AA221" s="1244" t="n"/>
      <c r="AB221" s="1244" t="n"/>
      <c r="AC221" s="1244" t="n"/>
    </row>
    <row r="222">
      <c r="A222" s="1182" t="n"/>
      <c r="B222" s="1182" t="n"/>
      <c r="C222" s="1182" t="n"/>
      <c r="D222" s="1182" t="n"/>
      <c r="E222" s="1182" t="n"/>
      <c r="F222" s="1182" t="n"/>
      <c r="G222" s="1182" t="n"/>
      <c r="H222" s="1182" t="n"/>
      <c r="I222" s="1182" t="n"/>
      <c r="J222" s="1182" t="n"/>
      <c r="K222" s="1182" t="n"/>
      <c r="L222" s="1182" t="n"/>
      <c r="M222" s="1182" t="n"/>
      <c r="N222" s="1182" t="n"/>
      <c r="O222" s="1241" t="n"/>
      <c r="P222" s="1242" t="inlineStr">
        <is>
          <t>Итого</t>
        </is>
      </c>
      <c r="Q222" s="1201" t="n"/>
      <c r="R222" s="1201" t="n"/>
      <c r="S222" s="1201" t="n"/>
      <c r="T222" s="1201" t="n"/>
      <c r="U222" s="1201" t="n"/>
      <c r="V222" s="1202" t="n"/>
      <c r="W222" s="42" t="inlineStr">
        <is>
          <t>кг</t>
        </is>
      </c>
      <c r="X222" s="1243">
        <f>IFERROR(SUM(X210:X220),"0")</f>
        <v/>
      </c>
      <c r="Y222" s="1243">
        <f>IFERROR(SUM(Y210:Y220),"0")</f>
        <v/>
      </c>
      <c r="Z222" s="42" t="n"/>
      <c r="AA222" s="1244" t="n"/>
      <c r="AB222" s="1244" t="n"/>
      <c r="AC222" s="1244" t="n"/>
    </row>
    <row r="223" ht="14.25" customHeight="1">
      <c r="A223" s="831" t="inlineStr">
        <is>
          <t>Сардельки</t>
        </is>
      </c>
      <c r="B223" s="1182" t="n"/>
      <c r="C223" s="1182" t="n"/>
      <c r="D223" s="1182" t="n"/>
      <c r="E223" s="1182" t="n"/>
      <c r="F223" s="1182" t="n"/>
      <c r="G223" s="1182" t="n"/>
      <c r="H223" s="1182" t="n"/>
      <c r="I223" s="1182" t="n"/>
      <c r="J223" s="1182" t="n"/>
      <c r="K223" s="1182" t="n"/>
      <c r="L223" s="1182" t="n"/>
      <c r="M223" s="1182" t="n"/>
      <c r="N223" s="1182" t="n"/>
      <c r="O223" s="1182" t="n"/>
      <c r="P223" s="1182" t="n"/>
      <c r="Q223" s="1182" t="n"/>
      <c r="R223" s="1182" t="n"/>
      <c r="S223" s="1182" t="n"/>
      <c r="T223" s="1182" t="n"/>
      <c r="U223" s="1182" t="n"/>
      <c r="V223" s="1182" t="n"/>
      <c r="W223" s="1182" t="n"/>
      <c r="X223" s="1182" t="n"/>
      <c r="Y223" s="1182" t="n"/>
      <c r="Z223" s="1182" t="n"/>
      <c r="AA223" s="831" t="n"/>
      <c r="AB223" s="831" t="n"/>
      <c r="AC223" s="831" t="n"/>
    </row>
    <row r="224" ht="16.5" customHeight="1">
      <c r="A224" s="63" t="inlineStr">
        <is>
          <t>SU003042</t>
        </is>
      </c>
      <c r="B224" s="63" t="inlineStr">
        <is>
          <t>P004232</t>
        </is>
      </c>
      <c r="C224" s="36" t="n">
        <v>4301060404</v>
      </c>
      <c r="D224" s="832" t="n">
        <v>4680115882874</v>
      </c>
      <c r="E224" s="1193" t="n"/>
      <c r="F224" s="1232" t="n">
        <v>0.8</v>
      </c>
      <c r="G224" s="37" t="n">
        <v>4</v>
      </c>
      <c r="H224" s="1232" t="n">
        <v>3.2</v>
      </c>
      <c r="I224" s="1232" t="n">
        <v>3.466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52">
        <f>HYPERLINK("https://abi.ru/products/Охлажденные/Стародворье/Сочинка/Сардельки/P004232/","Сардельки «Сочинки» Весовой н/о ТМ «Стародворье»")</f>
        <v/>
      </c>
      <c r="Q224" s="1234" t="n"/>
      <c r="R224" s="1234" t="n"/>
      <c r="S224" s="1234" t="n"/>
      <c r="T224" s="1235" t="n"/>
      <c r="U224" s="39" t="inlineStr"/>
      <c r="V224" s="39" t="inlineStr"/>
      <c r="W224" s="40" t="inlineStr">
        <is>
          <t>кг</t>
        </is>
      </c>
      <c r="X224" s="1236" t="n">
        <v>0</v>
      </c>
      <c r="Y224" s="1237">
        <f>IFERROR(IF(X224="",0,CEILING((X224/$H224),1)*$H224),"")</f>
        <v/>
      </c>
      <c r="Z224" s="41">
        <f>IFERROR(IF(Y224=0,"",ROUNDUP(Y224/H224,0)*0.00902),"")</f>
        <v/>
      </c>
      <c r="AA224" s="68" t="inlineStr"/>
      <c r="AB224" s="69" t="inlineStr"/>
      <c r="AC224" s="308" t="inlineStr">
        <is>
          <t>ЕАЭС N RU Д-RU.РА01.В.93036/24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 ht="16.5" customHeight="1">
      <c r="A225" s="63" t="inlineStr">
        <is>
          <t>SU003042</t>
        </is>
      </c>
      <c r="B225" s="63" t="inlineStr">
        <is>
          <t>P003608</t>
        </is>
      </c>
      <c r="C225" s="36" t="n">
        <v>4301060360</v>
      </c>
      <c r="D225" s="832" t="n">
        <v>4680115882874</v>
      </c>
      <c r="E225" s="1193" t="n"/>
      <c r="F225" s="1232" t="n">
        <v>0.8</v>
      </c>
      <c r="G225" s="37" t="n">
        <v>4</v>
      </c>
      <c r="H225" s="1232" t="n">
        <v>3.2</v>
      </c>
      <c r="I225" s="1232" t="n">
        <v>3.466</v>
      </c>
      <c r="J225" s="37" t="n">
        <v>120</v>
      </c>
      <c r="K225" s="37" t="inlineStr">
        <is>
          <t>12</t>
        </is>
      </c>
      <c r="L225" s="37" t="inlineStr"/>
      <c r="M225" s="38" t="inlineStr">
        <is>
          <t>СК2</t>
        </is>
      </c>
      <c r="N225" s="38" t="n"/>
      <c r="O225" s="37" t="n">
        <v>30</v>
      </c>
      <c r="P225" s="1353">
        <f>HYPERLINK("https://abi.ru/products/Охлажденные/Стародворье/Сочинка/Сардельки/P003608/","Сардельки «Сочинки» Весовой н/о ТМ «Стародворье»")</f>
        <v/>
      </c>
      <c r="Q225" s="1234" t="n"/>
      <c r="R225" s="1234" t="n"/>
      <c r="S225" s="1234" t="n"/>
      <c r="T225" s="1235" t="n"/>
      <c r="U225" s="39" t="inlineStr"/>
      <c r="V225" s="39" t="inlineStr"/>
      <c r="W225" s="40" t="inlineStr">
        <is>
          <t>кг</t>
        </is>
      </c>
      <c r="X225" s="1236" t="n">
        <v>0</v>
      </c>
      <c r="Y225" s="1237">
        <f>IFERROR(IF(X225="",0,CEILING((X225/$H225),1)*$H225),"")</f>
        <v/>
      </c>
      <c r="Z225" s="41">
        <f>IFERROR(IF(Y225=0,"",ROUNDUP(Y225/H225,0)*0.00937),"")</f>
        <v/>
      </c>
      <c r="AA225" s="68" t="inlineStr"/>
      <c r="AB225" s="69" t="inlineStr"/>
      <c r="AC225" s="310" t="inlineStr">
        <is>
          <t>ЕАЭС N RU Д-RU.РА07.В.82328/22</t>
        </is>
      </c>
      <c r="AG225" s="78" t="n"/>
      <c r="AJ225" s="84" t="inlineStr"/>
      <c r="AK225" s="84" t="n">
        <v>0</v>
      </c>
      <c r="BB225" s="311" t="inlineStr">
        <is>
          <t>КИ</t>
        </is>
      </c>
      <c r="BM225" s="78">
        <f>IFERROR(X225*I225/H225,"0")</f>
        <v/>
      </c>
      <c r="BN225" s="78">
        <f>IFERROR(Y225*I225/H225,"0")</f>
        <v/>
      </c>
      <c r="BO225" s="78">
        <f>IFERROR(1/J225*(X225/H225),"0")</f>
        <v/>
      </c>
      <c r="BP225" s="78">
        <f>IFERROR(1/J225*(Y225/H225),"0")</f>
        <v/>
      </c>
    </row>
    <row r="226" ht="27" customHeight="1">
      <c r="A226" s="63" t="inlineStr">
        <is>
          <t>SU003042</t>
        </is>
      </c>
      <c r="B226" s="63" t="inlineStr">
        <is>
          <t>P004884</t>
        </is>
      </c>
      <c r="C226" s="36" t="n">
        <v>4301060460</v>
      </c>
      <c r="D226" s="832" t="n">
        <v>4680115882874</v>
      </c>
      <c r="E226" s="1193" t="n"/>
      <c r="F226" s="1232" t="n">
        <v>0.8</v>
      </c>
      <c r="G226" s="37" t="n">
        <v>4</v>
      </c>
      <c r="H226" s="1232" t="n">
        <v>3.2</v>
      </c>
      <c r="I226" s="1232" t="n">
        <v>3.466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СК4</t>
        </is>
      </c>
      <c r="N226" s="38" t="n"/>
      <c r="O226" s="37" t="n">
        <v>30</v>
      </c>
      <c r="P226" s="1354" t="inlineStr">
        <is>
          <t>Сардельки «Сочинки» Весовой черева ТМ «Стародворье»</t>
        </is>
      </c>
      <c r="Q226" s="1234" t="n"/>
      <c r="R226" s="1234" t="n"/>
      <c r="S226" s="1234" t="n"/>
      <c r="T226" s="1235" t="n"/>
      <c r="U226" s="39" t="inlineStr"/>
      <c r="V226" s="39" t="inlineStr"/>
      <c r="W226" s="40" t="inlineStr">
        <is>
          <t>кг</t>
        </is>
      </c>
      <c r="X226" s="1236" t="n">
        <v>0</v>
      </c>
      <c r="Y226" s="1237">
        <f>IFERROR(IF(X226="",0,CEILING((X226/$H226),1)*$H226),"")</f>
        <v/>
      </c>
      <c r="Z226" s="41">
        <f>IFERROR(IF(Y226=0,"",ROUNDUP(Y226/H226,0)*0.00902),"")</f>
        <v/>
      </c>
      <c r="AA226" s="68" t="inlineStr"/>
      <c r="AB226" s="69" t="inlineStr"/>
      <c r="AC226" s="312" t="inlineStr">
        <is>
          <t>ЕАЭС N RU Д-RU.РА01.В.93159/24, ЕАЭС N RU Д-RU.РА01.В.93294/24</t>
        </is>
      </c>
      <c r="AG226" s="78" t="n"/>
      <c r="AJ226" s="84" t="inlineStr"/>
      <c r="AK226" s="84" t="n">
        <v>0</v>
      </c>
      <c r="BB226" s="313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37.5" customHeight="1">
      <c r="A227" s="63" t="inlineStr">
        <is>
          <t>SU003043</t>
        </is>
      </c>
      <c r="B227" s="63" t="inlineStr">
        <is>
          <t>P003604</t>
        </is>
      </c>
      <c r="C227" s="36" t="n">
        <v>4301060359</v>
      </c>
      <c r="D227" s="832" t="n">
        <v>4680115884434</v>
      </c>
      <c r="E227" s="1193" t="n"/>
      <c r="F227" s="1232" t="n">
        <v>0.8</v>
      </c>
      <c r="G227" s="37" t="n">
        <v>4</v>
      </c>
      <c r="H227" s="1232" t="n">
        <v>3.2</v>
      </c>
      <c r="I227" s="1232" t="n">
        <v>3.466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СК2</t>
        </is>
      </c>
      <c r="N227" s="38" t="n"/>
      <c r="O227" s="37" t="n">
        <v>30</v>
      </c>
      <c r="P227" s="135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27" s="1234" t="n"/>
      <c r="R227" s="1234" t="n"/>
      <c r="S227" s="1234" t="n"/>
      <c r="T227" s="1235" t="n"/>
      <c r="U227" s="39" t="inlineStr"/>
      <c r="V227" s="39" t="inlineStr"/>
      <c r="W227" s="40" t="inlineStr">
        <is>
          <t>кг</t>
        </is>
      </c>
      <c r="X227" s="1236" t="n">
        <v>0</v>
      </c>
      <c r="Y227" s="1237">
        <f>IFERROR(IF(X227="",0,CEILING((X227/$H227),1)*$H227),"")</f>
        <v/>
      </c>
      <c r="Z227" s="41">
        <f>IFERROR(IF(Y227=0,"",ROUNDUP(Y227/H227,0)*0.00902),"")</f>
        <v/>
      </c>
      <c r="AA227" s="68" t="inlineStr"/>
      <c r="AB227" s="69" t="inlineStr"/>
      <c r="AC227" s="314" t="inlineStr">
        <is>
          <t>ЕАЭС N RU Д-RU.РА06.В.64030/23, ЕАЭС N RU Д-RU.РА06.В.64058/23, ЕАЭС N RU Д-RU.РА10.В.01617/23</t>
        </is>
      </c>
      <c r="AG227" s="78" t="n"/>
      <c r="AJ227" s="84" t="inlineStr"/>
      <c r="AK227" s="84" t="n">
        <v>0</v>
      </c>
      <c r="BB227" s="315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27" customHeight="1">
      <c r="A228" s="63" t="inlineStr">
        <is>
          <t>SU002759</t>
        </is>
      </c>
      <c r="B228" s="63" t="inlineStr">
        <is>
          <t>P003961</t>
        </is>
      </c>
      <c r="C228" s="36" t="n">
        <v>4301060375</v>
      </c>
      <c r="D228" s="832" t="n">
        <v>4680115880818</v>
      </c>
      <c r="E228" s="1193" t="n"/>
      <c r="F228" s="1232" t="n">
        <v>0.4</v>
      </c>
      <c r="G228" s="37" t="n">
        <v>6</v>
      </c>
      <c r="H228" s="1232" t="n">
        <v>2.4</v>
      </c>
      <c r="I228" s="1232" t="n">
        <v>2.652</v>
      </c>
      <c r="J228" s="37" t="n">
        <v>182</v>
      </c>
      <c r="K228" s="37" t="inlineStr">
        <is>
          <t>14</t>
        </is>
      </c>
      <c r="L228" s="37" t="inlineStr"/>
      <c r="M228" s="38" t="inlineStr">
        <is>
          <t>СК2</t>
        </is>
      </c>
      <c r="N228" s="38" t="n"/>
      <c r="O228" s="37" t="n">
        <v>40</v>
      </c>
      <c r="P228" s="135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8" s="1234" t="n"/>
      <c r="R228" s="1234" t="n"/>
      <c r="S228" s="1234" t="n"/>
      <c r="T228" s="1235" t="n"/>
      <c r="U228" s="39" t="inlineStr"/>
      <c r="V228" s="39" t="inlineStr"/>
      <c r="W228" s="40" t="inlineStr">
        <is>
          <t>кг</t>
        </is>
      </c>
      <c r="X228" s="1236" t="n">
        <v>32</v>
      </c>
      <c r="Y228" s="1237">
        <f>IFERROR(IF(X228="",0,CEILING((X228/$H228),1)*$H228),"")</f>
        <v/>
      </c>
      <c r="Z228" s="41">
        <f>IFERROR(IF(Y228=0,"",ROUNDUP(Y228/H228,0)*0.00651),"")</f>
        <v/>
      </c>
      <c r="AA228" s="68" t="inlineStr"/>
      <c r="AB228" s="69" t="inlineStr"/>
      <c r="AC228" s="316" t="inlineStr">
        <is>
          <t>ЕАЭС N RU Д-RU.РА01.В.93572/24, ЕАЭС N RU Д-RU.РА01.В.93743/24</t>
        </is>
      </c>
      <c r="AG228" s="78" t="n"/>
      <c r="AJ228" s="84" t="inlineStr"/>
      <c r="AK228" s="84" t="n">
        <v>0</v>
      </c>
      <c r="BB228" s="317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37.5" customHeight="1">
      <c r="A229" s="63" t="inlineStr">
        <is>
          <t>SU002758</t>
        </is>
      </c>
      <c r="B229" s="63" t="inlineStr">
        <is>
          <t>P003960</t>
        </is>
      </c>
      <c r="C229" s="36" t="n">
        <v>4301060389</v>
      </c>
      <c r="D229" s="832" t="n">
        <v>4680115880801</v>
      </c>
      <c r="E229" s="1193" t="n"/>
      <c r="F229" s="1232" t="n">
        <v>0.4</v>
      </c>
      <c r="G229" s="37" t="n">
        <v>6</v>
      </c>
      <c r="H229" s="1232" t="n">
        <v>2.4</v>
      </c>
      <c r="I229" s="1232" t="n">
        <v>2.652</v>
      </c>
      <c r="J229" s="37" t="n">
        <v>182</v>
      </c>
      <c r="K229" s="37" t="inlineStr">
        <is>
          <t>14</t>
        </is>
      </c>
      <c r="L229" s="37" t="inlineStr"/>
      <c r="M229" s="38" t="inlineStr">
        <is>
          <t>СК3</t>
        </is>
      </c>
      <c r="N229" s="38" t="n"/>
      <c r="O229" s="37" t="n">
        <v>40</v>
      </c>
      <c r="P229" s="135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9" s="1234" t="n"/>
      <c r="R229" s="1234" t="n"/>
      <c r="S229" s="1234" t="n"/>
      <c r="T229" s="1235" t="n"/>
      <c r="U229" s="39" t="inlineStr"/>
      <c r="V229" s="39" t="inlineStr"/>
      <c r="W229" s="40" t="inlineStr">
        <is>
          <t>кг</t>
        </is>
      </c>
      <c r="X229" s="1236" t="n">
        <v>40</v>
      </c>
      <c r="Y229" s="1237">
        <f>IFERROR(IF(X229="",0,CEILING((X229/$H229),1)*$H229),"")</f>
        <v/>
      </c>
      <c r="Z229" s="41">
        <f>IFERROR(IF(Y229=0,"",ROUNDUP(Y229/H229,0)*0.00651),"")</f>
        <v/>
      </c>
      <c r="AA229" s="68" t="inlineStr"/>
      <c r="AB229" s="69" t="inlineStr"/>
      <c r="AC229" s="318" t="inlineStr">
        <is>
          <t>ЕАЭС N RU Д-RU.РА01.В.93036/24, ЕАЭС N RU Д-RU.РА01.В.93159/24, ЕАЭС N RU Д-RU.РА01.В.93294/24</t>
        </is>
      </c>
      <c r="AG229" s="78" t="n"/>
      <c r="AJ229" s="84" t="inlineStr"/>
      <c r="AK229" s="84" t="n">
        <v>0</v>
      </c>
      <c r="BB229" s="319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>
      <c r="A230" s="843" t="n"/>
      <c r="B230" s="1182" t="n"/>
      <c r="C230" s="1182" t="n"/>
      <c r="D230" s="1182" t="n"/>
      <c r="E230" s="1182" t="n"/>
      <c r="F230" s="1182" t="n"/>
      <c r="G230" s="1182" t="n"/>
      <c r="H230" s="1182" t="n"/>
      <c r="I230" s="1182" t="n"/>
      <c r="J230" s="1182" t="n"/>
      <c r="K230" s="1182" t="n"/>
      <c r="L230" s="1182" t="n"/>
      <c r="M230" s="1182" t="n"/>
      <c r="N230" s="1182" t="n"/>
      <c r="O230" s="1241" t="n"/>
      <c r="P230" s="1242" t="inlineStr">
        <is>
          <t>Итого</t>
        </is>
      </c>
      <c r="Q230" s="1201" t="n"/>
      <c r="R230" s="1201" t="n"/>
      <c r="S230" s="1201" t="n"/>
      <c r="T230" s="1201" t="n"/>
      <c r="U230" s="1201" t="n"/>
      <c r="V230" s="1202" t="n"/>
      <c r="W230" s="42" t="inlineStr">
        <is>
          <t>кор</t>
        </is>
      </c>
      <c r="X230" s="1243">
        <f>IFERROR(X224/H224,"0")+IFERROR(X225/H225,"0")+IFERROR(X226/H226,"0")+IFERROR(X227/H227,"0")+IFERROR(X228/H228,"0")+IFERROR(X229/H229,"0")</f>
        <v/>
      </c>
      <c r="Y230" s="1243">
        <f>IFERROR(Y224/H224,"0")+IFERROR(Y225/H225,"0")+IFERROR(Y226/H226,"0")+IFERROR(Y227/H227,"0")+IFERROR(Y228/H228,"0")+IFERROR(Y229/H229,"0")</f>
        <v/>
      </c>
      <c r="Z230" s="1243">
        <f>IFERROR(IF(Z224="",0,Z224),"0")+IFERROR(IF(Z225="",0,Z225),"0")+IFERROR(IF(Z226="",0,Z226),"0")+IFERROR(IF(Z227="",0,Z227),"0")+IFERROR(IF(Z228="",0,Z228),"0")+IFERROR(IF(Z229="",0,Z229),"0")</f>
        <v/>
      </c>
      <c r="AA230" s="1244" t="n"/>
      <c r="AB230" s="1244" t="n"/>
      <c r="AC230" s="1244" t="n"/>
    </row>
    <row r="231">
      <c r="A231" s="1182" t="n"/>
      <c r="B231" s="1182" t="n"/>
      <c r="C231" s="1182" t="n"/>
      <c r="D231" s="1182" t="n"/>
      <c r="E231" s="1182" t="n"/>
      <c r="F231" s="1182" t="n"/>
      <c r="G231" s="1182" t="n"/>
      <c r="H231" s="1182" t="n"/>
      <c r="I231" s="1182" t="n"/>
      <c r="J231" s="1182" t="n"/>
      <c r="K231" s="1182" t="n"/>
      <c r="L231" s="1182" t="n"/>
      <c r="M231" s="1182" t="n"/>
      <c r="N231" s="1182" t="n"/>
      <c r="O231" s="1241" t="n"/>
      <c r="P231" s="1242" t="inlineStr">
        <is>
          <t>Итого</t>
        </is>
      </c>
      <c r="Q231" s="1201" t="n"/>
      <c r="R231" s="1201" t="n"/>
      <c r="S231" s="1201" t="n"/>
      <c r="T231" s="1201" t="n"/>
      <c r="U231" s="1201" t="n"/>
      <c r="V231" s="1202" t="n"/>
      <c r="W231" s="42" t="inlineStr">
        <is>
          <t>кг</t>
        </is>
      </c>
      <c r="X231" s="1243">
        <f>IFERROR(SUM(X224:X229),"0")</f>
        <v/>
      </c>
      <c r="Y231" s="1243">
        <f>IFERROR(SUM(Y224:Y229),"0")</f>
        <v/>
      </c>
      <c r="Z231" s="42" t="n"/>
      <c r="AA231" s="1244" t="n"/>
      <c r="AB231" s="1244" t="n"/>
      <c r="AC231" s="1244" t="n"/>
    </row>
    <row r="232" ht="16.5" customHeight="1">
      <c r="A232" s="830" t="inlineStr">
        <is>
          <t>Филедворская</t>
        </is>
      </c>
      <c r="B232" s="1182" t="n"/>
      <c r="C232" s="1182" t="n"/>
      <c r="D232" s="1182" t="n"/>
      <c r="E232" s="1182" t="n"/>
      <c r="F232" s="1182" t="n"/>
      <c r="G232" s="1182" t="n"/>
      <c r="H232" s="1182" t="n"/>
      <c r="I232" s="1182" t="n"/>
      <c r="J232" s="1182" t="n"/>
      <c r="K232" s="1182" t="n"/>
      <c r="L232" s="1182" t="n"/>
      <c r="M232" s="1182" t="n"/>
      <c r="N232" s="1182" t="n"/>
      <c r="O232" s="1182" t="n"/>
      <c r="P232" s="1182" t="n"/>
      <c r="Q232" s="1182" t="n"/>
      <c r="R232" s="1182" t="n"/>
      <c r="S232" s="1182" t="n"/>
      <c r="T232" s="1182" t="n"/>
      <c r="U232" s="1182" t="n"/>
      <c r="V232" s="1182" t="n"/>
      <c r="W232" s="1182" t="n"/>
      <c r="X232" s="1182" t="n"/>
      <c r="Y232" s="1182" t="n"/>
      <c r="Z232" s="1182" t="n"/>
      <c r="AA232" s="830" t="n"/>
      <c r="AB232" s="830" t="n"/>
      <c r="AC232" s="830" t="n"/>
    </row>
    <row r="233" ht="14.25" customHeight="1">
      <c r="A233" s="831" t="inlineStr">
        <is>
          <t>Вареные колбасы</t>
        </is>
      </c>
      <c r="B233" s="1182" t="n"/>
      <c r="C233" s="1182" t="n"/>
      <c r="D233" s="1182" t="n"/>
      <c r="E233" s="1182" t="n"/>
      <c r="F233" s="1182" t="n"/>
      <c r="G233" s="1182" t="n"/>
      <c r="H233" s="1182" t="n"/>
      <c r="I233" s="1182" t="n"/>
      <c r="J233" s="1182" t="n"/>
      <c r="K233" s="1182" t="n"/>
      <c r="L233" s="1182" t="n"/>
      <c r="M233" s="1182" t="n"/>
      <c r="N233" s="1182" t="n"/>
      <c r="O233" s="1182" t="n"/>
      <c r="P233" s="1182" t="n"/>
      <c r="Q233" s="1182" t="n"/>
      <c r="R233" s="1182" t="n"/>
      <c r="S233" s="1182" t="n"/>
      <c r="T233" s="1182" t="n"/>
      <c r="U233" s="1182" t="n"/>
      <c r="V233" s="1182" t="n"/>
      <c r="W233" s="1182" t="n"/>
      <c r="X233" s="1182" t="n"/>
      <c r="Y233" s="1182" t="n"/>
      <c r="Z233" s="1182" t="n"/>
      <c r="AA233" s="831" t="n"/>
      <c r="AB233" s="831" t="n"/>
      <c r="AC233" s="831" t="n"/>
    </row>
    <row r="234" ht="27" customHeight="1">
      <c r="A234" s="63" t="inlineStr">
        <is>
          <t>SU003267</t>
        </is>
      </c>
      <c r="B234" s="63" t="inlineStr">
        <is>
          <t>P004300</t>
        </is>
      </c>
      <c r="C234" s="36" t="n">
        <v>4301011945</v>
      </c>
      <c r="D234" s="832" t="n">
        <v>4680115884274</v>
      </c>
      <c r="E234" s="1193" t="n"/>
      <c r="F234" s="1232" t="n">
        <v>1.45</v>
      </c>
      <c r="G234" s="37" t="n">
        <v>8</v>
      </c>
      <c r="H234" s="1232" t="n">
        <v>11.6</v>
      </c>
      <c r="I234" s="1232" t="n">
        <v>12.08</v>
      </c>
      <c r="J234" s="37" t="n">
        <v>48</v>
      </c>
      <c r="K234" s="37" t="inlineStr">
        <is>
          <t>8</t>
        </is>
      </c>
      <c r="L234" s="37" t="inlineStr"/>
      <c r="M234" s="38" t="inlineStr">
        <is>
          <t>ВЗ</t>
        </is>
      </c>
      <c r="N234" s="38" t="n"/>
      <c r="O234" s="37" t="n">
        <v>55</v>
      </c>
      <c r="P234" s="135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34" s="1234" t="n"/>
      <c r="R234" s="1234" t="n"/>
      <c r="S234" s="1234" t="n"/>
      <c r="T234" s="1235" t="n"/>
      <c r="U234" s="39" t="inlineStr"/>
      <c r="V234" s="39" t="inlineStr"/>
      <c r="W234" s="40" t="inlineStr">
        <is>
          <t>кг</t>
        </is>
      </c>
      <c r="X234" s="1236" t="n">
        <v>0</v>
      </c>
      <c r="Y234" s="1237">
        <f>IFERROR(IF(X234="",0,CEILING((X234/$H234),1)*$H234),"")</f>
        <v/>
      </c>
      <c r="Z234" s="41">
        <f>IFERROR(IF(Y234=0,"",ROUNDUP(Y234/H234,0)*0.02039),"")</f>
        <v/>
      </c>
      <c r="AA234" s="68" t="inlineStr"/>
      <c r="AB234" s="69" t="inlineStr"/>
      <c r="AC234" s="320" t="inlineStr">
        <is>
          <t>ЕАЭС N RU Д-RU.РА03.В.61516/24</t>
        </is>
      </c>
      <c r="AG234" s="78" t="n"/>
      <c r="AJ234" s="84" t="inlineStr"/>
      <c r="AK234" s="84" t="n">
        <v>0</v>
      </c>
      <c r="BB234" s="321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SU003267</t>
        </is>
      </c>
      <c r="B235" s="63" t="inlineStr">
        <is>
          <t>P003941</t>
        </is>
      </c>
      <c r="C235" s="36" t="n">
        <v>4301011717</v>
      </c>
      <c r="D235" s="832" t="n">
        <v>4680115884274</v>
      </c>
      <c r="E235" s="1193" t="n"/>
      <c r="F235" s="1232" t="n">
        <v>1.45</v>
      </c>
      <c r="G235" s="37" t="n">
        <v>8</v>
      </c>
      <c r="H235" s="1232" t="n">
        <v>11.6</v>
      </c>
      <c r="I235" s="1232" t="n">
        <v>12.035</v>
      </c>
      <c r="J235" s="37" t="n">
        <v>64</v>
      </c>
      <c r="K235" s="37" t="inlineStr">
        <is>
          <t>8</t>
        </is>
      </c>
      <c r="L235" s="37" t="inlineStr"/>
      <c r="M235" s="38" t="inlineStr">
        <is>
          <t>СК1</t>
        </is>
      </c>
      <c r="N235" s="38" t="n"/>
      <c r="O235" s="37" t="n">
        <v>55</v>
      </c>
      <c r="P235" s="135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35" s="1234" t="n"/>
      <c r="R235" s="1234" t="n"/>
      <c r="S235" s="1234" t="n"/>
      <c r="T235" s="1235" t="n"/>
      <c r="U235" s="39" t="inlineStr"/>
      <c r="V235" s="39" t="inlineStr"/>
      <c r="W235" s="40" t="inlineStr">
        <is>
          <t>кг</t>
        </is>
      </c>
      <c r="X235" s="1236" t="n">
        <v>0</v>
      </c>
      <c r="Y235" s="1237">
        <f>IFERROR(IF(X235="",0,CEILING((X235/$H235),1)*$H235),"")</f>
        <v/>
      </c>
      <c r="Z235" s="41">
        <f>IFERROR(IF(Y235=0,"",ROUNDUP(Y235/H235,0)*0.01898),"")</f>
        <v/>
      </c>
      <c r="AA235" s="68" t="inlineStr"/>
      <c r="AB235" s="69" t="inlineStr"/>
      <c r="AC235" s="322" t="inlineStr">
        <is>
          <t>ЕАЭС N RU Д-RU.РА01.В.19834/24</t>
        </is>
      </c>
      <c r="AG235" s="78" t="n"/>
      <c r="AJ235" s="84" t="inlineStr"/>
      <c r="AK235" s="84" t="n">
        <v>0</v>
      </c>
      <c r="BB235" s="323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SU003269</t>
        </is>
      </c>
      <c r="B236" s="63" t="inlineStr">
        <is>
          <t>P003943</t>
        </is>
      </c>
      <c r="C236" s="36" t="n">
        <v>4301011719</v>
      </c>
      <c r="D236" s="832" t="n">
        <v>4680115884298</v>
      </c>
      <c r="E236" s="1193" t="n"/>
      <c r="F236" s="1232" t="n">
        <v>1.45</v>
      </c>
      <c r="G236" s="37" t="n">
        <v>8</v>
      </c>
      <c r="H236" s="1232" t="n">
        <v>11.6</v>
      </c>
      <c r="I236" s="1232" t="n">
        <v>12.035</v>
      </c>
      <c r="J236" s="37" t="n">
        <v>64</v>
      </c>
      <c r="K236" s="37" t="inlineStr">
        <is>
          <t>8</t>
        </is>
      </c>
      <c r="L236" s="37" t="inlineStr"/>
      <c r="M236" s="38" t="inlineStr">
        <is>
          <t>СК1</t>
        </is>
      </c>
      <c r="N236" s="38" t="n"/>
      <c r="O236" s="37" t="n">
        <v>55</v>
      </c>
      <c r="P236" s="1360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36" s="1234" t="n"/>
      <c r="R236" s="1234" t="n"/>
      <c r="S236" s="1234" t="n"/>
      <c r="T236" s="1235" t="n"/>
      <c r="U236" s="39" t="inlineStr"/>
      <c r="V236" s="39" t="inlineStr"/>
      <c r="W236" s="40" t="inlineStr">
        <is>
          <t>кг</t>
        </is>
      </c>
      <c r="X236" s="1236" t="n">
        <v>0</v>
      </c>
      <c r="Y236" s="1237">
        <f>IFERROR(IF(X236="",0,CEILING((X236/$H236),1)*$H236),"")</f>
        <v/>
      </c>
      <c r="Z236" s="41">
        <f>IFERROR(IF(Y236=0,"",ROUNDUP(Y236/H236,0)*0.01898),"")</f>
        <v/>
      </c>
      <c r="AA236" s="68" t="inlineStr"/>
      <c r="AB236" s="69" t="inlineStr"/>
      <c r="AC236" s="324" t="inlineStr">
        <is>
          <t>ЕАЭС N RU Д-RU.РА01.В.16349/24</t>
        </is>
      </c>
      <c r="AG236" s="78" t="n"/>
      <c r="AJ236" s="84" t="inlineStr"/>
      <c r="AK236" s="84" t="n">
        <v>0</v>
      </c>
      <c r="BB236" s="325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SU003265</t>
        </is>
      </c>
      <c r="B237" s="63" t="inlineStr">
        <is>
          <t>P004299</t>
        </is>
      </c>
      <c r="C237" s="36" t="n">
        <v>4301011944</v>
      </c>
      <c r="D237" s="832" t="n">
        <v>4680115884250</v>
      </c>
      <c r="E237" s="1193" t="n"/>
      <c r="F237" s="1232" t="n">
        <v>1.45</v>
      </c>
      <c r="G237" s="37" t="n">
        <v>8</v>
      </c>
      <c r="H237" s="1232" t="n">
        <v>11.6</v>
      </c>
      <c r="I237" s="1232" t="n">
        <v>12.08</v>
      </c>
      <c r="J237" s="37" t="n">
        <v>48</v>
      </c>
      <c r="K237" s="37" t="inlineStr">
        <is>
          <t>8</t>
        </is>
      </c>
      <c r="L237" s="37" t="inlineStr"/>
      <c r="M237" s="38" t="inlineStr">
        <is>
          <t>ВЗ</t>
        </is>
      </c>
      <c r="N237" s="38" t="n"/>
      <c r="O237" s="37" t="n">
        <v>55</v>
      </c>
      <c r="P237" s="1361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37" s="1234" t="n"/>
      <c r="R237" s="1234" t="n"/>
      <c r="S237" s="1234" t="n"/>
      <c r="T237" s="1235" t="n"/>
      <c r="U237" s="39" t="inlineStr"/>
      <c r="V237" s="39" t="inlineStr"/>
      <c r="W237" s="40" t="inlineStr">
        <is>
          <t>кг</t>
        </is>
      </c>
      <c r="X237" s="1236" t="n">
        <v>0</v>
      </c>
      <c r="Y237" s="1237">
        <f>IFERROR(IF(X237="",0,CEILING((X237/$H237),1)*$H237),"")</f>
        <v/>
      </c>
      <c r="Z237" s="41">
        <f>IFERROR(IF(Y237=0,"",ROUNDUP(Y237/H237,0)*0.02039),"")</f>
        <v/>
      </c>
      <c r="AA237" s="68" t="inlineStr"/>
      <c r="AB237" s="69" t="inlineStr"/>
      <c r="AC237" s="326" t="inlineStr">
        <is>
          <t>ЕАЭС N RU Д-RU.РА03.В.61516/24</t>
        </is>
      </c>
      <c r="AG237" s="78" t="n"/>
      <c r="AJ237" s="84" t="inlineStr"/>
      <c r="AK237" s="84" t="n">
        <v>0</v>
      </c>
      <c r="BB237" s="327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SU003265</t>
        </is>
      </c>
      <c r="B238" s="63" t="inlineStr">
        <is>
          <t>P003939</t>
        </is>
      </c>
      <c r="C238" s="36" t="n">
        <v>4301011733</v>
      </c>
      <c r="D238" s="832" t="n">
        <v>4680115884250</v>
      </c>
      <c r="E238" s="1193" t="n"/>
      <c r="F238" s="1232" t="n">
        <v>1.45</v>
      </c>
      <c r="G238" s="37" t="n">
        <v>8</v>
      </c>
      <c r="H238" s="1232" t="n">
        <v>11.6</v>
      </c>
      <c r="I238" s="1232" t="n">
        <v>12.035</v>
      </c>
      <c r="J238" s="37" t="n">
        <v>64</v>
      </c>
      <c r="K238" s="37" t="inlineStr">
        <is>
          <t>8</t>
        </is>
      </c>
      <c r="L238" s="37" t="inlineStr"/>
      <c r="M238" s="38" t="inlineStr">
        <is>
          <t>СК3</t>
        </is>
      </c>
      <c r="N238" s="38" t="n"/>
      <c r="O238" s="37" t="n">
        <v>55</v>
      </c>
      <c r="P238" s="136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38" s="1234" t="n"/>
      <c r="R238" s="1234" t="n"/>
      <c r="S238" s="1234" t="n"/>
      <c r="T238" s="1235" t="n"/>
      <c r="U238" s="39" t="inlineStr"/>
      <c r="V238" s="39" t="inlineStr"/>
      <c r="W238" s="40" t="inlineStr">
        <is>
          <t>кг</t>
        </is>
      </c>
      <c r="X238" s="1236" t="n">
        <v>0</v>
      </c>
      <c r="Y238" s="1237">
        <f>IFERROR(IF(X238="",0,CEILING((X238/$H238),1)*$H238),"")</f>
        <v/>
      </c>
      <c r="Z238" s="41">
        <f>IFERROR(IF(Y238=0,"",ROUNDUP(Y238/H238,0)*0.01898),"")</f>
        <v/>
      </c>
      <c r="AA238" s="68" t="inlineStr"/>
      <c r="AB238" s="69" t="inlineStr"/>
      <c r="AC238" s="328" t="inlineStr">
        <is>
          <t>ЕАЭС N RU Д-RU.РА05.В.81953/23</t>
        </is>
      </c>
      <c r="AG238" s="78" t="n"/>
      <c r="AJ238" s="84" t="inlineStr"/>
      <c r="AK238" s="84" t="n">
        <v>0</v>
      </c>
      <c r="BB238" s="329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SU003268</t>
        </is>
      </c>
      <c r="B239" s="63" t="inlineStr">
        <is>
          <t>P003942</t>
        </is>
      </c>
      <c r="C239" s="36" t="n">
        <v>4301011718</v>
      </c>
      <c r="D239" s="832" t="n">
        <v>4680115884281</v>
      </c>
      <c r="E239" s="1193" t="n"/>
      <c r="F239" s="1232" t="n">
        <v>0.4</v>
      </c>
      <c r="G239" s="37" t="n">
        <v>10</v>
      </c>
      <c r="H239" s="1232" t="n">
        <v>4</v>
      </c>
      <c r="I239" s="1232" t="n">
        <v>4.21</v>
      </c>
      <c r="J239" s="37" t="n">
        <v>132</v>
      </c>
      <c r="K239" s="37" t="inlineStr">
        <is>
          <t>12</t>
        </is>
      </c>
      <c r="L239" s="37" t="inlineStr"/>
      <c r="M239" s="38" t="inlineStr">
        <is>
          <t>СК1</t>
        </is>
      </c>
      <c r="N239" s="38" t="n"/>
      <c r="O239" s="37" t="n">
        <v>55</v>
      </c>
      <c r="P239" s="1363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39" s="1234" t="n"/>
      <c r="R239" s="1234" t="n"/>
      <c r="S239" s="1234" t="n"/>
      <c r="T239" s="1235" t="n"/>
      <c r="U239" s="39" t="inlineStr"/>
      <c r="V239" s="39" t="inlineStr"/>
      <c r="W239" s="40" t="inlineStr">
        <is>
          <t>кг</t>
        </is>
      </c>
      <c r="X239" s="1236" t="n">
        <v>0</v>
      </c>
      <c r="Y239" s="1237">
        <f>IFERROR(IF(X239="",0,CEILING((X239/$H239),1)*$H239),"")</f>
        <v/>
      </c>
      <c r="Z239" s="41">
        <f>IFERROR(IF(Y239=0,"",ROUNDUP(Y239/H239,0)*0.00902),"")</f>
        <v/>
      </c>
      <c r="AA239" s="68" t="inlineStr"/>
      <c r="AB239" s="69" t="inlineStr"/>
      <c r="AC239" s="330" t="inlineStr">
        <is>
          <t>ЕАЭС N RU Д-RU.РА01.В.19834/24</t>
        </is>
      </c>
      <c r="AG239" s="78" t="n"/>
      <c r="AJ239" s="84" t="inlineStr"/>
      <c r="AK239" s="84" t="n">
        <v>0</v>
      </c>
      <c r="BB239" s="331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 ht="27" customHeight="1">
      <c r="A240" s="63" t="inlineStr">
        <is>
          <t>SU003270</t>
        </is>
      </c>
      <c r="B240" s="63" t="inlineStr">
        <is>
          <t>P003944</t>
        </is>
      </c>
      <c r="C240" s="36" t="n">
        <v>4301011720</v>
      </c>
      <c r="D240" s="832" t="n">
        <v>4680115884199</v>
      </c>
      <c r="E240" s="1193" t="n"/>
      <c r="F240" s="1232" t="n">
        <v>0.37</v>
      </c>
      <c r="G240" s="37" t="n">
        <v>10</v>
      </c>
      <c r="H240" s="1232" t="n">
        <v>3.7</v>
      </c>
      <c r="I240" s="1232" t="n">
        <v>3.91</v>
      </c>
      <c r="J240" s="37" t="n">
        <v>132</v>
      </c>
      <c r="K240" s="37" t="inlineStr">
        <is>
          <t>12</t>
        </is>
      </c>
      <c r="L240" s="37" t="inlineStr"/>
      <c r="M240" s="38" t="inlineStr">
        <is>
          <t>СК1</t>
        </is>
      </c>
      <c r="N240" s="38" t="n"/>
      <c r="O240" s="37" t="n">
        <v>55</v>
      </c>
      <c r="P240" s="136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40" s="1234" t="n"/>
      <c r="R240" s="1234" t="n"/>
      <c r="S240" s="1234" t="n"/>
      <c r="T240" s="1235" t="n"/>
      <c r="U240" s="39" t="inlineStr"/>
      <c r="V240" s="39" t="inlineStr"/>
      <c r="W240" s="40" t="inlineStr">
        <is>
          <t>кг</t>
        </is>
      </c>
      <c r="X240" s="1236" t="n">
        <v>0</v>
      </c>
      <c r="Y240" s="1237">
        <f>IFERROR(IF(X240="",0,CEILING((X240/$H240),1)*$H240),"")</f>
        <v/>
      </c>
      <c r="Z240" s="41">
        <f>IFERROR(IF(Y240=0,"",ROUNDUP(Y240/H240,0)*0.00902),"")</f>
        <v/>
      </c>
      <c r="AA240" s="68" t="inlineStr"/>
      <c r="AB240" s="69" t="inlineStr"/>
      <c r="AC240" s="332" t="inlineStr">
        <is>
          <t>ЕАЭС N RU Д-RU.РА01.В.16349/24</t>
        </is>
      </c>
      <c r="AG240" s="78" t="n"/>
      <c r="AJ240" s="84" t="inlineStr"/>
      <c r="AK240" s="84" t="n">
        <v>0</v>
      </c>
      <c r="BB240" s="333" t="inlineStr">
        <is>
          <t>КИ</t>
        </is>
      </c>
      <c r="BM240" s="78">
        <f>IFERROR(X240*I240/H240,"0")</f>
        <v/>
      </c>
      <c r="BN240" s="78">
        <f>IFERROR(Y240*I240/H240,"0")</f>
        <v/>
      </c>
      <c r="BO240" s="78">
        <f>IFERROR(1/J240*(X240/H240),"0")</f>
        <v/>
      </c>
      <c r="BP240" s="78">
        <f>IFERROR(1/J240*(Y240/H240),"0")</f>
        <v/>
      </c>
    </row>
    <row r="241" ht="27" customHeight="1">
      <c r="A241" s="63" t="inlineStr">
        <is>
          <t>SU003266</t>
        </is>
      </c>
      <c r="B241" s="63" t="inlineStr">
        <is>
          <t>P003940</t>
        </is>
      </c>
      <c r="C241" s="36" t="n">
        <v>4301011716</v>
      </c>
      <c r="D241" s="832" t="n">
        <v>4680115884267</v>
      </c>
      <c r="E241" s="1193" t="n"/>
      <c r="F241" s="1232" t="n">
        <v>0.4</v>
      </c>
      <c r="G241" s="37" t="n">
        <v>10</v>
      </c>
      <c r="H241" s="1232" t="n">
        <v>4</v>
      </c>
      <c r="I241" s="1232" t="n">
        <v>4.21</v>
      </c>
      <c r="J241" s="37" t="n">
        <v>132</v>
      </c>
      <c r="K241" s="37" t="inlineStr">
        <is>
          <t>12</t>
        </is>
      </c>
      <c r="L241" s="37" t="inlineStr"/>
      <c r="M241" s="38" t="inlineStr">
        <is>
          <t>СК1</t>
        </is>
      </c>
      <c r="N241" s="38" t="n"/>
      <c r="O241" s="37" t="n">
        <v>55</v>
      </c>
      <c r="P241" s="1365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41" s="1234" t="n"/>
      <c r="R241" s="1234" t="n"/>
      <c r="S241" s="1234" t="n"/>
      <c r="T241" s="1235" t="n"/>
      <c r="U241" s="39" t="inlineStr"/>
      <c r="V241" s="39" t="inlineStr"/>
      <c r="W241" s="40" t="inlineStr">
        <is>
          <t>кг</t>
        </is>
      </c>
      <c r="X241" s="1236" t="n">
        <v>0</v>
      </c>
      <c r="Y241" s="1237">
        <f>IFERROR(IF(X241="",0,CEILING((X241/$H241),1)*$H241),"")</f>
        <v/>
      </c>
      <c r="Z241" s="41">
        <f>IFERROR(IF(Y241=0,"",ROUNDUP(Y241/H241,0)*0.00902),"")</f>
        <v/>
      </c>
      <c r="AA241" s="68" t="inlineStr"/>
      <c r="AB241" s="69" t="inlineStr"/>
      <c r="AC241" s="334" t="inlineStr">
        <is>
          <t>ЕАЭС N RU Д-RU.РА05.В.81953/23</t>
        </is>
      </c>
      <c r="AG241" s="78" t="n"/>
      <c r="AJ241" s="84" t="inlineStr"/>
      <c r="AK241" s="84" t="n">
        <v>0</v>
      </c>
      <c r="BB241" s="335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>
      <c r="A242" s="843" t="n"/>
      <c r="B242" s="1182" t="n"/>
      <c r="C242" s="1182" t="n"/>
      <c r="D242" s="1182" t="n"/>
      <c r="E242" s="1182" t="n"/>
      <c r="F242" s="1182" t="n"/>
      <c r="G242" s="1182" t="n"/>
      <c r="H242" s="1182" t="n"/>
      <c r="I242" s="1182" t="n"/>
      <c r="J242" s="1182" t="n"/>
      <c r="K242" s="1182" t="n"/>
      <c r="L242" s="1182" t="n"/>
      <c r="M242" s="1182" t="n"/>
      <c r="N242" s="1182" t="n"/>
      <c r="O242" s="1241" t="n"/>
      <c r="P242" s="1242" t="inlineStr">
        <is>
          <t>Итого</t>
        </is>
      </c>
      <c r="Q242" s="1201" t="n"/>
      <c r="R242" s="1201" t="n"/>
      <c r="S242" s="1201" t="n"/>
      <c r="T242" s="1201" t="n"/>
      <c r="U242" s="1201" t="n"/>
      <c r="V242" s="1202" t="n"/>
      <c r="W242" s="42" t="inlineStr">
        <is>
          <t>кор</t>
        </is>
      </c>
      <c r="X242" s="1243">
        <f>IFERROR(X234/H234,"0")+IFERROR(X235/H235,"0")+IFERROR(X236/H236,"0")+IFERROR(X237/H237,"0")+IFERROR(X238/H238,"0")+IFERROR(X239/H239,"0")+IFERROR(X240/H240,"0")+IFERROR(X241/H241,"0")</f>
        <v/>
      </c>
      <c r="Y242" s="1243">
        <f>IFERROR(Y234/H234,"0")+IFERROR(Y235/H235,"0")+IFERROR(Y236/H236,"0")+IFERROR(Y237/H237,"0")+IFERROR(Y238/H238,"0")+IFERROR(Y239/H239,"0")+IFERROR(Y240/H240,"0")+IFERROR(Y241/H241,"0")</f>
        <v/>
      </c>
      <c r="Z242" s="12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/>
      </c>
      <c r="AA242" s="1244" t="n"/>
      <c r="AB242" s="1244" t="n"/>
      <c r="AC242" s="1244" t="n"/>
    </row>
    <row r="243">
      <c r="A243" s="1182" t="n"/>
      <c r="B243" s="1182" t="n"/>
      <c r="C243" s="1182" t="n"/>
      <c r="D243" s="1182" t="n"/>
      <c r="E243" s="1182" t="n"/>
      <c r="F243" s="1182" t="n"/>
      <c r="G243" s="1182" t="n"/>
      <c r="H243" s="1182" t="n"/>
      <c r="I243" s="1182" t="n"/>
      <c r="J243" s="1182" t="n"/>
      <c r="K243" s="1182" t="n"/>
      <c r="L243" s="1182" t="n"/>
      <c r="M243" s="1182" t="n"/>
      <c r="N243" s="1182" t="n"/>
      <c r="O243" s="1241" t="n"/>
      <c r="P243" s="1242" t="inlineStr">
        <is>
          <t>Итого</t>
        </is>
      </c>
      <c r="Q243" s="1201" t="n"/>
      <c r="R243" s="1201" t="n"/>
      <c r="S243" s="1201" t="n"/>
      <c r="T243" s="1201" t="n"/>
      <c r="U243" s="1201" t="n"/>
      <c r="V243" s="1202" t="n"/>
      <c r="W243" s="42" t="inlineStr">
        <is>
          <t>кг</t>
        </is>
      </c>
      <c r="X243" s="1243">
        <f>IFERROR(SUM(X234:X241),"0")</f>
        <v/>
      </c>
      <c r="Y243" s="1243">
        <f>IFERROR(SUM(Y234:Y241),"0")</f>
        <v/>
      </c>
      <c r="Z243" s="42" t="n"/>
      <c r="AA243" s="1244" t="n"/>
      <c r="AB243" s="1244" t="n"/>
      <c r="AC243" s="1244" t="n"/>
    </row>
    <row r="244" ht="16.5" customHeight="1">
      <c r="A244" s="830" t="inlineStr">
        <is>
          <t>Стародворская</t>
        </is>
      </c>
      <c r="B244" s="1182" t="n"/>
      <c r="C244" s="1182" t="n"/>
      <c r="D244" s="1182" t="n"/>
      <c r="E244" s="1182" t="n"/>
      <c r="F244" s="1182" t="n"/>
      <c r="G244" s="1182" t="n"/>
      <c r="H244" s="1182" t="n"/>
      <c r="I244" s="1182" t="n"/>
      <c r="J244" s="1182" t="n"/>
      <c r="K244" s="1182" t="n"/>
      <c r="L244" s="1182" t="n"/>
      <c r="M244" s="1182" t="n"/>
      <c r="N244" s="1182" t="n"/>
      <c r="O244" s="1182" t="n"/>
      <c r="P244" s="1182" t="n"/>
      <c r="Q244" s="1182" t="n"/>
      <c r="R244" s="1182" t="n"/>
      <c r="S244" s="1182" t="n"/>
      <c r="T244" s="1182" t="n"/>
      <c r="U244" s="1182" t="n"/>
      <c r="V244" s="1182" t="n"/>
      <c r="W244" s="1182" t="n"/>
      <c r="X244" s="1182" t="n"/>
      <c r="Y244" s="1182" t="n"/>
      <c r="Z244" s="1182" t="n"/>
      <c r="AA244" s="830" t="n"/>
      <c r="AB244" s="830" t="n"/>
      <c r="AC244" s="830" t="n"/>
    </row>
    <row r="245" ht="14.25" customHeight="1">
      <c r="A245" s="831" t="inlineStr">
        <is>
          <t>Вареные колбасы</t>
        </is>
      </c>
      <c r="B245" s="1182" t="n"/>
      <c r="C245" s="1182" t="n"/>
      <c r="D245" s="1182" t="n"/>
      <c r="E245" s="1182" t="n"/>
      <c r="F245" s="1182" t="n"/>
      <c r="G245" s="1182" t="n"/>
      <c r="H245" s="1182" t="n"/>
      <c r="I245" s="1182" t="n"/>
      <c r="J245" s="1182" t="n"/>
      <c r="K245" s="1182" t="n"/>
      <c r="L245" s="1182" t="n"/>
      <c r="M245" s="1182" t="n"/>
      <c r="N245" s="1182" t="n"/>
      <c r="O245" s="1182" t="n"/>
      <c r="P245" s="1182" t="n"/>
      <c r="Q245" s="1182" t="n"/>
      <c r="R245" s="1182" t="n"/>
      <c r="S245" s="1182" t="n"/>
      <c r="T245" s="1182" t="n"/>
      <c r="U245" s="1182" t="n"/>
      <c r="V245" s="1182" t="n"/>
      <c r="W245" s="1182" t="n"/>
      <c r="X245" s="1182" t="n"/>
      <c r="Y245" s="1182" t="n"/>
      <c r="Z245" s="1182" t="n"/>
      <c r="AA245" s="831" t="n"/>
      <c r="AB245" s="831" t="n"/>
      <c r="AC245" s="831" t="n"/>
    </row>
    <row r="246" ht="27" customHeight="1">
      <c r="A246" s="63" t="inlineStr">
        <is>
          <t>SU003273</t>
        </is>
      </c>
      <c r="B246" s="63" t="inlineStr">
        <is>
          <t>P004316</t>
        </is>
      </c>
      <c r="C246" s="36" t="n">
        <v>4301011942</v>
      </c>
      <c r="D246" s="832" t="n">
        <v>4680115884137</v>
      </c>
      <c r="E246" s="1193" t="n"/>
      <c r="F246" s="1232" t="n">
        <v>1.45</v>
      </c>
      <c r="G246" s="37" t="n">
        <v>8</v>
      </c>
      <c r="H246" s="1232" t="n">
        <v>11.6</v>
      </c>
      <c r="I246" s="1232" t="n">
        <v>12.08</v>
      </c>
      <c r="J246" s="37" t="n">
        <v>48</v>
      </c>
      <c r="K246" s="37" t="inlineStr">
        <is>
          <t>8</t>
        </is>
      </c>
      <c r="L246" s="37" t="inlineStr"/>
      <c r="M246" s="38" t="inlineStr">
        <is>
          <t>ВЗ</t>
        </is>
      </c>
      <c r="N246" s="38" t="n"/>
      <c r="O246" s="37" t="n">
        <v>55</v>
      </c>
      <c r="P246" s="136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46" s="1234" t="n"/>
      <c r="R246" s="1234" t="n"/>
      <c r="S246" s="1234" t="n"/>
      <c r="T246" s="1235" t="n"/>
      <c r="U246" s="39" t="inlineStr"/>
      <c r="V246" s="39" t="inlineStr"/>
      <c r="W246" s="40" t="inlineStr">
        <is>
          <t>кг</t>
        </is>
      </c>
      <c r="X246" s="1236" t="n">
        <v>0</v>
      </c>
      <c r="Y246" s="1237">
        <f>IFERROR(IF(X246="",0,CEILING((X246/$H246),1)*$H246),"")</f>
        <v/>
      </c>
      <c r="Z246" s="41">
        <f>IFERROR(IF(Y246=0,"",ROUNDUP(Y246/H246,0)*0.02039),"")</f>
        <v/>
      </c>
      <c r="AA246" s="68" t="inlineStr"/>
      <c r="AB246" s="69" t="inlineStr"/>
      <c r="AC246" s="336" t="inlineStr">
        <is>
          <t>ЕАЭС N RU Д-RU.РА03.В.17296/24</t>
        </is>
      </c>
      <c r="AG246" s="78" t="n"/>
      <c r="AJ246" s="84" t="inlineStr"/>
      <c r="AK246" s="84" t="n">
        <v>0</v>
      </c>
      <c r="BB246" s="337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27" customHeight="1">
      <c r="A247" s="63" t="inlineStr">
        <is>
          <t>SU003273</t>
        </is>
      </c>
      <c r="B247" s="63" t="inlineStr">
        <is>
          <t>P004070</t>
        </is>
      </c>
      <c r="C247" s="36" t="n">
        <v>4301011826</v>
      </c>
      <c r="D247" s="832" t="n">
        <v>4680115884137</v>
      </c>
      <c r="E247" s="1193" t="n"/>
      <c r="F247" s="1232" t="n">
        <v>1.45</v>
      </c>
      <c r="G247" s="37" t="n">
        <v>8</v>
      </c>
      <c r="H247" s="1232" t="n">
        <v>11.6</v>
      </c>
      <c r="I247" s="1232" t="n">
        <v>12.035</v>
      </c>
      <c r="J247" s="37" t="n">
        <v>64</v>
      </c>
      <c r="K247" s="37" t="inlineStr">
        <is>
          <t>8</t>
        </is>
      </c>
      <c r="L247" s="37" t="inlineStr"/>
      <c r="M247" s="38" t="inlineStr">
        <is>
          <t>СК1</t>
        </is>
      </c>
      <c r="N247" s="38" t="n"/>
      <c r="O247" s="37" t="n">
        <v>55</v>
      </c>
      <c r="P247" s="1367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47" s="1234" t="n"/>
      <c r="R247" s="1234" t="n"/>
      <c r="S247" s="1234" t="n"/>
      <c r="T247" s="1235" t="n"/>
      <c r="U247" s="39" t="inlineStr"/>
      <c r="V247" s="39" t="inlineStr"/>
      <c r="W247" s="40" t="inlineStr">
        <is>
          <t>кг</t>
        </is>
      </c>
      <c r="X247" s="1236" t="n">
        <v>0</v>
      </c>
      <c r="Y247" s="1237">
        <f>IFERROR(IF(X247="",0,CEILING((X247/$H247),1)*$H247),"")</f>
        <v/>
      </c>
      <c r="Z247" s="41">
        <f>IFERROR(IF(Y247=0,"",ROUNDUP(Y247/H247,0)*0.01898),"")</f>
        <v/>
      </c>
      <c r="AA247" s="68" t="inlineStr"/>
      <c r="AB247" s="69" t="inlineStr"/>
      <c r="AC247" s="338" t="inlineStr">
        <is>
          <t>ЕАЭС N RU Д-RU.РА04.В.69476/22</t>
        </is>
      </c>
      <c r="AG247" s="78" t="n"/>
      <c r="AJ247" s="84" t="inlineStr"/>
      <c r="AK247" s="84" t="n">
        <v>0</v>
      </c>
      <c r="BB247" s="339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SU003275</t>
        </is>
      </c>
      <c r="B248" s="63" t="inlineStr">
        <is>
          <t>P003950</t>
        </is>
      </c>
      <c r="C248" s="36" t="n">
        <v>4301011724</v>
      </c>
      <c r="D248" s="832" t="n">
        <v>4680115884236</v>
      </c>
      <c r="E248" s="1193" t="n"/>
      <c r="F248" s="1232" t="n">
        <v>1.45</v>
      </c>
      <c r="G248" s="37" t="n">
        <v>8</v>
      </c>
      <c r="H248" s="1232" t="n">
        <v>11.6</v>
      </c>
      <c r="I248" s="1232" t="n">
        <v>12.035</v>
      </c>
      <c r="J248" s="37" t="n">
        <v>64</v>
      </c>
      <c r="K248" s="37" t="inlineStr">
        <is>
          <t>8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36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48" s="1234" t="n"/>
      <c r="R248" s="1234" t="n"/>
      <c r="S248" s="1234" t="n"/>
      <c r="T248" s="1235" t="n"/>
      <c r="U248" s="39" t="inlineStr"/>
      <c r="V248" s="39" t="inlineStr"/>
      <c r="W248" s="40" t="inlineStr">
        <is>
          <t>кг</t>
        </is>
      </c>
      <c r="X248" s="1236" t="n">
        <v>0</v>
      </c>
      <c r="Y248" s="1237">
        <f>IFERROR(IF(X248="",0,CEILING((X248/$H248),1)*$H248),"")</f>
        <v/>
      </c>
      <c r="Z248" s="41">
        <f>IFERROR(IF(Y248=0,"",ROUNDUP(Y248/H248,0)*0.01898),"")</f>
        <v/>
      </c>
      <c r="AA248" s="68" t="inlineStr"/>
      <c r="AB248" s="69" t="inlineStr"/>
      <c r="AC248" s="340" t="inlineStr">
        <is>
          <t>ЕАЭС N RU Д-RU.РА10.В.27759/23</t>
        </is>
      </c>
      <c r="AG248" s="78" t="n"/>
      <c r="AJ248" s="84" t="inlineStr"/>
      <c r="AK248" s="84" t="n">
        <v>0</v>
      </c>
      <c r="BB248" s="341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SU003271</t>
        </is>
      </c>
      <c r="B249" s="63" t="inlineStr">
        <is>
          <t>P004298</t>
        </is>
      </c>
      <c r="C249" s="36" t="n">
        <v>4301011941</v>
      </c>
      <c r="D249" s="832" t="n">
        <v>4680115884175</v>
      </c>
      <c r="E249" s="1193" t="n"/>
      <c r="F249" s="1232" t="n">
        <v>1.45</v>
      </c>
      <c r="G249" s="37" t="n">
        <v>8</v>
      </c>
      <c r="H249" s="1232" t="n">
        <v>11.6</v>
      </c>
      <c r="I249" s="1232" t="n">
        <v>12.08</v>
      </c>
      <c r="J249" s="37" t="n">
        <v>48</v>
      </c>
      <c r="K249" s="37" t="inlineStr">
        <is>
          <t>8</t>
        </is>
      </c>
      <c r="L249" s="37" t="inlineStr"/>
      <c r="M249" s="38" t="inlineStr">
        <is>
          <t>ВЗ</t>
        </is>
      </c>
      <c r="N249" s="38" t="n"/>
      <c r="O249" s="37" t="n">
        <v>55</v>
      </c>
      <c r="P249" s="1369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49" s="1234" t="n"/>
      <c r="R249" s="1234" t="n"/>
      <c r="S249" s="1234" t="n"/>
      <c r="T249" s="1235" t="n"/>
      <c r="U249" s="39" t="inlineStr"/>
      <c r="V249" s="39" t="inlineStr"/>
      <c r="W249" s="40" t="inlineStr">
        <is>
          <t>кг</t>
        </is>
      </c>
      <c r="X249" s="1236" t="n">
        <v>0</v>
      </c>
      <c r="Y249" s="1237">
        <f>IFERROR(IF(X249="",0,CEILING((X249/$H249),1)*$H249),"")</f>
        <v/>
      </c>
      <c r="Z249" s="41">
        <f>IFERROR(IF(Y249=0,"",ROUNDUP(Y249/H249,0)*0.02039),"")</f>
        <v/>
      </c>
      <c r="AA249" s="68" t="inlineStr"/>
      <c r="AB249" s="69" t="inlineStr"/>
      <c r="AC249" s="342" t="inlineStr">
        <is>
          <t>ЕАЭС N RU Д-RU.РА03.В.17296/24</t>
        </is>
      </c>
      <c r="AG249" s="78" t="n"/>
      <c r="AJ249" s="84" t="inlineStr"/>
      <c r="AK249" s="84" t="n">
        <v>0</v>
      </c>
      <c r="BB249" s="343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SU003271</t>
        </is>
      </c>
      <c r="B250" s="63" t="inlineStr">
        <is>
          <t>P003945</t>
        </is>
      </c>
      <c r="C250" s="36" t="n">
        <v>4301011721</v>
      </c>
      <c r="D250" s="832" t="n">
        <v>4680115884175</v>
      </c>
      <c r="E250" s="1193" t="n"/>
      <c r="F250" s="1232" t="n">
        <v>1.45</v>
      </c>
      <c r="G250" s="37" t="n">
        <v>8</v>
      </c>
      <c r="H250" s="1232" t="n">
        <v>11.6</v>
      </c>
      <c r="I250" s="1232" t="n">
        <v>12.035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37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50" s="1234" t="n"/>
      <c r="R250" s="1234" t="n"/>
      <c r="S250" s="1234" t="n"/>
      <c r="T250" s="1235" t="n"/>
      <c r="U250" s="39" t="inlineStr"/>
      <c r="V250" s="39" t="inlineStr"/>
      <c r="W250" s="40" t="inlineStr">
        <is>
          <t>кг</t>
        </is>
      </c>
      <c r="X250" s="1236" t="n">
        <v>30</v>
      </c>
      <c r="Y250" s="1237">
        <f>IFERROR(IF(X250="",0,CEILING((X250/$H250),1)*$H250),"")</f>
        <v/>
      </c>
      <c r="Z250" s="41">
        <f>IFERROR(IF(Y250=0,"",ROUNDUP(Y250/H250,0)*0.01898),"")</f>
        <v/>
      </c>
      <c r="AA250" s="68" t="inlineStr"/>
      <c r="AB250" s="69" t="inlineStr"/>
      <c r="AC250" s="344" t="inlineStr">
        <is>
          <t>ЕАЭС N RU Д-RU.РА01.В.26920/22, ЕАЭС N RU Д-RU.РА02.В.59666/22</t>
        </is>
      </c>
      <c r="AG250" s="78" t="n"/>
      <c r="AJ250" s="84" t="inlineStr"/>
      <c r="AK250" s="84" t="n">
        <v>0</v>
      </c>
      <c r="BB250" s="345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SU003274</t>
        </is>
      </c>
      <c r="B251" s="63" t="inlineStr">
        <is>
          <t>P004067</t>
        </is>
      </c>
      <c r="C251" s="36" t="n">
        <v>4301011824</v>
      </c>
      <c r="D251" s="832" t="n">
        <v>4680115884144</v>
      </c>
      <c r="E251" s="1193" t="n"/>
      <c r="F251" s="1232" t="n">
        <v>0.4</v>
      </c>
      <c r="G251" s="37" t="n">
        <v>10</v>
      </c>
      <c r="H251" s="1232" t="n">
        <v>4</v>
      </c>
      <c r="I251" s="1232" t="n">
        <v>4.21</v>
      </c>
      <c r="J251" s="37" t="n">
        <v>132</v>
      </c>
      <c r="K251" s="37" t="inlineStr">
        <is>
          <t>12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371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51" s="1234" t="n"/>
      <c r="R251" s="1234" t="n"/>
      <c r="S251" s="1234" t="n"/>
      <c r="T251" s="1235" t="n"/>
      <c r="U251" s="39" t="inlineStr"/>
      <c r="V251" s="39" t="inlineStr"/>
      <c r="W251" s="40" t="inlineStr">
        <is>
          <t>кг</t>
        </is>
      </c>
      <c r="X251" s="1236" t="n">
        <v>20</v>
      </c>
      <c r="Y251" s="1237">
        <f>IFERROR(IF(X251="",0,CEILING((X251/$H251),1)*$H251),"")</f>
        <v/>
      </c>
      <c r="Z251" s="41">
        <f>IFERROR(IF(Y251=0,"",ROUNDUP(Y251/H251,0)*0.00902),"")</f>
        <v/>
      </c>
      <c r="AA251" s="68" t="inlineStr"/>
      <c r="AB251" s="69" t="inlineStr"/>
      <c r="AC251" s="346" t="inlineStr">
        <is>
          <t>ЕАЭС N RU Д-RU.РА04.В.69476/22</t>
        </is>
      </c>
      <c r="AG251" s="78" t="n"/>
      <c r="AJ251" s="84" t="inlineStr"/>
      <c r="AK251" s="84" t="n">
        <v>0</v>
      </c>
      <c r="BB251" s="347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SU003508</t>
        </is>
      </c>
      <c r="B252" s="63" t="inlineStr">
        <is>
          <t>P004417</t>
        </is>
      </c>
      <c r="C252" s="36" t="n">
        <v>4301011963</v>
      </c>
      <c r="D252" s="832" t="n">
        <v>4680115885288</v>
      </c>
      <c r="E252" s="1193" t="n"/>
      <c r="F252" s="1232" t="n">
        <v>0.37</v>
      </c>
      <c r="G252" s="37" t="n">
        <v>10</v>
      </c>
      <c r="H252" s="1232" t="n">
        <v>3.7</v>
      </c>
      <c r="I252" s="1232" t="n">
        <v>3.91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37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52" s="1234" t="n"/>
      <c r="R252" s="1234" t="n"/>
      <c r="S252" s="1234" t="n"/>
      <c r="T252" s="1235" t="n"/>
      <c r="U252" s="39" t="inlineStr"/>
      <c r="V252" s="39" t="inlineStr"/>
      <c r="W252" s="40" t="inlineStr">
        <is>
          <t>кг</t>
        </is>
      </c>
      <c r="X252" s="1236" t="n">
        <v>0</v>
      </c>
      <c r="Y252" s="1237">
        <f>IFERROR(IF(X252="",0,CEILING((X252/$H252),1)*$H252),"")</f>
        <v/>
      </c>
      <c r="Z252" s="41">
        <f>IFERROR(IF(Y252=0,"",ROUNDUP(Y252/H252,0)*0.00902),"")</f>
        <v/>
      </c>
      <c r="AA252" s="68" t="inlineStr"/>
      <c r="AB252" s="69" t="inlineStr"/>
      <c r="AC252" s="348" t="inlineStr">
        <is>
          <t>ЕАЭС N RU Д-RU.РА03.В.72061/24</t>
        </is>
      </c>
      <c r="AG252" s="78" t="n"/>
      <c r="AJ252" s="84" t="inlineStr"/>
      <c r="AK252" s="84" t="n">
        <v>0</v>
      </c>
      <c r="BB252" s="349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SU003276</t>
        </is>
      </c>
      <c r="B253" s="63" t="inlineStr">
        <is>
          <t>P003956</t>
        </is>
      </c>
      <c r="C253" s="36" t="n">
        <v>4301011726</v>
      </c>
      <c r="D253" s="832" t="n">
        <v>4680115884182</v>
      </c>
      <c r="E253" s="1193" t="n"/>
      <c r="F253" s="1232" t="n">
        <v>0.37</v>
      </c>
      <c r="G253" s="37" t="n">
        <v>10</v>
      </c>
      <c r="H253" s="1232" t="n">
        <v>3.7</v>
      </c>
      <c r="I253" s="1232" t="n">
        <v>3.91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373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53" s="1234" t="n"/>
      <c r="R253" s="1234" t="n"/>
      <c r="S253" s="1234" t="n"/>
      <c r="T253" s="1235" t="n"/>
      <c r="U253" s="39" t="inlineStr"/>
      <c r="V253" s="39" t="inlineStr"/>
      <c r="W253" s="40" t="inlineStr">
        <is>
          <t>кг</t>
        </is>
      </c>
      <c r="X253" s="1236" t="n">
        <v>0</v>
      </c>
      <c r="Y253" s="1237">
        <f>IFERROR(IF(X253="",0,CEILING((X253/$H253),1)*$H253),"")</f>
        <v/>
      </c>
      <c r="Z253" s="41">
        <f>IFERROR(IF(Y253=0,"",ROUNDUP(Y253/H253,0)*0.00902),"")</f>
        <v/>
      </c>
      <c r="AA253" s="68" t="inlineStr"/>
      <c r="AB253" s="69" t="inlineStr"/>
      <c r="AC253" s="350" t="inlineStr">
        <is>
          <t>ЕАЭС N RU Д-RU.РА10.В.27759/23</t>
        </is>
      </c>
      <c r="AG253" s="78" t="n"/>
      <c r="AJ253" s="84" t="inlineStr"/>
      <c r="AK253" s="84" t="n">
        <v>0</v>
      </c>
      <c r="BB253" s="351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SU003272</t>
        </is>
      </c>
      <c r="B254" s="63" t="inlineStr">
        <is>
          <t>P003947</t>
        </is>
      </c>
      <c r="C254" s="36" t="n">
        <v>4301011722</v>
      </c>
      <c r="D254" s="832" t="n">
        <v>4680115884205</v>
      </c>
      <c r="E254" s="1193" t="n"/>
      <c r="F254" s="1232" t="n">
        <v>0.4</v>
      </c>
      <c r="G254" s="37" t="n">
        <v>10</v>
      </c>
      <c r="H254" s="1232" t="n">
        <v>4</v>
      </c>
      <c r="I254" s="1232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37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54" s="1234" t="n"/>
      <c r="R254" s="1234" t="n"/>
      <c r="S254" s="1234" t="n"/>
      <c r="T254" s="1235" t="n"/>
      <c r="U254" s="39" t="inlineStr"/>
      <c r="V254" s="39" t="inlineStr"/>
      <c r="W254" s="40" t="inlineStr">
        <is>
          <t>кг</t>
        </is>
      </c>
      <c r="X254" s="1236" t="n">
        <v>0</v>
      </c>
      <c r="Y254" s="1237">
        <f>IFERROR(IF(X254="",0,CEILING((X254/$H254),1)*$H254),"")</f>
        <v/>
      </c>
      <c r="Z254" s="41">
        <f>IFERROR(IF(Y254=0,"",ROUNDUP(Y254/H254,0)*0.00902),"")</f>
        <v/>
      </c>
      <c r="AA254" s="68" t="inlineStr"/>
      <c r="AB254" s="69" t="inlineStr"/>
      <c r="AC254" s="352" t="inlineStr">
        <is>
          <t>ЕАЭС N RU Д-RU.РА01.В.26920/22, ЕАЭС N RU Д-RU.РА02.В.59666/22</t>
        </is>
      </c>
      <c r="AG254" s="78" t="n"/>
      <c r="AJ254" s="84" t="inlineStr"/>
      <c r="AK254" s="84" t="n">
        <v>0</v>
      </c>
      <c r="BB254" s="353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>
      <c r="A255" s="843" t="n"/>
      <c r="B255" s="1182" t="n"/>
      <c r="C255" s="1182" t="n"/>
      <c r="D255" s="1182" t="n"/>
      <c r="E255" s="1182" t="n"/>
      <c r="F255" s="1182" t="n"/>
      <c r="G255" s="1182" t="n"/>
      <c r="H255" s="1182" t="n"/>
      <c r="I255" s="1182" t="n"/>
      <c r="J255" s="1182" t="n"/>
      <c r="K255" s="1182" t="n"/>
      <c r="L255" s="1182" t="n"/>
      <c r="M255" s="1182" t="n"/>
      <c r="N255" s="1182" t="n"/>
      <c r="O255" s="1241" t="n"/>
      <c r="P255" s="1242" t="inlineStr">
        <is>
          <t>Итого</t>
        </is>
      </c>
      <c r="Q255" s="1201" t="n"/>
      <c r="R255" s="1201" t="n"/>
      <c r="S255" s="1201" t="n"/>
      <c r="T255" s="1201" t="n"/>
      <c r="U255" s="1201" t="n"/>
      <c r="V255" s="1202" t="n"/>
      <c r="W255" s="42" t="inlineStr">
        <is>
          <t>кор</t>
        </is>
      </c>
      <c r="X255" s="1243">
        <f>IFERROR(X246/H246,"0")+IFERROR(X247/H247,"0")+IFERROR(X248/H248,"0")+IFERROR(X249/H249,"0")+IFERROR(X250/H250,"0")+IFERROR(X251/H251,"0")+IFERROR(X252/H252,"0")+IFERROR(X253/H253,"0")+IFERROR(X254/H254,"0")</f>
        <v/>
      </c>
      <c r="Y255" s="1243">
        <f>IFERROR(Y246/H246,"0")+IFERROR(Y247/H247,"0")+IFERROR(Y248/H248,"0")+IFERROR(Y249/H249,"0")+IFERROR(Y250/H250,"0")+IFERROR(Y251/H251,"0")+IFERROR(Y252/H252,"0")+IFERROR(Y253/H253,"0")+IFERROR(Y254/H254,"0")</f>
        <v/>
      </c>
      <c r="Z255" s="12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/>
      </c>
      <c r="AA255" s="1244" t="n"/>
      <c r="AB255" s="1244" t="n"/>
      <c r="AC255" s="1244" t="n"/>
    </row>
    <row r="256">
      <c r="A256" s="1182" t="n"/>
      <c r="B256" s="1182" t="n"/>
      <c r="C256" s="1182" t="n"/>
      <c r="D256" s="1182" t="n"/>
      <c r="E256" s="1182" t="n"/>
      <c r="F256" s="1182" t="n"/>
      <c r="G256" s="1182" t="n"/>
      <c r="H256" s="1182" t="n"/>
      <c r="I256" s="1182" t="n"/>
      <c r="J256" s="1182" t="n"/>
      <c r="K256" s="1182" t="n"/>
      <c r="L256" s="1182" t="n"/>
      <c r="M256" s="1182" t="n"/>
      <c r="N256" s="1182" t="n"/>
      <c r="O256" s="1241" t="n"/>
      <c r="P256" s="1242" t="inlineStr">
        <is>
          <t>Итого</t>
        </is>
      </c>
      <c r="Q256" s="1201" t="n"/>
      <c r="R256" s="1201" t="n"/>
      <c r="S256" s="1201" t="n"/>
      <c r="T256" s="1201" t="n"/>
      <c r="U256" s="1201" t="n"/>
      <c r="V256" s="1202" t="n"/>
      <c r="W256" s="42" t="inlineStr">
        <is>
          <t>кг</t>
        </is>
      </c>
      <c r="X256" s="1243">
        <f>IFERROR(SUM(X246:X254),"0")</f>
        <v/>
      </c>
      <c r="Y256" s="1243">
        <f>IFERROR(SUM(Y246:Y254),"0")</f>
        <v/>
      </c>
      <c r="Z256" s="42" t="n"/>
      <c r="AA256" s="1244" t="n"/>
      <c r="AB256" s="1244" t="n"/>
      <c r="AC256" s="1244" t="n"/>
    </row>
    <row r="257" ht="14.25" customHeight="1">
      <c r="A257" s="831" t="inlineStr">
        <is>
          <t>Ветчины</t>
        </is>
      </c>
      <c r="B257" s="1182" t="n"/>
      <c r="C257" s="1182" t="n"/>
      <c r="D257" s="1182" t="n"/>
      <c r="E257" s="1182" t="n"/>
      <c r="F257" s="1182" t="n"/>
      <c r="G257" s="1182" t="n"/>
      <c r="H257" s="1182" t="n"/>
      <c r="I257" s="1182" t="n"/>
      <c r="J257" s="1182" t="n"/>
      <c r="K257" s="1182" t="n"/>
      <c r="L257" s="1182" t="n"/>
      <c r="M257" s="1182" t="n"/>
      <c r="N257" s="1182" t="n"/>
      <c r="O257" s="1182" t="n"/>
      <c r="P257" s="1182" t="n"/>
      <c r="Q257" s="1182" t="n"/>
      <c r="R257" s="1182" t="n"/>
      <c r="S257" s="1182" t="n"/>
      <c r="T257" s="1182" t="n"/>
      <c r="U257" s="1182" t="n"/>
      <c r="V257" s="1182" t="n"/>
      <c r="W257" s="1182" t="n"/>
      <c r="X257" s="1182" t="n"/>
      <c r="Y257" s="1182" t="n"/>
      <c r="Z257" s="1182" t="n"/>
      <c r="AA257" s="831" t="n"/>
      <c r="AB257" s="831" t="n"/>
      <c r="AC257" s="831" t="n"/>
    </row>
    <row r="258" ht="27" customHeight="1">
      <c r="A258" s="63" t="inlineStr">
        <is>
          <t>SU003573</t>
        </is>
      </c>
      <c r="B258" s="63" t="inlineStr">
        <is>
          <t>P004524</t>
        </is>
      </c>
      <c r="C258" s="36" t="n">
        <v>4301020340</v>
      </c>
      <c r="D258" s="832" t="n">
        <v>4680115885721</v>
      </c>
      <c r="E258" s="1193" t="n"/>
      <c r="F258" s="1232" t="n">
        <v>0.33</v>
      </c>
      <c r="G258" s="37" t="n">
        <v>6</v>
      </c>
      <c r="H258" s="1232" t="n">
        <v>1.98</v>
      </c>
      <c r="I258" s="1232" t="n">
        <v>2.08</v>
      </c>
      <c r="J258" s="37" t="n">
        <v>234</v>
      </c>
      <c r="K258" s="37" t="inlineStr">
        <is>
          <t>18</t>
        </is>
      </c>
      <c r="L258" s="37" t="inlineStr"/>
      <c r="M258" s="38" t="inlineStr">
        <is>
          <t>СК3</t>
        </is>
      </c>
      <c r="N258" s="38" t="n"/>
      <c r="O258" s="37" t="n">
        <v>50</v>
      </c>
      <c r="P258" s="1375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58" s="1234" t="n"/>
      <c r="R258" s="1234" t="n"/>
      <c r="S258" s="1234" t="n"/>
      <c r="T258" s="1235" t="n"/>
      <c r="U258" s="39" t="inlineStr"/>
      <c r="V258" s="39" t="inlineStr"/>
      <c r="W258" s="40" t="inlineStr">
        <is>
          <t>кг</t>
        </is>
      </c>
      <c r="X258" s="1236" t="n">
        <v>0</v>
      </c>
      <c r="Y258" s="1237">
        <f>IFERROR(IF(X258="",0,CEILING((X258/$H258),1)*$H258),"")</f>
        <v/>
      </c>
      <c r="Z258" s="41">
        <f>IFERROR(IF(Y258=0,"",ROUNDUP(Y258/H258,0)*0.00502),"")</f>
        <v/>
      </c>
      <c r="AA258" s="68" t="inlineStr"/>
      <c r="AB258" s="69" t="inlineStr"/>
      <c r="AC258" s="354" t="inlineStr">
        <is>
          <t>ЕАЭС N RU Д-RU.РА05.В.24697/24</t>
        </is>
      </c>
      <c r="AG258" s="78" t="n"/>
      <c r="AJ258" s="84" t="inlineStr"/>
      <c r="AK258" s="84" t="n">
        <v>0</v>
      </c>
      <c r="BB258" s="355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>
      <c r="A259" s="843" t="n"/>
      <c r="B259" s="1182" t="n"/>
      <c r="C259" s="1182" t="n"/>
      <c r="D259" s="1182" t="n"/>
      <c r="E259" s="1182" t="n"/>
      <c r="F259" s="1182" t="n"/>
      <c r="G259" s="1182" t="n"/>
      <c r="H259" s="1182" t="n"/>
      <c r="I259" s="1182" t="n"/>
      <c r="J259" s="1182" t="n"/>
      <c r="K259" s="1182" t="n"/>
      <c r="L259" s="1182" t="n"/>
      <c r="M259" s="1182" t="n"/>
      <c r="N259" s="1182" t="n"/>
      <c r="O259" s="1241" t="n"/>
      <c r="P259" s="1242" t="inlineStr">
        <is>
          <t>Итого</t>
        </is>
      </c>
      <c r="Q259" s="1201" t="n"/>
      <c r="R259" s="1201" t="n"/>
      <c r="S259" s="1201" t="n"/>
      <c r="T259" s="1201" t="n"/>
      <c r="U259" s="1201" t="n"/>
      <c r="V259" s="1202" t="n"/>
      <c r="W259" s="42" t="inlineStr">
        <is>
          <t>кор</t>
        </is>
      </c>
      <c r="X259" s="1243">
        <f>IFERROR(X258/H258,"0")</f>
        <v/>
      </c>
      <c r="Y259" s="1243">
        <f>IFERROR(Y258/H258,"0")</f>
        <v/>
      </c>
      <c r="Z259" s="1243">
        <f>IFERROR(IF(Z258="",0,Z258),"0")</f>
        <v/>
      </c>
      <c r="AA259" s="1244" t="n"/>
      <c r="AB259" s="1244" t="n"/>
      <c r="AC259" s="1244" t="n"/>
    </row>
    <row r="260">
      <c r="A260" s="1182" t="n"/>
      <c r="B260" s="1182" t="n"/>
      <c r="C260" s="1182" t="n"/>
      <c r="D260" s="1182" t="n"/>
      <c r="E260" s="1182" t="n"/>
      <c r="F260" s="1182" t="n"/>
      <c r="G260" s="1182" t="n"/>
      <c r="H260" s="1182" t="n"/>
      <c r="I260" s="1182" t="n"/>
      <c r="J260" s="1182" t="n"/>
      <c r="K260" s="1182" t="n"/>
      <c r="L260" s="1182" t="n"/>
      <c r="M260" s="1182" t="n"/>
      <c r="N260" s="1182" t="n"/>
      <c r="O260" s="1241" t="n"/>
      <c r="P260" s="1242" t="inlineStr">
        <is>
          <t>Итого</t>
        </is>
      </c>
      <c r="Q260" s="1201" t="n"/>
      <c r="R260" s="1201" t="n"/>
      <c r="S260" s="1201" t="n"/>
      <c r="T260" s="1201" t="n"/>
      <c r="U260" s="1201" t="n"/>
      <c r="V260" s="1202" t="n"/>
      <c r="W260" s="42" t="inlineStr">
        <is>
          <t>кг</t>
        </is>
      </c>
      <c r="X260" s="1243">
        <f>IFERROR(SUM(X258:X258),"0")</f>
        <v/>
      </c>
      <c r="Y260" s="1243">
        <f>IFERROR(SUM(Y258:Y258),"0")</f>
        <v/>
      </c>
      <c r="Z260" s="42" t="n"/>
      <c r="AA260" s="1244" t="n"/>
      <c r="AB260" s="1244" t="n"/>
      <c r="AC260" s="1244" t="n"/>
    </row>
    <row r="261" ht="16.5" customHeight="1">
      <c r="A261" s="830" t="inlineStr">
        <is>
          <t>Филедворская по-стародворски</t>
        </is>
      </c>
      <c r="B261" s="1182" t="n"/>
      <c r="C261" s="1182" t="n"/>
      <c r="D261" s="1182" t="n"/>
      <c r="E261" s="1182" t="n"/>
      <c r="F261" s="1182" t="n"/>
      <c r="G261" s="1182" t="n"/>
      <c r="H261" s="1182" t="n"/>
      <c r="I261" s="1182" t="n"/>
      <c r="J261" s="1182" t="n"/>
      <c r="K261" s="1182" t="n"/>
      <c r="L261" s="1182" t="n"/>
      <c r="M261" s="1182" t="n"/>
      <c r="N261" s="1182" t="n"/>
      <c r="O261" s="1182" t="n"/>
      <c r="P261" s="1182" t="n"/>
      <c r="Q261" s="1182" t="n"/>
      <c r="R261" s="1182" t="n"/>
      <c r="S261" s="1182" t="n"/>
      <c r="T261" s="1182" t="n"/>
      <c r="U261" s="1182" t="n"/>
      <c r="V261" s="1182" t="n"/>
      <c r="W261" s="1182" t="n"/>
      <c r="X261" s="1182" t="n"/>
      <c r="Y261" s="1182" t="n"/>
      <c r="Z261" s="1182" t="n"/>
      <c r="AA261" s="830" t="n"/>
      <c r="AB261" s="830" t="n"/>
      <c r="AC261" s="830" t="n"/>
    </row>
    <row r="262" ht="14.25" customHeight="1">
      <c r="A262" s="831" t="inlineStr">
        <is>
          <t>Вареные колбасы</t>
        </is>
      </c>
      <c r="B262" s="1182" t="n"/>
      <c r="C262" s="1182" t="n"/>
      <c r="D262" s="1182" t="n"/>
      <c r="E262" s="1182" t="n"/>
      <c r="F262" s="1182" t="n"/>
      <c r="G262" s="1182" t="n"/>
      <c r="H262" s="1182" t="n"/>
      <c r="I262" s="1182" t="n"/>
      <c r="J262" s="1182" t="n"/>
      <c r="K262" s="1182" t="n"/>
      <c r="L262" s="1182" t="n"/>
      <c r="M262" s="1182" t="n"/>
      <c r="N262" s="1182" t="n"/>
      <c r="O262" s="1182" t="n"/>
      <c r="P262" s="1182" t="n"/>
      <c r="Q262" s="1182" t="n"/>
      <c r="R262" s="1182" t="n"/>
      <c r="S262" s="1182" t="n"/>
      <c r="T262" s="1182" t="n"/>
      <c r="U262" s="1182" t="n"/>
      <c r="V262" s="1182" t="n"/>
      <c r="W262" s="1182" t="n"/>
      <c r="X262" s="1182" t="n"/>
      <c r="Y262" s="1182" t="n"/>
      <c r="Z262" s="1182" t="n"/>
      <c r="AA262" s="831" t="n"/>
      <c r="AB262" s="831" t="n"/>
      <c r="AC262" s="831" t="n"/>
    </row>
    <row r="263" ht="27" customHeight="1">
      <c r="A263" s="63" t="inlineStr">
        <is>
          <t>SU003389</t>
        </is>
      </c>
      <c r="B263" s="63" t="inlineStr">
        <is>
          <t>P004212</t>
        </is>
      </c>
      <c r="C263" s="36" t="n">
        <v>4301011855</v>
      </c>
      <c r="D263" s="832" t="n">
        <v>4680115885837</v>
      </c>
      <c r="E263" s="1193" t="n"/>
      <c r="F263" s="1232" t="n">
        <v>1.35</v>
      </c>
      <c r="G263" s="37" t="n">
        <v>8</v>
      </c>
      <c r="H263" s="1232" t="n">
        <v>10.8</v>
      </c>
      <c r="I263" s="1232" t="n">
        <v>11.235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55</v>
      </c>
      <c r="P263" s="1376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63" s="1234" t="n"/>
      <c r="R263" s="1234" t="n"/>
      <c r="S263" s="1234" t="n"/>
      <c r="T263" s="1235" t="n"/>
      <c r="U263" s="39" t="inlineStr"/>
      <c r="V263" s="39" t="inlineStr"/>
      <c r="W263" s="40" t="inlineStr">
        <is>
          <t>кг</t>
        </is>
      </c>
      <c r="X263" s="1236" t="n">
        <v>0</v>
      </c>
      <c r="Y263" s="1237">
        <f>IFERROR(IF(X263="",0,CEILING((X263/$H263),1)*$H263),"")</f>
        <v/>
      </c>
      <c r="Z263" s="41">
        <f>IFERROR(IF(Y263=0,"",ROUNDUP(Y263/H263,0)*0.01898),"")</f>
        <v/>
      </c>
      <c r="AA263" s="68" t="inlineStr"/>
      <c r="AB263" s="69" t="inlineStr"/>
      <c r="AC263" s="356" t="inlineStr">
        <is>
          <t>ЕАЭС N RU Д-RU.РА05.В.80817/24, ЕАЭС N RU Д-RU.РА05.В.80946/24</t>
        </is>
      </c>
      <c r="AG263" s="78" t="n"/>
      <c r="AJ263" s="84" t="inlineStr"/>
      <c r="AK263" s="84" t="n">
        <v>0</v>
      </c>
      <c r="BB263" s="357" t="inlineStr">
        <is>
          <t>КИ</t>
        </is>
      </c>
      <c r="BM263" s="78">
        <f>IFERROR(X263*I263/H263,"0")</f>
        <v/>
      </c>
      <c r="BN263" s="78">
        <f>IFERROR(Y263*I263/H263,"0")</f>
        <v/>
      </c>
      <c r="BO263" s="78">
        <f>IFERROR(1/J263*(X263/H263),"0")</f>
        <v/>
      </c>
      <c r="BP263" s="78">
        <f>IFERROR(1/J263*(Y263/H263),"0")</f>
        <v/>
      </c>
    </row>
    <row r="264" ht="27" customHeight="1">
      <c r="A264" s="63" t="inlineStr">
        <is>
          <t>SU003387</t>
        </is>
      </c>
      <c r="B264" s="63" t="inlineStr">
        <is>
          <t>P004206</t>
        </is>
      </c>
      <c r="C264" s="36" t="n">
        <v>4301011850</v>
      </c>
      <c r="D264" s="832" t="n">
        <v>4680115885806</v>
      </c>
      <c r="E264" s="1193" t="n"/>
      <c r="F264" s="1232" t="n">
        <v>1.35</v>
      </c>
      <c r="G264" s="37" t="n">
        <v>8</v>
      </c>
      <c r="H264" s="1232" t="n">
        <v>10.8</v>
      </c>
      <c r="I264" s="1232" t="n">
        <v>11.235</v>
      </c>
      <c r="J264" s="37" t="n">
        <v>64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377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64" s="1234" t="n"/>
      <c r="R264" s="1234" t="n"/>
      <c r="S264" s="1234" t="n"/>
      <c r="T264" s="1235" t="n"/>
      <c r="U264" s="39" t="inlineStr"/>
      <c r="V264" s="39" t="inlineStr"/>
      <c r="W264" s="40" t="inlineStr">
        <is>
          <t>кг</t>
        </is>
      </c>
      <c r="X264" s="1236" t="n">
        <v>0</v>
      </c>
      <c r="Y264" s="1237">
        <f>IFERROR(IF(X264="",0,CEILING((X264/$H264),1)*$H264),"")</f>
        <v/>
      </c>
      <c r="Z264" s="41">
        <f>IFERROR(IF(Y264=0,"",ROUNDUP(Y264/H264,0)*0.01898),"")</f>
        <v/>
      </c>
      <c r="AA264" s="68" t="inlineStr"/>
      <c r="AB264" s="69" t="inlineStr"/>
      <c r="AC264" s="358" t="inlineStr">
        <is>
          <t>ЕАЭС N RU Д-RU.РА05.В.80261/24, ЕАЭС N RU Д-RU.РА05.В.80546/24</t>
        </is>
      </c>
      <c r="AG264" s="78" t="n"/>
      <c r="AJ264" s="84" t="inlineStr"/>
      <c r="AK264" s="84" t="n">
        <v>0</v>
      </c>
      <c r="BB264" s="359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SU003387</t>
        </is>
      </c>
      <c r="B265" s="63" t="inlineStr">
        <is>
          <t>P004288</t>
        </is>
      </c>
      <c r="C265" s="36" t="n">
        <v>4301011910</v>
      </c>
      <c r="D265" s="832" t="n">
        <v>4680115885806</v>
      </c>
      <c r="E265" s="1193" t="n"/>
      <c r="F265" s="1232" t="n">
        <v>1.35</v>
      </c>
      <c r="G265" s="37" t="n">
        <v>8</v>
      </c>
      <c r="H265" s="1232" t="n">
        <v>10.8</v>
      </c>
      <c r="I265" s="1232" t="n">
        <v>11.28</v>
      </c>
      <c r="J265" s="37" t="n">
        <v>48</v>
      </c>
      <c r="K265" s="37" t="inlineStr">
        <is>
          <t>8</t>
        </is>
      </c>
      <c r="L265" s="37" t="inlineStr"/>
      <c r="M265" s="38" t="inlineStr">
        <is>
          <t>ВЗ</t>
        </is>
      </c>
      <c r="N265" s="38" t="n"/>
      <c r="O265" s="37" t="n">
        <v>55</v>
      </c>
      <c r="P265" s="1378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65" s="1234" t="n"/>
      <c r="R265" s="1234" t="n"/>
      <c r="S265" s="1234" t="n"/>
      <c r="T265" s="1235" t="n"/>
      <c r="U265" s="39" t="inlineStr"/>
      <c r="V265" s="39" t="inlineStr"/>
      <c r="W265" s="40" t="inlineStr">
        <is>
          <t>кг</t>
        </is>
      </c>
      <c r="X265" s="1236" t="n">
        <v>0</v>
      </c>
      <c r="Y265" s="1237">
        <f>IFERROR(IF(X265="",0,CEILING((X265/$H265),1)*$H265),"")</f>
        <v/>
      </c>
      <c r="Z265" s="41">
        <f>IFERROR(IF(Y265=0,"",ROUNDUP(Y265/H265,0)*0.02039),"")</f>
        <v/>
      </c>
      <c r="AA265" s="68" t="inlineStr"/>
      <c r="AB265" s="69" t="inlineStr"/>
      <c r="AC265" s="360" t="inlineStr">
        <is>
          <t>ЕАЭС N RU Д-RU.РА06.В.26192/24</t>
        </is>
      </c>
      <c r="AG265" s="78" t="n"/>
      <c r="AJ265" s="84" t="inlineStr"/>
      <c r="AK265" s="84" t="n">
        <v>0</v>
      </c>
      <c r="BB265" s="361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37.5" customHeight="1">
      <c r="A266" s="63" t="inlineStr">
        <is>
          <t>SU001792</t>
        </is>
      </c>
      <c r="B266" s="63" t="inlineStr">
        <is>
          <t>P001792</t>
        </is>
      </c>
      <c r="C266" s="36" t="n">
        <v>4301011313</v>
      </c>
      <c r="D266" s="832" t="n">
        <v>4607091385984</v>
      </c>
      <c r="E266" s="1193" t="n"/>
      <c r="F266" s="1232" t="n">
        <v>1.35</v>
      </c>
      <c r="G266" s="37" t="n">
        <v>8</v>
      </c>
      <c r="H266" s="1232" t="n">
        <v>10.8</v>
      </c>
      <c r="I266" s="1232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379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66" s="1234" t="n"/>
      <c r="R266" s="1234" t="n"/>
      <c r="S266" s="1234" t="n"/>
      <c r="T266" s="1235" t="n"/>
      <c r="U266" s="39" t="inlineStr"/>
      <c r="V266" s="39" t="inlineStr"/>
      <c r="W266" s="40" t="inlineStr">
        <is>
          <t>кг</t>
        </is>
      </c>
      <c r="X266" s="1236" t="n">
        <v>0</v>
      </c>
      <c r="Y266" s="1237">
        <f>IFERROR(IF(X266="",0,CEILING((X266/$H266),1)*$H266),"")</f>
        <v/>
      </c>
      <c r="Z266" s="41">
        <f>IFERROR(IF(Y266=0,"",ROUNDUP(Y266/H266,0)*0.01898),"")</f>
        <v/>
      </c>
      <c r="AA266" s="68" t="inlineStr"/>
      <c r="AB266" s="69" t="inlineStr"/>
      <c r="AC266" s="362" t="inlineStr">
        <is>
          <t>ЕАЭС N RU Д-RU.РА02.В.77891/22</t>
        </is>
      </c>
      <c r="AG266" s="78" t="n"/>
      <c r="AJ266" s="84" t="inlineStr"/>
      <c r="AK266" s="84" t="n">
        <v>0</v>
      </c>
      <c r="BB266" s="363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37.5" customHeight="1">
      <c r="A267" s="63" t="inlineStr">
        <is>
          <t>SU003391</t>
        </is>
      </c>
      <c r="B267" s="63" t="inlineStr">
        <is>
          <t>P004209</t>
        </is>
      </c>
      <c r="C267" s="36" t="n">
        <v>4301011853</v>
      </c>
      <c r="D267" s="832" t="n">
        <v>4680115885851</v>
      </c>
      <c r="E267" s="1193" t="n"/>
      <c r="F267" s="1232" t="n">
        <v>1.35</v>
      </c>
      <c r="G267" s="37" t="n">
        <v>8</v>
      </c>
      <c r="H267" s="1232" t="n">
        <v>10.8</v>
      </c>
      <c r="I267" s="1232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38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67" s="1234" t="n"/>
      <c r="R267" s="1234" t="n"/>
      <c r="S267" s="1234" t="n"/>
      <c r="T267" s="1235" t="n"/>
      <c r="U267" s="39" t="inlineStr"/>
      <c r="V267" s="39" t="inlineStr"/>
      <c r="W267" s="40" t="inlineStr">
        <is>
          <t>кг</t>
        </is>
      </c>
      <c r="X267" s="1236" t="n">
        <v>0</v>
      </c>
      <c r="Y267" s="1237">
        <f>IFERROR(IF(X267="",0,CEILING((X267/$H267),1)*$H267),"")</f>
        <v/>
      </c>
      <c r="Z267" s="41">
        <f>IFERROR(IF(Y267=0,"",ROUNDUP(Y267/H267,0)*0.01898),"")</f>
        <v/>
      </c>
      <c r="AA267" s="68" t="inlineStr"/>
      <c r="AB267" s="69" t="inlineStr"/>
      <c r="AC267" s="364" t="inlineStr">
        <is>
          <t>ЕАЭС N RU Д-RU.РА05.В.80018/24</t>
        </is>
      </c>
      <c r="AG267" s="78" t="n"/>
      <c r="AJ267" s="84" t="inlineStr"/>
      <c r="AK267" s="84" t="n">
        <v>0</v>
      </c>
      <c r="BB267" s="365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SU001795</t>
        </is>
      </c>
      <c r="B268" s="63" t="inlineStr">
        <is>
          <t>P001795</t>
        </is>
      </c>
      <c r="C268" s="36" t="n">
        <v>4301011319</v>
      </c>
      <c r="D268" s="832" t="n">
        <v>4607091387469</v>
      </c>
      <c r="E268" s="1193" t="n"/>
      <c r="F268" s="1232" t="n">
        <v>0.5</v>
      </c>
      <c r="G268" s="37" t="n">
        <v>10</v>
      </c>
      <c r="H268" s="1232" t="n">
        <v>5</v>
      </c>
      <c r="I268" s="1232" t="n">
        <v>5.21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381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68" s="1234" t="n"/>
      <c r="R268" s="1234" t="n"/>
      <c r="S268" s="1234" t="n"/>
      <c r="T268" s="1235" t="n"/>
      <c r="U268" s="39" t="inlineStr"/>
      <c r="V268" s="39" t="inlineStr"/>
      <c r="W268" s="40" t="inlineStr">
        <is>
          <t>кг</t>
        </is>
      </c>
      <c r="X268" s="1236" t="n">
        <v>0</v>
      </c>
      <c r="Y268" s="1237">
        <f>IFERROR(IF(X268="",0,CEILING((X268/$H268),1)*$H268),"")</f>
        <v/>
      </c>
      <c r="Z268" s="41">
        <f>IFERROR(IF(Y268=0,"",ROUNDUP(Y268/H268,0)*0.00902),"")</f>
        <v/>
      </c>
      <c r="AA268" s="68" t="inlineStr"/>
      <c r="AB268" s="69" t="inlineStr"/>
      <c r="AC268" s="366" t="inlineStr">
        <is>
          <t>ЕАЭС N RU Д-RU.РА02.В.59562/22</t>
        </is>
      </c>
      <c r="AG268" s="78" t="n"/>
      <c r="AJ268" s="84" t="inlineStr"/>
      <c r="AK268" s="84" t="n">
        <v>0</v>
      </c>
      <c r="BB268" s="367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SU003390</t>
        </is>
      </c>
      <c r="B269" s="63" t="inlineStr">
        <is>
          <t>P004208</t>
        </is>
      </c>
      <c r="C269" s="36" t="n">
        <v>4301011852</v>
      </c>
      <c r="D269" s="832" t="n">
        <v>4680115885844</v>
      </c>
      <c r="E269" s="1193" t="n"/>
      <c r="F269" s="1232" t="n">
        <v>0.4</v>
      </c>
      <c r="G269" s="37" t="n">
        <v>10</v>
      </c>
      <c r="H269" s="1232" t="n">
        <v>4</v>
      </c>
      <c r="I269" s="1232" t="n">
        <v>4.21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38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69" s="1234" t="n"/>
      <c r="R269" s="1234" t="n"/>
      <c r="S269" s="1234" t="n"/>
      <c r="T269" s="1235" t="n"/>
      <c r="U269" s="39" t="inlineStr"/>
      <c r="V269" s="39" t="inlineStr"/>
      <c r="W269" s="40" t="inlineStr">
        <is>
          <t>кг</t>
        </is>
      </c>
      <c r="X269" s="1236" t="n">
        <v>0</v>
      </c>
      <c r="Y269" s="1237">
        <f>IFERROR(IF(X269="",0,CEILING((X269/$H269),1)*$H269),"")</f>
        <v/>
      </c>
      <c r="Z269" s="41">
        <f>IFERROR(IF(Y269=0,"",ROUNDUP(Y269/H269,0)*0.00902),"")</f>
        <v/>
      </c>
      <c r="AA269" s="68" t="inlineStr"/>
      <c r="AB269" s="69" t="inlineStr"/>
      <c r="AC269" s="368" t="inlineStr">
        <is>
          <t>ЕАЭС N RU Д-RU.РА05.В.80946/24</t>
        </is>
      </c>
      <c r="AG269" s="78" t="n"/>
      <c r="AJ269" s="84" t="inlineStr"/>
      <c r="AK269" s="84" t="n">
        <v>0</v>
      </c>
      <c r="BB269" s="369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SU001794</t>
        </is>
      </c>
      <c r="B270" s="63" t="inlineStr">
        <is>
          <t>P001794</t>
        </is>
      </c>
      <c r="C270" s="36" t="n">
        <v>4301011316</v>
      </c>
      <c r="D270" s="832" t="n">
        <v>4607091387438</v>
      </c>
      <c r="E270" s="1193" t="n"/>
      <c r="F270" s="1232" t="n">
        <v>0.5</v>
      </c>
      <c r="G270" s="37" t="n">
        <v>10</v>
      </c>
      <c r="H270" s="1232" t="n">
        <v>5</v>
      </c>
      <c r="I270" s="1232" t="n">
        <v>5.21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383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70" s="1234" t="n"/>
      <c r="R270" s="1234" t="n"/>
      <c r="S270" s="1234" t="n"/>
      <c r="T270" s="1235" t="n"/>
      <c r="U270" s="39" t="inlineStr"/>
      <c r="V270" s="39" t="inlineStr"/>
      <c r="W270" s="40" t="inlineStr">
        <is>
          <t>кг</t>
        </is>
      </c>
      <c r="X270" s="1236" t="n">
        <v>0</v>
      </c>
      <c r="Y270" s="1237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70" t="inlineStr">
        <is>
          <t>ЕАЭС N RU Д-RU.РА02.В.62632/22</t>
        </is>
      </c>
      <c r="AG270" s="78" t="n"/>
      <c r="AJ270" s="84" t="inlineStr"/>
      <c r="AK270" s="84" t="n">
        <v>0</v>
      </c>
      <c r="BB270" s="371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 ht="27" customHeight="1">
      <c r="A271" s="63" t="inlineStr">
        <is>
          <t>SU003388</t>
        </is>
      </c>
      <c r="B271" s="63" t="inlineStr">
        <is>
          <t>P004207</t>
        </is>
      </c>
      <c r="C271" s="36" t="n">
        <v>4301011851</v>
      </c>
      <c r="D271" s="832" t="n">
        <v>4680115885820</v>
      </c>
      <c r="E271" s="1193" t="n"/>
      <c r="F271" s="1232" t="n">
        <v>0.4</v>
      </c>
      <c r="G271" s="37" t="n">
        <v>10</v>
      </c>
      <c r="H271" s="1232" t="n">
        <v>4</v>
      </c>
      <c r="I271" s="1232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384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1" s="1234" t="n"/>
      <c r="R271" s="1234" t="n"/>
      <c r="S271" s="1234" t="n"/>
      <c r="T271" s="1235" t="n"/>
      <c r="U271" s="39" t="inlineStr"/>
      <c r="V271" s="39" t="inlineStr"/>
      <c r="W271" s="40" t="inlineStr">
        <is>
          <t>кг</t>
        </is>
      </c>
      <c r="X271" s="1236" t="n">
        <v>0</v>
      </c>
      <c r="Y271" s="1237">
        <f>IFERROR(IF(X271="",0,CEILING((X271/$H271),1)*$H271),"")</f>
        <v/>
      </c>
      <c r="Z271" s="41">
        <f>IFERROR(IF(Y271=0,"",ROUNDUP(Y271/H271,0)*0.00902),"")</f>
        <v/>
      </c>
      <c r="AA271" s="68" t="inlineStr"/>
      <c r="AB271" s="69" t="inlineStr"/>
      <c r="AC271" s="372" t="inlineStr">
        <is>
          <t>ЕАЭС N RU Д-RU.РА05.В.80546/24</t>
        </is>
      </c>
      <c r="AG271" s="78" t="n"/>
      <c r="AJ271" s="84" t="inlineStr"/>
      <c r="AK271" s="84" t="n">
        <v>0</v>
      </c>
      <c r="BB271" s="373" t="inlineStr">
        <is>
          <t>КИ</t>
        </is>
      </c>
      <c r="BM271" s="78">
        <f>IFERROR(X271*I271/H271,"0")</f>
        <v/>
      </c>
      <c r="BN271" s="78">
        <f>IFERROR(Y271*I271/H271,"0")</f>
        <v/>
      </c>
      <c r="BO271" s="78">
        <f>IFERROR(1/J271*(X271/H271),"0")</f>
        <v/>
      </c>
      <c r="BP271" s="78">
        <f>IFERROR(1/J271*(Y271/H271),"0")</f>
        <v/>
      </c>
    </row>
    <row r="272">
      <c r="A272" s="843" t="n"/>
      <c r="B272" s="1182" t="n"/>
      <c r="C272" s="1182" t="n"/>
      <c r="D272" s="1182" t="n"/>
      <c r="E272" s="1182" t="n"/>
      <c r="F272" s="1182" t="n"/>
      <c r="G272" s="1182" t="n"/>
      <c r="H272" s="1182" t="n"/>
      <c r="I272" s="1182" t="n"/>
      <c r="J272" s="1182" t="n"/>
      <c r="K272" s="1182" t="n"/>
      <c r="L272" s="1182" t="n"/>
      <c r="M272" s="1182" t="n"/>
      <c r="N272" s="1182" t="n"/>
      <c r="O272" s="1241" t="n"/>
      <c r="P272" s="1242" t="inlineStr">
        <is>
          <t>Итого</t>
        </is>
      </c>
      <c r="Q272" s="1201" t="n"/>
      <c r="R272" s="1201" t="n"/>
      <c r="S272" s="1201" t="n"/>
      <c r="T272" s="1201" t="n"/>
      <c r="U272" s="1201" t="n"/>
      <c r="V272" s="1202" t="n"/>
      <c r="W272" s="42" t="inlineStr">
        <is>
          <t>кор</t>
        </is>
      </c>
      <c r="X272" s="1243">
        <f>IFERROR(X263/H263,"0")+IFERROR(X264/H264,"0")+IFERROR(X265/H265,"0")+IFERROR(X266/H266,"0")+IFERROR(X267/H267,"0")+IFERROR(X268/H268,"0")+IFERROR(X269/H269,"0")+IFERROR(X270/H270,"0")+IFERROR(X271/H271,"0")</f>
        <v/>
      </c>
      <c r="Y272" s="1243">
        <f>IFERROR(Y263/H263,"0")+IFERROR(Y264/H264,"0")+IFERROR(Y265/H265,"0")+IFERROR(Y266/H266,"0")+IFERROR(Y267/H267,"0")+IFERROR(Y268/H268,"0")+IFERROR(Y269/H269,"0")+IFERROR(Y270/H270,"0")+IFERROR(Y271/H271,"0")</f>
        <v/>
      </c>
      <c r="Z272" s="12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/>
      </c>
      <c r="AA272" s="1244" t="n"/>
      <c r="AB272" s="1244" t="n"/>
      <c r="AC272" s="1244" t="n"/>
    </row>
    <row r="273">
      <c r="A273" s="1182" t="n"/>
      <c r="B273" s="1182" t="n"/>
      <c r="C273" s="1182" t="n"/>
      <c r="D273" s="1182" t="n"/>
      <c r="E273" s="1182" t="n"/>
      <c r="F273" s="1182" t="n"/>
      <c r="G273" s="1182" t="n"/>
      <c r="H273" s="1182" t="n"/>
      <c r="I273" s="1182" t="n"/>
      <c r="J273" s="1182" t="n"/>
      <c r="K273" s="1182" t="n"/>
      <c r="L273" s="1182" t="n"/>
      <c r="M273" s="1182" t="n"/>
      <c r="N273" s="1182" t="n"/>
      <c r="O273" s="1241" t="n"/>
      <c r="P273" s="1242" t="inlineStr">
        <is>
          <t>Итого</t>
        </is>
      </c>
      <c r="Q273" s="1201" t="n"/>
      <c r="R273" s="1201" t="n"/>
      <c r="S273" s="1201" t="n"/>
      <c r="T273" s="1201" t="n"/>
      <c r="U273" s="1201" t="n"/>
      <c r="V273" s="1202" t="n"/>
      <c r="W273" s="42" t="inlineStr">
        <is>
          <t>кг</t>
        </is>
      </c>
      <c r="X273" s="1243">
        <f>IFERROR(SUM(X263:X271),"0")</f>
        <v/>
      </c>
      <c r="Y273" s="1243">
        <f>IFERROR(SUM(Y263:Y271),"0")</f>
        <v/>
      </c>
      <c r="Z273" s="42" t="n"/>
      <c r="AA273" s="1244" t="n"/>
      <c r="AB273" s="1244" t="n"/>
      <c r="AC273" s="1244" t="n"/>
    </row>
    <row r="274" ht="16.5" customHeight="1">
      <c r="A274" s="830" t="inlineStr">
        <is>
          <t>Филедворская Золоченная в печи</t>
        </is>
      </c>
      <c r="B274" s="1182" t="n"/>
      <c r="C274" s="1182" t="n"/>
      <c r="D274" s="1182" t="n"/>
      <c r="E274" s="1182" t="n"/>
      <c r="F274" s="1182" t="n"/>
      <c r="G274" s="1182" t="n"/>
      <c r="H274" s="1182" t="n"/>
      <c r="I274" s="1182" t="n"/>
      <c r="J274" s="1182" t="n"/>
      <c r="K274" s="1182" t="n"/>
      <c r="L274" s="1182" t="n"/>
      <c r="M274" s="1182" t="n"/>
      <c r="N274" s="1182" t="n"/>
      <c r="O274" s="1182" t="n"/>
      <c r="P274" s="1182" t="n"/>
      <c r="Q274" s="1182" t="n"/>
      <c r="R274" s="1182" t="n"/>
      <c r="S274" s="1182" t="n"/>
      <c r="T274" s="1182" t="n"/>
      <c r="U274" s="1182" t="n"/>
      <c r="V274" s="1182" t="n"/>
      <c r="W274" s="1182" t="n"/>
      <c r="X274" s="1182" t="n"/>
      <c r="Y274" s="1182" t="n"/>
      <c r="Z274" s="1182" t="n"/>
      <c r="AA274" s="830" t="n"/>
      <c r="AB274" s="830" t="n"/>
      <c r="AC274" s="830" t="n"/>
    </row>
    <row r="275" ht="14.25" customHeight="1">
      <c r="A275" s="831" t="inlineStr">
        <is>
          <t>Вареные колбасы</t>
        </is>
      </c>
      <c r="B275" s="1182" t="n"/>
      <c r="C275" s="1182" t="n"/>
      <c r="D275" s="1182" t="n"/>
      <c r="E275" s="1182" t="n"/>
      <c r="F275" s="1182" t="n"/>
      <c r="G275" s="1182" t="n"/>
      <c r="H275" s="1182" t="n"/>
      <c r="I275" s="1182" t="n"/>
      <c r="J275" s="1182" t="n"/>
      <c r="K275" s="1182" t="n"/>
      <c r="L275" s="1182" t="n"/>
      <c r="M275" s="1182" t="n"/>
      <c r="N275" s="1182" t="n"/>
      <c r="O275" s="1182" t="n"/>
      <c r="P275" s="1182" t="n"/>
      <c r="Q275" s="1182" t="n"/>
      <c r="R275" s="1182" t="n"/>
      <c r="S275" s="1182" t="n"/>
      <c r="T275" s="1182" t="n"/>
      <c r="U275" s="1182" t="n"/>
      <c r="V275" s="1182" t="n"/>
      <c r="W275" s="1182" t="n"/>
      <c r="X275" s="1182" t="n"/>
      <c r="Y275" s="1182" t="n"/>
      <c r="Z275" s="1182" t="n"/>
      <c r="AA275" s="831" t="n"/>
      <c r="AB275" s="831" t="n"/>
      <c r="AC275" s="831" t="n"/>
    </row>
    <row r="276" ht="27" customHeight="1">
      <c r="A276" s="63" t="inlineStr">
        <is>
          <t>SU003427</t>
        </is>
      </c>
      <c r="B276" s="63" t="inlineStr">
        <is>
          <t>P004271</t>
        </is>
      </c>
      <c r="C276" s="36" t="n">
        <v>4301011876</v>
      </c>
      <c r="D276" s="832" t="n">
        <v>4680115885707</v>
      </c>
      <c r="E276" s="1193" t="n"/>
      <c r="F276" s="1232" t="n">
        <v>0.9</v>
      </c>
      <c r="G276" s="37" t="n">
        <v>10</v>
      </c>
      <c r="H276" s="1232" t="n">
        <v>9</v>
      </c>
      <c r="I276" s="1232" t="n">
        <v>9.435</v>
      </c>
      <c r="J276" s="37" t="n">
        <v>64</v>
      </c>
      <c r="K276" s="37" t="inlineStr">
        <is>
          <t>8</t>
        </is>
      </c>
      <c r="L276" s="37" t="inlineStr"/>
      <c r="M276" s="38" t="inlineStr">
        <is>
          <t>СК1</t>
        </is>
      </c>
      <c r="N276" s="38" t="n"/>
      <c r="O276" s="37" t="n">
        <v>31</v>
      </c>
      <c r="P276" s="1385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76" s="1234" t="n"/>
      <c r="R276" s="1234" t="n"/>
      <c r="S276" s="1234" t="n"/>
      <c r="T276" s="1235" t="n"/>
      <c r="U276" s="39" t="inlineStr"/>
      <c r="V276" s="39" t="inlineStr"/>
      <c r="W276" s="40" t="inlineStr">
        <is>
          <t>кг</t>
        </is>
      </c>
      <c r="X276" s="1236" t="n">
        <v>0</v>
      </c>
      <c r="Y276" s="1237">
        <f>IFERROR(IF(X276="",0,CEILING((X276/$H276),1)*$H276),"")</f>
        <v/>
      </c>
      <c r="Z276" s="41">
        <f>IFERROR(IF(Y276=0,"",ROUNDUP(Y276/H276,0)*0.01898),"")</f>
        <v/>
      </c>
      <c r="AA276" s="68" t="inlineStr"/>
      <c r="AB276" s="69" t="inlineStr"/>
      <c r="AC276" s="374" t="inlineStr">
        <is>
          <t>ЕАЭС N RU Д-RU.РА05.В.81953/23</t>
        </is>
      </c>
      <c r="AG276" s="78" t="n"/>
      <c r="AJ276" s="84" t="inlineStr"/>
      <c r="AK276" s="84" t="n">
        <v>0</v>
      </c>
      <c r="BB276" s="375" t="inlineStr">
        <is>
          <t>КИ</t>
        </is>
      </c>
      <c r="BM276" s="78">
        <f>IFERROR(X276*I276/H276,"0")</f>
        <v/>
      </c>
      <c r="BN276" s="78">
        <f>IFERROR(Y276*I276/H276,"0")</f>
        <v/>
      </c>
      <c r="BO276" s="78">
        <f>IFERROR(1/J276*(X276/H276),"0")</f>
        <v/>
      </c>
      <c r="BP276" s="78">
        <f>IFERROR(1/J276*(Y276/H276),"0")</f>
        <v/>
      </c>
    </row>
    <row r="277">
      <c r="A277" s="843" t="n"/>
      <c r="B277" s="1182" t="n"/>
      <c r="C277" s="1182" t="n"/>
      <c r="D277" s="1182" t="n"/>
      <c r="E277" s="1182" t="n"/>
      <c r="F277" s="1182" t="n"/>
      <c r="G277" s="1182" t="n"/>
      <c r="H277" s="1182" t="n"/>
      <c r="I277" s="1182" t="n"/>
      <c r="J277" s="1182" t="n"/>
      <c r="K277" s="1182" t="n"/>
      <c r="L277" s="1182" t="n"/>
      <c r="M277" s="1182" t="n"/>
      <c r="N277" s="1182" t="n"/>
      <c r="O277" s="1241" t="n"/>
      <c r="P277" s="1242" t="inlineStr">
        <is>
          <t>Итого</t>
        </is>
      </c>
      <c r="Q277" s="1201" t="n"/>
      <c r="R277" s="1201" t="n"/>
      <c r="S277" s="1201" t="n"/>
      <c r="T277" s="1201" t="n"/>
      <c r="U277" s="1201" t="n"/>
      <c r="V277" s="1202" t="n"/>
      <c r="W277" s="42" t="inlineStr">
        <is>
          <t>кор</t>
        </is>
      </c>
      <c r="X277" s="1243">
        <f>IFERROR(X276/H276,"0")</f>
        <v/>
      </c>
      <c r="Y277" s="1243">
        <f>IFERROR(Y276/H276,"0")</f>
        <v/>
      </c>
      <c r="Z277" s="1243">
        <f>IFERROR(IF(Z276="",0,Z276),"0")</f>
        <v/>
      </c>
      <c r="AA277" s="1244" t="n"/>
      <c r="AB277" s="1244" t="n"/>
      <c r="AC277" s="1244" t="n"/>
    </row>
    <row r="278">
      <c r="A278" s="1182" t="n"/>
      <c r="B278" s="1182" t="n"/>
      <c r="C278" s="1182" t="n"/>
      <c r="D278" s="1182" t="n"/>
      <c r="E278" s="1182" t="n"/>
      <c r="F278" s="1182" t="n"/>
      <c r="G278" s="1182" t="n"/>
      <c r="H278" s="1182" t="n"/>
      <c r="I278" s="1182" t="n"/>
      <c r="J278" s="1182" t="n"/>
      <c r="K278" s="1182" t="n"/>
      <c r="L278" s="1182" t="n"/>
      <c r="M278" s="1182" t="n"/>
      <c r="N278" s="1182" t="n"/>
      <c r="O278" s="1241" t="n"/>
      <c r="P278" s="1242" t="inlineStr">
        <is>
          <t>Итого</t>
        </is>
      </c>
      <c r="Q278" s="1201" t="n"/>
      <c r="R278" s="1201" t="n"/>
      <c r="S278" s="1201" t="n"/>
      <c r="T278" s="1201" t="n"/>
      <c r="U278" s="1201" t="n"/>
      <c r="V278" s="1202" t="n"/>
      <c r="W278" s="42" t="inlineStr">
        <is>
          <t>кг</t>
        </is>
      </c>
      <c r="X278" s="1243">
        <f>IFERROR(SUM(X276:X276),"0")</f>
        <v/>
      </c>
      <c r="Y278" s="1243">
        <f>IFERROR(SUM(Y276:Y276),"0")</f>
        <v/>
      </c>
      <c r="Z278" s="42" t="n"/>
      <c r="AA278" s="1244" t="n"/>
      <c r="AB278" s="1244" t="n"/>
      <c r="AC278" s="1244" t="n"/>
    </row>
    <row r="279" ht="16.5" customHeight="1">
      <c r="A279" s="830" t="inlineStr">
        <is>
          <t>Стародворская Золоченная в печи</t>
        </is>
      </c>
      <c r="B279" s="1182" t="n"/>
      <c r="C279" s="1182" t="n"/>
      <c r="D279" s="1182" t="n"/>
      <c r="E279" s="1182" t="n"/>
      <c r="F279" s="1182" t="n"/>
      <c r="G279" s="1182" t="n"/>
      <c r="H279" s="1182" t="n"/>
      <c r="I279" s="1182" t="n"/>
      <c r="J279" s="1182" t="n"/>
      <c r="K279" s="1182" t="n"/>
      <c r="L279" s="1182" t="n"/>
      <c r="M279" s="1182" t="n"/>
      <c r="N279" s="1182" t="n"/>
      <c r="O279" s="1182" t="n"/>
      <c r="P279" s="1182" t="n"/>
      <c r="Q279" s="1182" t="n"/>
      <c r="R279" s="1182" t="n"/>
      <c r="S279" s="1182" t="n"/>
      <c r="T279" s="1182" t="n"/>
      <c r="U279" s="1182" t="n"/>
      <c r="V279" s="1182" t="n"/>
      <c r="W279" s="1182" t="n"/>
      <c r="X279" s="1182" t="n"/>
      <c r="Y279" s="1182" t="n"/>
      <c r="Z279" s="1182" t="n"/>
      <c r="AA279" s="830" t="n"/>
      <c r="AB279" s="830" t="n"/>
      <c r="AC279" s="830" t="n"/>
    </row>
    <row r="280" ht="14.25" customHeight="1">
      <c r="A280" s="831" t="inlineStr">
        <is>
          <t>Вареные колбасы</t>
        </is>
      </c>
      <c r="B280" s="1182" t="n"/>
      <c r="C280" s="1182" t="n"/>
      <c r="D280" s="1182" t="n"/>
      <c r="E280" s="1182" t="n"/>
      <c r="F280" s="1182" t="n"/>
      <c r="G280" s="1182" t="n"/>
      <c r="H280" s="1182" t="n"/>
      <c r="I280" s="1182" t="n"/>
      <c r="J280" s="1182" t="n"/>
      <c r="K280" s="1182" t="n"/>
      <c r="L280" s="1182" t="n"/>
      <c r="M280" s="1182" t="n"/>
      <c r="N280" s="1182" t="n"/>
      <c r="O280" s="1182" t="n"/>
      <c r="P280" s="1182" t="n"/>
      <c r="Q280" s="1182" t="n"/>
      <c r="R280" s="1182" t="n"/>
      <c r="S280" s="1182" t="n"/>
      <c r="T280" s="1182" t="n"/>
      <c r="U280" s="1182" t="n"/>
      <c r="V280" s="1182" t="n"/>
      <c r="W280" s="1182" t="n"/>
      <c r="X280" s="1182" t="n"/>
      <c r="Y280" s="1182" t="n"/>
      <c r="Z280" s="1182" t="n"/>
      <c r="AA280" s="831" t="n"/>
      <c r="AB280" s="831" t="n"/>
      <c r="AC280" s="831" t="n"/>
    </row>
    <row r="281" ht="27" customHeight="1">
      <c r="A281" s="63" t="inlineStr">
        <is>
          <t>SU002201</t>
        </is>
      </c>
      <c r="B281" s="63" t="inlineStr">
        <is>
          <t>P002567</t>
        </is>
      </c>
      <c r="C281" s="36" t="n">
        <v>4301011223</v>
      </c>
      <c r="D281" s="832" t="n">
        <v>4607091383423</v>
      </c>
      <c r="E281" s="1193" t="n"/>
      <c r="F281" s="1232" t="n">
        <v>1.35</v>
      </c>
      <c r="G281" s="37" t="n">
        <v>8</v>
      </c>
      <c r="H281" s="1232" t="n">
        <v>10.8</v>
      </c>
      <c r="I281" s="1232" t="n">
        <v>11.331</v>
      </c>
      <c r="J281" s="37" t="n">
        <v>64</v>
      </c>
      <c r="K281" s="37" t="inlineStr">
        <is>
          <t>8</t>
        </is>
      </c>
      <c r="L281" s="37" t="inlineStr"/>
      <c r="M281" s="38" t="inlineStr">
        <is>
          <t>СК3</t>
        </is>
      </c>
      <c r="N281" s="38" t="n"/>
      <c r="O281" s="37" t="n">
        <v>35</v>
      </c>
      <c r="P281" s="1386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81" s="1234" t="n"/>
      <c r="R281" s="1234" t="n"/>
      <c r="S281" s="1234" t="n"/>
      <c r="T281" s="1235" t="n"/>
      <c r="U281" s="39" t="inlineStr"/>
      <c r="V281" s="39" t="inlineStr"/>
      <c r="W281" s="40" t="inlineStr">
        <is>
          <t>кг</t>
        </is>
      </c>
      <c r="X281" s="1236" t="n">
        <v>0</v>
      </c>
      <c r="Y281" s="1237">
        <f>IFERROR(IF(X281="",0,CEILING((X281/$H281),1)*$H281),"")</f>
        <v/>
      </c>
      <c r="Z281" s="41">
        <f>IFERROR(IF(Y281=0,"",ROUNDUP(Y281/H281,0)*0.01898),"")</f>
        <v/>
      </c>
      <c r="AA281" s="68" t="inlineStr"/>
      <c r="AB281" s="69" t="inlineStr"/>
      <c r="AC281" s="376" t="inlineStr">
        <is>
          <t>ЕАЭС N RU Д- RU.РА01.В.79635/20</t>
        </is>
      </c>
      <c r="AG281" s="78" t="n"/>
      <c r="AJ281" s="84" t="inlineStr"/>
      <c r="AK281" s="84" t="n">
        <v>0</v>
      </c>
      <c r="BB281" s="377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37.5" customHeight="1">
      <c r="A282" s="63" t="inlineStr">
        <is>
          <t>SU003430</t>
        </is>
      </c>
      <c r="B282" s="63" t="inlineStr">
        <is>
          <t>P004278</t>
        </is>
      </c>
      <c r="C282" s="36" t="n">
        <v>4301012099</v>
      </c>
      <c r="D282" s="832" t="n">
        <v>4680115885691</v>
      </c>
      <c r="E282" s="1193" t="n"/>
      <c r="F282" s="1232" t="n">
        <v>1.35</v>
      </c>
      <c r="G282" s="37" t="n">
        <v>8</v>
      </c>
      <c r="H282" s="1232" t="n">
        <v>10.8</v>
      </c>
      <c r="I282" s="1232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СК3</t>
        </is>
      </c>
      <c r="N282" s="38" t="n"/>
      <c r="O282" s="37" t="n">
        <v>30</v>
      </c>
      <c r="P282" s="1387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2" s="1234" t="n"/>
      <c r="R282" s="1234" t="n"/>
      <c r="S282" s="1234" t="n"/>
      <c r="T282" s="1235" t="n"/>
      <c r="U282" s="39" t="inlineStr"/>
      <c r="V282" s="39" t="inlineStr"/>
      <c r="W282" s="40" t="inlineStr">
        <is>
          <t>кг</t>
        </is>
      </c>
      <c r="X282" s="1236" t="n">
        <v>0</v>
      </c>
      <c r="Y282" s="1237">
        <f>IFERROR(IF(X282="",0,CEILING((X282/$H282),1)*$H282),"")</f>
        <v/>
      </c>
      <c r="Z282" s="41">
        <f>IFERROR(IF(Y282=0,"",ROUNDUP(Y282/H282,0)*0.01898),"")</f>
        <v/>
      </c>
      <c r="AA282" s="68" t="inlineStr"/>
      <c r="AB282" s="69" t="inlineStr"/>
      <c r="AC282" s="378" t="inlineStr">
        <is>
          <t>ЕАЭС N RU Д-RU.РА04.В.47219/24</t>
        </is>
      </c>
      <c r="AG282" s="78" t="n"/>
      <c r="AJ282" s="84" t="inlineStr"/>
      <c r="AK282" s="84" t="n">
        <v>0</v>
      </c>
      <c r="BB282" s="379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27" customHeight="1">
      <c r="A283" s="63" t="inlineStr">
        <is>
          <t>SU003429</t>
        </is>
      </c>
      <c r="B283" s="63" t="inlineStr">
        <is>
          <t>P004275</t>
        </is>
      </c>
      <c r="C283" s="36" t="n">
        <v>4301012098</v>
      </c>
      <c r="D283" s="832" t="n">
        <v>4680115885660</v>
      </c>
      <c r="E283" s="1193" t="n"/>
      <c r="F283" s="1232" t="n">
        <v>1.35</v>
      </c>
      <c r="G283" s="37" t="n">
        <v>8</v>
      </c>
      <c r="H283" s="1232" t="n">
        <v>10.8</v>
      </c>
      <c r="I283" s="1232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СК3</t>
        </is>
      </c>
      <c r="N283" s="38" t="n"/>
      <c r="O283" s="37" t="n">
        <v>35</v>
      </c>
      <c r="P283" s="1388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83" s="1234" t="n"/>
      <c r="R283" s="1234" t="n"/>
      <c r="S283" s="1234" t="n"/>
      <c r="T283" s="1235" t="n"/>
      <c r="U283" s="39" t="inlineStr"/>
      <c r="V283" s="39" t="inlineStr"/>
      <c r="W283" s="40" t="inlineStr">
        <is>
          <t>кг</t>
        </is>
      </c>
      <c r="X283" s="1236" t="n">
        <v>0</v>
      </c>
      <c r="Y283" s="1237">
        <f>IFERROR(IF(X283="",0,CEILING((X283/$H283),1)*$H283),"")</f>
        <v/>
      </c>
      <c r="Z283" s="41">
        <f>IFERROR(IF(Y283=0,"",ROUNDUP(Y283/H283,0)*0.01898),"")</f>
        <v/>
      </c>
      <c r="AA283" s="68" t="inlineStr"/>
      <c r="AB283" s="69" t="inlineStr"/>
      <c r="AC283" s="380" t="inlineStr">
        <is>
          <t>ЕАЭС N RU Д-RU.РА04.В.46905/24</t>
        </is>
      </c>
      <c r="AG283" s="78" t="n"/>
      <c r="AJ283" s="84" t="inlineStr"/>
      <c r="AK283" s="84" t="n">
        <v>0</v>
      </c>
      <c r="BB283" s="381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>
      <c r="A284" s="843" t="n"/>
      <c r="B284" s="1182" t="n"/>
      <c r="C284" s="1182" t="n"/>
      <c r="D284" s="1182" t="n"/>
      <c r="E284" s="1182" t="n"/>
      <c r="F284" s="1182" t="n"/>
      <c r="G284" s="1182" t="n"/>
      <c r="H284" s="1182" t="n"/>
      <c r="I284" s="1182" t="n"/>
      <c r="J284" s="1182" t="n"/>
      <c r="K284" s="1182" t="n"/>
      <c r="L284" s="1182" t="n"/>
      <c r="M284" s="1182" t="n"/>
      <c r="N284" s="1182" t="n"/>
      <c r="O284" s="1241" t="n"/>
      <c r="P284" s="1242" t="inlineStr">
        <is>
          <t>Итого</t>
        </is>
      </c>
      <c r="Q284" s="1201" t="n"/>
      <c r="R284" s="1201" t="n"/>
      <c r="S284" s="1201" t="n"/>
      <c r="T284" s="1201" t="n"/>
      <c r="U284" s="1201" t="n"/>
      <c r="V284" s="1202" t="n"/>
      <c r="W284" s="42" t="inlineStr">
        <is>
          <t>кор</t>
        </is>
      </c>
      <c r="X284" s="1243">
        <f>IFERROR(X281/H281,"0")+IFERROR(X282/H282,"0")+IFERROR(X283/H283,"0")</f>
        <v/>
      </c>
      <c r="Y284" s="1243">
        <f>IFERROR(Y281/H281,"0")+IFERROR(Y282/H282,"0")+IFERROR(Y283/H283,"0")</f>
        <v/>
      </c>
      <c r="Z284" s="1243">
        <f>IFERROR(IF(Z281="",0,Z281),"0")+IFERROR(IF(Z282="",0,Z282),"0")+IFERROR(IF(Z283="",0,Z283),"0")</f>
        <v/>
      </c>
      <c r="AA284" s="1244" t="n"/>
      <c r="AB284" s="1244" t="n"/>
      <c r="AC284" s="1244" t="n"/>
    </row>
    <row r="285">
      <c r="A285" s="1182" t="n"/>
      <c r="B285" s="1182" t="n"/>
      <c r="C285" s="1182" t="n"/>
      <c r="D285" s="1182" t="n"/>
      <c r="E285" s="1182" t="n"/>
      <c r="F285" s="1182" t="n"/>
      <c r="G285" s="1182" t="n"/>
      <c r="H285" s="1182" t="n"/>
      <c r="I285" s="1182" t="n"/>
      <c r="J285" s="1182" t="n"/>
      <c r="K285" s="1182" t="n"/>
      <c r="L285" s="1182" t="n"/>
      <c r="M285" s="1182" t="n"/>
      <c r="N285" s="1182" t="n"/>
      <c r="O285" s="1241" t="n"/>
      <c r="P285" s="1242" t="inlineStr">
        <is>
          <t>Итого</t>
        </is>
      </c>
      <c r="Q285" s="1201" t="n"/>
      <c r="R285" s="1201" t="n"/>
      <c r="S285" s="1201" t="n"/>
      <c r="T285" s="1201" t="n"/>
      <c r="U285" s="1201" t="n"/>
      <c r="V285" s="1202" t="n"/>
      <c r="W285" s="42" t="inlineStr">
        <is>
          <t>кг</t>
        </is>
      </c>
      <c r="X285" s="1243">
        <f>IFERROR(SUM(X281:X283),"0")</f>
        <v/>
      </c>
      <c r="Y285" s="1243">
        <f>IFERROR(SUM(Y281:Y283),"0")</f>
        <v/>
      </c>
      <c r="Z285" s="42" t="n"/>
      <c r="AA285" s="1244" t="n"/>
      <c r="AB285" s="1244" t="n"/>
      <c r="AC285" s="1244" t="n"/>
    </row>
    <row r="286" ht="16.5" customHeight="1">
      <c r="A286" s="830" t="inlineStr">
        <is>
          <t>Сочинка по-баварски</t>
        </is>
      </c>
      <c r="B286" s="1182" t="n"/>
      <c r="C286" s="1182" t="n"/>
      <c r="D286" s="1182" t="n"/>
      <c r="E286" s="1182" t="n"/>
      <c r="F286" s="1182" t="n"/>
      <c r="G286" s="1182" t="n"/>
      <c r="H286" s="1182" t="n"/>
      <c r="I286" s="1182" t="n"/>
      <c r="J286" s="1182" t="n"/>
      <c r="K286" s="1182" t="n"/>
      <c r="L286" s="1182" t="n"/>
      <c r="M286" s="1182" t="n"/>
      <c r="N286" s="1182" t="n"/>
      <c r="O286" s="1182" t="n"/>
      <c r="P286" s="1182" t="n"/>
      <c r="Q286" s="1182" t="n"/>
      <c r="R286" s="1182" t="n"/>
      <c r="S286" s="1182" t="n"/>
      <c r="T286" s="1182" t="n"/>
      <c r="U286" s="1182" t="n"/>
      <c r="V286" s="1182" t="n"/>
      <c r="W286" s="1182" t="n"/>
      <c r="X286" s="1182" t="n"/>
      <c r="Y286" s="1182" t="n"/>
      <c r="Z286" s="1182" t="n"/>
      <c r="AA286" s="830" t="n"/>
      <c r="AB286" s="830" t="n"/>
      <c r="AC286" s="830" t="n"/>
    </row>
    <row r="287" ht="14.25" customHeight="1">
      <c r="A287" s="831" t="inlineStr">
        <is>
          <t>Сосиски</t>
        </is>
      </c>
      <c r="B287" s="1182" t="n"/>
      <c r="C287" s="1182" t="n"/>
      <c r="D287" s="1182" t="n"/>
      <c r="E287" s="1182" t="n"/>
      <c r="F287" s="1182" t="n"/>
      <c r="G287" s="1182" t="n"/>
      <c r="H287" s="1182" t="n"/>
      <c r="I287" s="1182" t="n"/>
      <c r="J287" s="1182" t="n"/>
      <c r="K287" s="1182" t="n"/>
      <c r="L287" s="1182" t="n"/>
      <c r="M287" s="1182" t="n"/>
      <c r="N287" s="1182" t="n"/>
      <c r="O287" s="1182" t="n"/>
      <c r="P287" s="1182" t="n"/>
      <c r="Q287" s="1182" t="n"/>
      <c r="R287" s="1182" t="n"/>
      <c r="S287" s="1182" t="n"/>
      <c r="T287" s="1182" t="n"/>
      <c r="U287" s="1182" t="n"/>
      <c r="V287" s="1182" t="n"/>
      <c r="W287" s="1182" t="n"/>
      <c r="X287" s="1182" t="n"/>
      <c r="Y287" s="1182" t="n"/>
      <c r="Z287" s="1182" t="n"/>
      <c r="AA287" s="831" t="n"/>
      <c r="AB287" s="831" t="n"/>
      <c r="AC287" s="831" t="n"/>
    </row>
    <row r="288" ht="37.5" customHeight="1">
      <c r="A288" s="63" t="inlineStr">
        <is>
          <t>SU002857</t>
        </is>
      </c>
      <c r="B288" s="63" t="inlineStr">
        <is>
          <t>P003264</t>
        </is>
      </c>
      <c r="C288" s="36" t="n">
        <v>4301051409</v>
      </c>
      <c r="D288" s="832" t="n">
        <v>4680115881556</v>
      </c>
      <c r="E288" s="1193" t="n"/>
      <c r="F288" s="1232" t="n">
        <v>1</v>
      </c>
      <c r="G288" s="37" t="n">
        <v>4</v>
      </c>
      <c r="H288" s="1232" t="n">
        <v>4</v>
      </c>
      <c r="I288" s="1232" t="n">
        <v>4.408</v>
      </c>
      <c r="J288" s="37" t="n">
        <v>104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45</v>
      </c>
      <c r="P288" s="1389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288" s="1234" t="n"/>
      <c r="R288" s="1234" t="n"/>
      <c r="S288" s="1234" t="n"/>
      <c r="T288" s="1235" t="n"/>
      <c r="U288" s="39" t="inlineStr"/>
      <c r="V288" s="39" t="inlineStr"/>
      <c r="W288" s="40" t="inlineStr">
        <is>
          <t>кг</t>
        </is>
      </c>
      <c r="X288" s="1236" t="n">
        <v>0</v>
      </c>
      <c r="Y288" s="1237">
        <f>IFERROR(IF(X288="",0,CEILING((X288/$H288),1)*$H288),"")</f>
        <v/>
      </c>
      <c r="Z288" s="41">
        <f>IFERROR(IF(Y288=0,"",ROUNDUP(Y288/H288,0)*0.01196),"")</f>
        <v/>
      </c>
      <c r="AA288" s="68" t="inlineStr"/>
      <c r="AB288" s="69" t="inlineStr"/>
      <c r="AC288" s="382" t="inlineStr">
        <is>
          <t>ЕАЭС N RU Д-RU.РА02.В.41322/24, ЕАЭС N RU Д-RU.РА09.В.03891/22, ЕАЭС N RU Д-RU.РА09.В.03932/22</t>
        </is>
      </c>
      <c r="AG288" s="78" t="n"/>
      <c r="AJ288" s="84" t="inlineStr"/>
      <c r="AK288" s="84" t="n">
        <v>0</v>
      </c>
      <c r="BB288" s="383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37.5" customHeight="1">
      <c r="A289" s="63" t="inlineStr">
        <is>
          <t>SU002802</t>
        </is>
      </c>
      <c r="B289" s="63" t="inlineStr">
        <is>
          <t>P003580</t>
        </is>
      </c>
      <c r="C289" s="36" t="n">
        <v>4301051506</v>
      </c>
      <c r="D289" s="832" t="n">
        <v>4680115881037</v>
      </c>
      <c r="E289" s="1193" t="n"/>
      <c r="F289" s="1232" t="n">
        <v>0.84</v>
      </c>
      <c r="G289" s="37" t="n">
        <v>4</v>
      </c>
      <c r="H289" s="1232" t="n">
        <v>3.36</v>
      </c>
      <c r="I289" s="1232" t="n">
        <v>3.618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СК2</t>
        </is>
      </c>
      <c r="N289" s="38" t="n"/>
      <c r="O289" s="37" t="n">
        <v>40</v>
      </c>
      <c r="P289" s="1390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289" s="1234" t="n"/>
      <c r="R289" s="1234" t="n"/>
      <c r="S289" s="1234" t="n"/>
      <c r="T289" s="1235" t="n"/>
      <c r="U289" s="39" t="inlineStr"/>
      <c r="V289" s="39" t="inlineStr"/>
      <c r="W289" s="40" t="inlineStr">
        <is>
          <t>кг</t>
        </is>
      </c>
      <c r="X289" s="1236" t="n">
        <v>0</v>
      </c>
      <c r="Y289" s="1237">
        <f>IFERROR(IF(X289="",0,CEILING((X289/$H289),1)*$H289),"")</f>
        <v/>
      </c>
      <c r="Z289" s="41">
        <f>IFERROR(IF(Y289=0,"",ROUNDUP(Y289/H289,0)*0.00902),"")</f>
        <v/>
      </c>
      <c r="AA289" s="68" t="inlineStr"/>
      <c r="AB289" s="69" t="inlineStr"/>
      <c r="AC289" s="384" t="inlineStr">
        <is>
          <t>ЕАЭС N RU Д-RU.РА09.В.04339/22, ЕАЭС N RU Д-RU.РА09.В.99193/24</t>
        </is>
      </c>
      <c r="AG289" s="78" t="n"/>
      <c r="AJ289" s="84" t="inlineStr"/>
      <c r="AK289" s="84" t="n">
        <v>0</v>
      </c>
      <c r="BB289" s="38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37.5" customHeight="1">
      <c r="A290" s="63" t="inlineStr">
        <is>
          <t>SU003814</t>
        </is>
      </c>
      <c r="B290" s="63" t="inlineStr">
        <is>
          <t>P004838</t>
        </is>
      </c>
      <c r="C290" s="36" t="n">
        <v>4301051893</v>
      </c>
      <c r="D290" s="832" t="n">
        <v>4680115886186</v>
      </c>
      <c r="E290" s="1193" t="n"/>
      <c r="F290" s="1232" t="n">
        <v>0.3</v>
      </c>
      <c r="G290" s="37" t="n">
        <v>6</v>
      </c>
      <c r="H290" s="1232" t="n">
        <v>1.8</v>
      </c>
      <c r="I290" s="1232" t="n">
        <v>1.98</v>
      </c>
      <c r="J290" s="37" t="n">
        <v>182</v>
      </c>
      <c r="K290" s="37" t="inlineStr">
        <is>
          <t>14</t>
        </is>
      </c>
      <c r="L290" s="37" t="inlineStr"/>
      <c r="M290" s="38" t="inlineStr">
        <is>
          <t>СК3</t>
        </is>
      </c>
      <c r="N290" s="38" t="n"/>
      <c r="O290" s="37" t="n">
        <v>45</v>
      </c>
      <c r="P290" s="1391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90" s="1234" t="n"/>
      <c r="R290" s="1234" t="n"/>
      <c r="S290" s="1234" t="n"/>
      <c r="T290" s="1235" t="n"/>
      <c r="U290" s="39" t="inlineStr"/>
      <c r="V290" s="39" t="inlineStr"/>
      <c r="W290" s="40" t="inlineStr">
        <is>
          <t>кг</t>
        </is>
      </c>
      <c r="X290" s="1236" t="n">
        <v>0</v>
      </c>
      <c r="Y290" s="1237">
        <f>IFERROR(IF(X290="",0,CEILING((X290/$H290),1)*$H290),"")</f>
        <v/>
      </c>
      <c r="Z290" s="41">
        <f>IFERROR(IF(Y290=0,"",ROUNDUP(Y290/H290,0)*0.00651),"")</f>
        <v/>
      </c>
      <c r="AA290" s="68" t="inlineStr"/>
      <c r="AB290" s="69" t="inlineStr"/>
      <c r="AC290" s="386" t="inlineStr">
        <is>
          <t>ЕАЭС N RU Д-RU.РА02.В.41322/24, ЕАЭС N RU Д-RU.РА09.В.03891/22, ЕАЭС N RU Д-RU.РА09.В.03932/22</t>
        </is>
      </c>
      <c r="AG290" s="78" t="n"/>
      <c r="AJ290" s="84" t="inlineStr"/>
      <c r="AK290" s="84" t="n">
        <v>0</v>
      </c>
      <c r="BB290" s="387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 ht="27" customHeight="1">
      <c r="A291" s="63" t="inlineStr">
        <is>
          <t>SU002801</t>
        </is>
      </c>
      <c r="B291" s="63" t="inlineStr">
        <is>
          <t>P003475</t>
        </is>
      </c>
      <c r="C291" s="36" t="n">
        <v>4301051487</v>
      </c>
      <c r="D291" s="832" t="n">
        <v>4680115881228</v>
      </c>
      <c r="E291" s="1193" t="n"/>
      <c r="F291" s="1232" t="n">
        <v>0.4</v>
      </c>
      <c r="G291" s="37" t="n">
        <v>6</v>
      </c>
      <c r="H291" s="1232" t="n">
        <v>2.4</v>
      </c>
      <c r="I291" s="1232" t="n">
        <v>2.652</v>
      </c>
      <c r="J291" s="37" t="n">
        <v>182</v>
      </c>
      <c r="K291" s="37" t="inlineStr">
        <is>
          <t>14</t>
        </is>
      </c>
      <c r="L291" s="37" t="inlineStr"/>
      <c r="M291" s="38" t="inlineStr">
        <is>
          <t>СК2</t>
        </is>
      </c>
      <c r="N291" s="38" t="n"/>
      <c r="O291" s="37" t="n">
        <v>40</v>
      </c>
      <c r="P291" s="1392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91" s="1234" t="n"/>
      <c r="R291" s="1234" t="n"/>
      <c r="S291" s="1234" t="n"/>
      <c r="T291" s="1235" t="n"/>
      <c r="U291" s="39" t="inlineStr"/>
      <c r="V291" s="39" t="inlineStr"/>
      <c r="W291" s="40" t="inlineStr">
        <is>
          <t>кг</t>
        </is>
      </c>
      <c r="X291" s="1236" t="n">
        <v>80</v>
      </c>
      <c r="Y291" s="1237">
        <f>IFERROR(IF(X291="",0,CEILING((X291/$H291),1)*$H291),"")</f>
        <v/>
      </c>
      <c r="Z291" s="41">
        <f>IFERROR(IF(Y291=0,"",ROUNDUP(Y291/H291,0)*0.00651),"")</f>
        <v/>
      </c>
      <c r="AA291" s="68" t="inlineStr"/>
      <c r="AB291" s="69" t="inlineStr"/>
      <c r="AC291" s="388" t="inlineStr">
        <is>
          <t>ЕАЭС N RU Д-RU.РА09.В.04339/22, ЕАЭС N RU Д-RU.РА09.В.99193/24</t>
        </is>
      </c>
      <c r="AG291" s="78" t="n"/>
      <c r="AJ291" s="84" t="inlineStr"/>
      <c r="AK291" s="84" t="n">
        <v>0</v>
      </c>
      <c r="BB291" s="389" t="inlineStr">
        <is>
          <t>КИ</t>
        </is>
      </c>
      <c r="BM291" s="78">
        <f>IFERROR(X291*I291/H291,"0")</f>
        <v/>
      </c>
      <c r="BN291" s="78">
        <f>IFERROR(Y291*I291/H291,"0")</f>
        <v/>
      </c>
      <c r="BO291" s="78">
        <f>IFERROR(1/J291*(X291/H291),"0")</f>
        <v/>
      </c>
      <c r="BP291" s="78">
        <f>IFERROR(1/J291*(Y291/H291),"0")</f>
        <v/>
      </c>
    </row>
    <row r="292" ht="37.5" customHeight="1">
      <c r="A292" s="63" t="inlineStr">
        <is>
          <t>SU002799</t>
        </is>
      </c>
      <c r="B292" s="63" t="inlineStr">
        <is>
          <t>P003217</t>
        </is>
      </c>
      <c r="C292" s="36" t="n">
        <v>4301051384</v>
      </c>
      <c r="D292" s="832" t="n">
        <v>4680115881211</v>
      </c>
      <c r="E292" s="1193" t="n"/>
      <c r="F292" s="1232" t="n">
        <v>0.4</v>
      </c>
      <c r="G292" s="37" t="n">
        <v>6</v>
      </c>
      <c r="H292" s="1232" t="n">
        <v>2.4</v>
      </c>
      <c r="I292" s="1232" t="n">
        <v>2.58</v>
      </c>
      <c r="J292" s="37" t="n">
        <v>182</v>
      </c>
      <c r="K292" s="37" t="inlineStr">
        <is>
          <t>14</t>
        </is>
      </c>
      <c r="L292" s="37" t="inlineStr">
        <is>
          <t>Палетта, мин. 1</t>
        </is>
      </c>
      <c r="M292" s="38" t="inlineStr">
        <is>
          <t>СК2</t>
        </is>
      </c>
      <c r="N292" s="38" t="n"/>
      <c r="O292" s="37" t="n">
        <v>45</v>
      </c>
      <c r="P292" s="1393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92" s="1234" t="n"/>
      <c r="R292" s="1234" t="n"/>
      <c r="S292" s="1234" t="n"/>
      <c r="T292" s="1235" t="n"/>
      <c r="U292" s="39" t="inlineStr"/>
      <c r="V292" s="39" t="inlineStr"/>
      <c r="W292" s="40" t="inlineStr">
        <is>
          <t>кг</t>
        </is>
      </c>
      <c r="X292" s="1236" t="n">
        <v>120</v>
      </c>
      <c r="Y292" s="1237">
        <f>IFERROR(IF(X292="",0,CEILING((X292/$H292),1)*$H292),"")</f>
        <v/>
      </c>
      <c r="Z292" s="41">
        <f>IFERROR(IF(Y292=0,"",ROUNDUP(Y292/H292,0)*0.00651),"")</f>
        <v/>
      </c>
      <c r="AA292" s="68" t="inlineStr"/>
      <c r="AB292" s="69" t="inlineStr"/>
      <c r="AC292" s="390" t="inlineStr">
        <is>
          <t>ЕАЭС N RU Д-RU.РА02.В.41322/24, ЕАЭС N RU Д-RU.РА09.В.03891/22, ЕАЭС N RU Д-RU.РА09.В.03932/22</t>
        </is>
      </c>
      <c r="AG292" s="78" t="n"/>
      <c r="AJ292" s="84" t="inlineStr">
        <is>
          <t>Палетта</t>
        </is>
      </c>
      <c r="AK292" s="84" t="n">
        <v>436.8</v>
      </c>
      <c r="BB292" s="391" t="inlineStr">
        <is>
          <t>КИ</t>
        </is>
      </c>
      <c r="BM292" s="78">
        <f>IFERROR(X292*I292/H292,"0")</f>
        <v/>
      </c>
      <c r="BN292" s="78">
        <f>IFERROR(Y292*I292/H292,"0")</f>
        <v/>
      </c>
      <c r="BO292" s="78">
        <f>IFERROR(1/J292*(X292/H292),"0")</f>
        <v/>
      </c>
      <c r="BP292" s="78">
        <f>IFERROR(1/J292*(Y292/H292),"0")</f>
        <v/>
      </c>
    </row>
    <row r="293" ht="37.5" customHeight="1">
      <c r="A293" s="63" t="inlineStr">
        <is>
          <t>SU002800</t>
        </is>
      </c>
      <c r="B293" s="63" t="inlineStr">
        <is>
          <t>P003201</t>
        </is>
      </c>
      <c r="C293" s="36" t="n">
        <v>4301051378</v>
      </c>
      <c r="D293" s="832" t="n">
        <v>4680115881020</v>
      </c>
      <c r="E293" s="1193" t="n"/>
      <c r="F293" s="1232" t="n">
        <v>0.84</v>
      </c>
      <c r="G293" s="37" t="n">
        <v>4</v>
      </c>
      <c r="H293" s="1232" t="n">
        <v>3.36</v>
      </c>
      <c r="I293" s="1232" t="n">
        <v>3.57</v>
      </c>
      <c r="J293" s="37" t="n">
        <v>120</v>
      </c>
      <c r="K293" s="37" t="inlineStr">
        <is>
          <t>12</t>
        </is>
      </c>
      <c r="L293" s="37" t="inlineStr"/>
      <c r="M293" s="38" t="inlineStr">
        <is>
          <t>СК2</t>
        </is>
      </c>
      <c r="N293" s="38" t="n"/>
      <c r="O293" s="37" t="n">
        <v>45</v>
      </c>
      <c r="P293" s="1394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93" s="1234" t="n"/>
      <c r="R293" s="1234" t="n"/>
      <c r="S293" s="1234" t="n"/>
      <c r="T293" s="1235" t="n"/>
      <c r="U293" s="39" t="inlineStr"/>
      <c r="V293" s="39" t="inlineStr"/>
      <c r="W293" s="40" t="inlineStr">
        <is>
          <t>кг</t>
        </is>
      </c>
      <c r="X293" s="1236" t="n">
        <v>0</v>
      </c>
      <c r="Y293" s="1237">
        <f>IFERROR(IF(X293="",0,CEILING((X293/$H293),1)*$H293),"")</f>
        <v/>
      </c>
      <c r="Z293" s="41">
        <f>IFERROR(IF(Y293=0,"",ROUNDUP(Y293/H293,0)*0.00937),"")</f>
        <v/>
      </c>
      <c r="AA293" s="68" t="inlineStr"/>
      <c r="AB293" s="69" t="inlineStr"/>
      <c r="AC293" s="392" t="inlineStr">
        <is>
          <t>ЕАЭС N RU Д-RU.РА02.В.41322/24, ЕАЭС N RU Д-RU.РА09.В.03891/22, ЕАЭС N RU Д-RU.РА09.В.04339/22</t>
        </is>
      </c>
      <c r="AG293" s="78" t="n"/>
      <c r="AJ293" s="84" t="inlineStr"/>
      <c r="AK293" s="84" t="n">
        <v>0</v>
      </c>
      <c r="BB293" s="393" t="inlineStr">
        <is>
          <t>КИ</t>
        </is>
      </c>
      <c r="BM293" s="78">
        <f>IFERROR(X293*I293/H293,"0")</f>
        <v/>
      </c>
      <c r="BN293" s="78">
        <f>IFERROR(Y293*I293/H293,"0")</f>
        <v/>
      </c>
      <c r="BO293" s="78">
        <f>IFERROR(1/J293*(X293/H293),"0")</f>
        <v/>
      </c>
      <c r="BP293" s="78">
        <f>IFERROR(1/J293*(Y293/H293),"0")</f>
        <v/>
      </c>
    </row>
    <row r="294">
      <c r="A294" s="843" t="n"/>
      <c r="B294" s="1182" t="n"/>
      <c r="C294" s="1182" t="n"/>
      <c r="D294" s="1182" t="n"/>
      <c r="E294" s="1182" t="n"/>
      <c r="F294" s="1182" t="n"/>
      <c r="G294" s="1182" t="n"/>
      <c r="H294" s="1182" t="n"/>
      <c r="I294" s="1182" t="n"/>
      <c r="J294" s="1182" t="n"/>
      <c r="K294" s="1182" t="n"/>
      <c r="L294" s="1182" t="n"/>
      <c r="M294" s="1182" t="n"/>
      <c r="N294" s="1182" t="n"/>
      <c r="O294" s="1241" t="n"/>
      <c r="P294" s="1242" t="inlineStr">
        <is>
          <t>Итого</t>
        </is>
      </c>
      <c r="Q294" s="1201" t="n"/>
      <c r="R294" s="1201" t="n"/>
      <c r="S294" s="1201" t="n"/>
      <c r="T294" s="1201" t="n"/>
      <c r="U294" s="1201" t="n"/>
      <c r="V294" s="1202" t="n"/>
      <c r="W294" s="42" t="inlineStr">
        <is>
          <t>кор</t>
        </is>
      </c>
      <c r="X294" s="1243">
        <f>IFERROR(X288/H288,"0")+IFERROR(X289/H289,"0")+IFERROR(X290/H290,"0")+IFERROR(X291/H291,"0")+IFERROR(X292/H292,"0")+IFERROR(X293/H293,"0")</f>
        <v/>
      </c>
      <c r="Y294" s="1243">
        <f>IFERROR(Y288/H288,"0")+IFERROR(Y289/H289,"0")+IFERROR(Y290/H290,"0")+IFERROR(Y291/H291,"0")+IFERROR(Y292/H292,"0")+IFERROR(Y293/H293,"0")</f>
        <v/>
      </c>
      <c r="Z294" s="1243">
        <f>IFERROR(IF(Z288="",0,Z288),"0")+IFERROR(IF(Z289="",0,Z289),"0")+IFERROR(IF(Z290="",0,Z290),"0")+IFERROR(IF(Z291="",0,Z291),"0")+IFERROR(IF(Z292="",0,Z292),"0")+IFERROR(IF(Z293="",0,Z293),"0")</f>
        <v/>
      </c>
      <c r="AA294" s="1244" t="n"/>
      <c r="AB294" s="1244" t="n"/>
      <c r="AC294" s="1244" t="n"/>
    </row>
    <row r="295">
      <c r="A295" s="1182" t="n"/>
      <c r="B295" s="1182" t="n"/>
      <c r="C295" s="1182" t="n"/>
      <c r="D295" s="1182" t="n"/>
      <c r="E295" s="1182" t="n"/>
      <c r="F295" s="1182" t="n"/>
      <c r="G295" s="1182" t="n"/>
      <c r="H295" s="1182" t="n"/>
      <c r="I295" s="1182" t="n"/>
      <c r="J295" s="1182" t="n"/>
      <c r="K295" s="1182" t="n"/>
      <c r="L295" s="1182" t="n"/>
      <c r="M295" s="1182" t="n"/>
      <c r="N295" s="1182" t="n"/>
      <c r="O295" s="1241" t="n"/>
      <c r="P295" s="1242" t="inlineStr">
        <is>
          <t>Итого</t>
        </is>
      </c>
      <c r="Q295" s="1201" t="n"/>
      <c r="R295" s="1201" t="n"/>
      <c r="S295" s="1201" t="n"/>
      <c r="T295" s="1201" t="n"/>
      <c r="U295" s="1201" t="n"/>
      <c r="V295" s="1202" t="n"/>
      <c r="W295" s="42" t="inlineStr">
        <is>
          <t>кг</t>
        </is>
      </c>
      <c r="X295" s="1243">
        <f>IFERROR(SUM(X288:X293),"0")</f>
        <v/>
      </c>
      <c r="Y295" s="1243">
        <f>IFERROR(SUM(Y288:Y293),"0")</f>
        <v/>
      </c>
      <c r="Z295" s="42" t="n"/>
      <c r="AA295" s="1244" t="n"/>
      <c r="AB295" s="1244" t="n"/>
      <c r="AC295" s="1244" t="n"/>
    </row>
    <row r="296" ht="16.5" customHeight="1">
      <c r="A296" s="830" t="inlineStr">
        <is>
          <t>Стародворская EDLP/EDPP</t>
        </is>
      </c>
      <c r="B296" s="1182" t="n"/>
      <c r="C296" s="1182" t="n"/>
      <c r="D296" s="1182" t="n"/>
      <c r="E296" s="1182" t="n"/>
      <c r="F296" s="1182" t="n"/>
      <c r="G296" s="1182" t="n"/>
      <c r="H296" s="1182" t="n"/>
      <c r="I296" s="1182" t="n"/>
      <c r="J296" s="1182" t="n"/>
      <c r="K296" s="1182" t="n"/>
      <c r="L296" s="1182" t="n"/>
      <c r="M296" s="1182" t="n"/>
      <c r="N296" s="1182" t="n"/>
      <c r="O296" s="1182" t="n"/>
      <c r="P296" s="1182" t="n"/>
      <c r="Q296" s="1182" t="n"/>
      <c r="R296" s="1182" t="n"/>
      <c r="S296" s="1182" t="n"/>
      <c r="T296" s="1182" t="n"/>
      <c r="U296" s="1182" t="n"/>
      <c r="V296" s="1182" t="n"/>
      <c r="W296" s="1182" t="n"/>
      <c r="X296" s="1182" t="n"/>
      <c r="Y296" s="1182" t="n"/>
      <c r="Z296" s="1182" t="n"/>
      <c r="AA296" s="830" t="n"/>
      <c r="AB296" s="830" t="n"/>
      <c r="AC296" s="830" t="n"/>
    </row>
    <row r="297" ht="14.25" customHeight="1">
      <c r="A297" s="831" t="inlineStr">
        <is>
          <t>Вареные колбасы</t>
        </is>
      </c>
      <c r="B297" s="1182" t="n"/>
      <c r="C297" s="1182" t="n"/>
      <c r="D297" s="1182" t="n"/>
      <c r="E297" s="1182" t="n"/>
      <c r="F297" s="1182" t="n"/>
      <c r="G297" s="1182" t="n"/>
      <c r="H297" s="1182" t="n"/>
      <c r="I297" s="1182" t="n"/>
      <c r="J297" s="1182" t="n"/>
      <c r="K297" s="1182" t="n"/>
      <c r="L297" s="1182" t="n"/>
      <c r="M297" s="1182" t="n"/>
      <c r="N297" s="1182" t="n"/>
      <c r="O297" s="1182" t="n"/>
      <c r="P297" s="1182" t="n"/>
      <c r="Q297" s="1182" t="n"/>
      <c r="R297" s="1182" t="n"/>
      <c r="S297" s="1182" t="n"/>
      <c r="T297" s="1182" t="n"/>
      <c r="U297" s="1182" t="n"/>
      <c r="V297" s="1182" t="n"/>
      <c r="W297" s="1182" t="n"/>
      <c r="X297" s="1182" t="n"/>
      <c r="Y297" s="1182" t="n"/>
      <c r="Z297" s="1182" t="n"/>
      <c r="AA297" s="831" t="n"/>
      <c r="AB297" s="831" t="n"/>
      <c r="AC297" s="831" t="n"/>
    </row>
    <row r="298" ht="27" customHeight="1">
      <c r="A298" s="63" t="inlineStr">
        <is>
          <t>SU002528</t>
        </is>
      </c>
      <c r="B298" s="63" t="inlineStr">
        <is>
          <t>P002839</t>
        </is>
      </c>
      <c r="C298" s="36" t="n">
        <v>4301011306</v>
      </c>
      <c r="D298" s="832" t="n">
        <v>4607091389296</v>
      </c>
      <c r="E298" s="1193" t="n"/>
      <c r="F298" s="1232" t="n">
        <v>0.4</v>
      </c>
      <c r="G298" s="37" t="n">
        <v>10</v>
      </c>
      <c r="H298" s="1232" t="n">
        <v>4</v>
      </c>
      <c r="I298" s="1232" t="n">
        <v>4.21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СК3</t>
        </is>
      </c>
      <c r="N298" s="38" t="n"/>
      <c r="O298" s="37" t="n">
        <v>45</v>
      </c>
      <c r="P298" s="1395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298" s="1234" t="n"/>
      <c r="R298" s="1234" t="n"/>
      <c r="S298" s="1234" t="n"/>
      <c r="T298" s="1235" t="n"/>
      <c r="U298" s="39" t="inlineStr"/>
      <c r="V298" s="39" t="inlineStr"/>
      <c r="W298" s="40" t="inlineStr">
        <is>
          <t>кг</t>
        </is>
      </c>
      <c r="X298" s="1236" t="n">
        <v>0</v>
      </c>
      <c r="Y298" s="1237">
        <f>IFERROR(IF(X298="",0,CEILING((X298/$H298),1)*$H298),"")</f>
        <v/>
      </c>
      <c r="Z298" s="41">
        <f>IFERROR(IF(Y298=0,"",ROUNDUP(Y298/H298,0)*0.00902),"")</f>
        <v/>
      </c>
      <c r="AA298" s="68" t="inlineStr"/>
      <c r="AB298" s="69" t="inlineStr"/>
      <c r="AC298" s="394" t="inlineStr">
        <is>
          <t>ЕАЭС N RU Д-RU.РА01.В.85206/22</t>
        </is>
      </c>
      <c r="AG298" s="78" t="n"/>
      <c r="AJ298" s="84" t="inlineStr"/>
      <c r="AK298" s="84" t="n">
        <v>0</v>
      </c>
      <c r="BB298" s="395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>
      <c r="A299" s="843" t="n"/>
      <c r="B299" s="1182" t="n"/>
      <c r="C299" s="1182" t="n"/>
      <c r="D299" s="1182" t="n"/>
      <c r="E299" s="1182" t="n"/>
      <c r="F299" s="1182" t="n"/>
      <c r="G299" s="1182" t="n"/>
      <c r="H299" s="1182" t="n"/>
      <c r="I299" s="1182" t="n"/>
      <c r="J299" s="1182" t="n"/>
      <c r="K299" s="1182" t="n"/>
      <c r="L299" s="1182" t="n"/>
      <c r="M299" s="1182" t="n"/>
      <c r="N299" s="1182" t="n"/>
      <c r="O299" s="1241" t="n"/>
      <c r="P299" s="1242" t="inlineStr">
        <is>
          <t>Итого</t>
        </is>
      </c>
      <c r="Q299" s="1201" t="n"/>
      <c r="R299" s="1201" t="n"/>
      <c r="S299" s="1201" t="n"/>
      <c r="T299" s="1201" t="n"/>
      <c r="U299" s="1201" t="n"/>
      <c r="V299" s="1202" t="n"/>
      <c r="W299" s="42" t="inlineStr">
        <is>
          <t>кор</t>
        </is>
      </c>
      <c r="X299" s="1243">
        <f>IFERROR(X298/H298,"0")</f>
        <v/>
      </c>
      <c r="Y299" s="1243">
        <f>IFERROR(Y298/H298,"0")</f>
        <v/>
      </c>
      <c r="Z299" s="1243">
        <f>IFERROR(IF(Z298="",0,Z298),"0")</f>
        <v/>
      </c>
      <c r="AA299" s="1244" t="n"/>
      <c r="AB299" s="1244" t="n"/>
      <c r="AC299" s="1244" t="n"/>
    </row>
    <row r="300">
      <c r="A300" s="1182" t="n"/>
      <c r="B300" s="1182" t="n"/>
      <c r="C300" s="1182" t="n"/>
      <c r="D300" s="1182" t="n"/>
      <c r="E300" s="1182" t="n"/>
      <c r="F300" s="1182" t="n"/>
      <c r="G300" s="1182" t="n"/>
      <c r="H300" s="1182" t="n"/>
      <c r="I300" s="1182" t="n"/>
      <c r="J300" s="1182" t="n"/>
      <c r="K300" s="1182" t="n"/>
      <c r="L300" s="1182" t="n"/>
      <c r="M300" s="1182" t="n"/>
      <c r="N300" s="1182" t="n"/>
      <c r="O300" s="1241" t="n"/>
      <c r="P300" s="1242" t="inlineStr">
        <is>
          <t>Итого</t>
        </is>
      </c>
      <c r="Q300" s="1201" t="n"/>
      <c r="R300" s="1201" t="n"/>
      <c r="S300" s="1201" t="n"/>
      <c r="T300" s="1201" t="n"/>
      <c r="U300" s="1201" t="n"/>
      <c r="V300" s="1202" t="n"/>
      <c r="W300" s="42" t="inlineStr">
        <is>
          <t>кг</t>
        </is>
      </c>
      <c r="X300" s="1243">
        <f>IFERROR(SUM(X298:X298),"0")</f>
        <v/>
      </c>
      <c r="Y300" s="1243">
        <f>IFERROR(SUM(Y298:Y298),"0")</f>
        <v/>
      </c>
      <c r="Z300" s="42" t="n"/>
      <c r="AA300" s="1244" t="n"/>
      <c r="AB300" s="1244" t="n"/>
      <c r="AC300" s="1244" t="n"/>
    </row>
    <row r="301" ht="14.25" customHeight="1">
      <c r="A301" s="831" t="inlineStr">
        <is>
          <t>Копченые колбасы</t>
        </is>
      </c>
      <c r="B301" s="1182" t="n"/>
      <c r="C301" s="1182" t="n"/>
      <c r="D301" s="1182" t="n"/>
      <c r="E301" s="1182" t="n"/>
      <c r="F301" s="1182" t="n"/>
      <c r="G301" s="1182" t="n"/>
      <c r="H301" s="1182" t="n"/>
      <c r="I301" s="1182" t="n"/>
      <c r="J301" s="1182" t="n"/>
      <c r="K301" s="1182" t="n"/>
      <c r="L301" s="1182" t="n"/>
      <c r="M301" s="1182" t="n"/>
      <c r="N301" s="1182" t="n"/>
      <c r="O301" s="1182" t="n"/>
      <c r="P301" s="1182" t="n"/>
      <c r="Q301" s="1182" t="n"/>
      <c r="R301" s="1182" t="n"/>
      <c r="S301" s="1182" t="n"/>
      <c r="T301" s="1182" t="n"/>
      <c r="U301" s="1182" t="n"/>
      <c r="V301" s="1182" t="n"/>
      <c r="W301" s="1182" t="n"/>
      <c r="X301" s="1182" t="n"/>
      <c r="Y301" s="1182" t="n"/>
      <c r="Z301" s="1182" t="n"/>
      <c r="AA301" s="831" t="n"/>
      <c r="AB301" s="831" t="n"/>
      <c r="AC301" s="831" t="n"/>
    </row>
    <row r="302" ht="27" customHeight="1">
      <c r="A302" s="63" t="inlineStr">
        <is>
          <t>SU002698</t>
        </is>
      </c>
      <c r="B302" s="63" t="inlineStr">
        <is>
          <t>P004231</t>
        </is>
      </c>
      <c r="C302" s="36" t="n">
        <v>4301031307</v>
      </c>
      <c r="D302" s="832" t="n">
        <v>4680115880344</v>
      </c>
      <c r="E302" s="1193" t="n"/>
      <c r="F302" s="1232" t="n">
        <v>0.28</v>
      </c>
      <c r="G302" s="37" t="n">
        <v>6</v>
      </c>
      <c r="H302" s="1232" t="n">
        <v>1.68</v>
      </c>
      <c r="I302" s="1232" t="n">
        <v>1.78</v>
      </c>
      <c r="J302" s="37" t="n">
        <v>234</v>
      </c>
      <c r="K302" s="37" t="inlineStr">
        <is>
          <t>18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396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302" s="1234" t="n"/>
      <c r="R302" s="1234" t="n"/>
      <c r="S302" s="1234" t="n"/>
      <c r="T302" s="1235" t="n"/>
      <c r="U302" s="39" t="inlineStr"/>
      <c r="V302" s="39" t="inlineStr"/>
      <c r="W302" s="40" t="inlineStr">
        <is>
          <t>кг</t>
        </is>
      </c>
      <c r="X302" s="1236" t="n">
        <v>0</v>
      </c>
      <c r="Y302" s="1237">
        <f>IFERROR(IF(X302="",0,CEILING((X302/$H302),1)*$H302),"")</f>
        <v/>
      </c>
      <c r="Z302" s="41">
        <f>IFERROR(IF(Y302=0,"",ROUNDUP(Y302/H302,0)*0.00502),"")</f>
        <v/>
      </c>
      <c r="AA302" s="68" t="inlineStr"/>
      <c r="AB302" s="69" t="inlineStr"/>
      <c r="AC302" s="396" t="inlineStr">
        <is>
          <t>ЕАЭС N RU Д-RU.РА01.В.54558/24</t>
        </is>
      </c>
      <c r="AG302" s="78" t="n"/>
      <c r="AJ302" s="84" t="inlineStr"/>
      <c r="AK302" s="84" t="n">
        <v>0</v>
      </c>
      <c r="BB302" s="397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>
      <c r="A303" s="843" t="n"/>
      <c r="B303" s="1182" t="n"/>
      <c r="C303" s="1182" t="n"/>
      <c r="D303" s="1182" t="n"/>
      <c r="E303" s="1182" t="n"/>
      <c r="F303" s="1182" t="n"/>
      <c r="G303" s="1182" t="n"/>
      <c r="H303" s="1182" t="n"/>
      <c r="I303" s="1182" t="n"/>
      <c r="J303" s="1182" t="n"/>
      <c r="K303" s="1182" t="n"/>
      <c r="L303" s="1182" t="n"/>
      <c r="M303" s="1182" t="n"/>
      <c r="N303" s="1182" t="n"/>
      <c r="O303" s="1241" t="n"/>
      <c r="P303" s="1242" t="inlineStr">
        <is>
          <t>Итого</t>
        </is>
      </c>
      <c r="Q303" s="1201" t="n"/>
      <c r="R303" s="1201" t="n"/>
      <c r="S303" s="1201" t="n"/>
      <c r="T303" s="1201" t="n"/>
      <c r="U303" s="1201" t="n"/>
      <c r="V303" s="1202" t="n"/>
      <c r="W303" s="42" t="inlineStr">
        <is>
          <t>кор</t>
        </is>
      </c>
      <c r="X303" s="1243">
        <f>IFERROR(X302/H302,"0")</f>
        <v/>
      </c>
      <c r="Y303" s="1243">
        <f>IFERROR(Y302/H302,"0")</f>
        <v/>
      </c>
      <c r="Z303" s="1243">
        <f>IFERROR(IF(Z302="",0,Z302),"0")</f>
        <v/>
      </c>
      <c r="AA303" s="1244" t="n"/>
      <c r="AB303" s="1244" t="n"/>
      <c r="AC303" s="1244" t="n"/>
    </row>
    <row r="304">
      <c r="A304" s="1182" t="n"/>
      <c r="B304" s="1182" t="n"/>
      <c r="C304" s="1182" t="n"/>
      <c r="D304" s="1182" t="n"/>
      <c r="E304" s="1182" t="n"/>
      <c r="F304" s="1182" t="n"/>
      <c r="G304" s="1182" t="n"/>
      <c r="H304" s="1182" t="n"/>
      <c r="I304" s="1182" t="n"/>
      <c r="J304" s="1182" t="n"/>
      <c r="K304" s="1182" t="n"/>
      <c r="L304" s="1182" t="n"/>
      <c r="M304" s="1182" t="n"/>
      <c r="N304" s="1182" t="n"/>
      <c r="O304" s="1241" t="n"/>
      <c r="P304" s="1242" t="inlineStr">
        <is>
          <t>Итого</t>
        </is>
      </c>
      <c r="Q304" s="1201" t="n"/>
      <c r="R304" s="1201" t="n"/>
      <c r="S304" s="1201" t="n"/>
      <c r="T304" s="1201" t="n"/>
      <c r="U304" s="1201" t="n"/>
      <c r="V304" s="1202" t="n"/>
      <c r="W304" s="42" t="inlineStr">
        <is>
          <t>кг</t>
        </is>
      </c>
      <c r="X304" s="1243">
        <f>IFERROR(SUM(X302:X302),"0")</f>
        <v/>
      </c>
      <c r="Y304" s="1243">
        <f>IFERROR(SUM(Y302:Y302),"0")</f>
        <v/>
      </c>
      <c r="Z304" s="42" t="n"/>
      <c r="AA304" s="1244" t="n"/>
      <c r="AB304" s="1244" t="n"/>
      <c r="AC304" s="1244" t="n"/>
    </row>
    <row r="305" ht="14.25" customHeight="1">
      <c r="A305" s="831" t="inlineStr">
        <is>
          <t>Сосиски</t>
        </is>
      </c>
      <c r="B305" s="1182" t="n"/>
      <c r="C305" s="1182" t="n"/>
      <c r="D305" s="1182" t="n"/>
      <c r="E305" s="1182" t="n"/>
      <c r="F305" s="1182" t="n"/>
      <c r="G305" s="1182" t="n"/>
      <c r="H305" s="1182" t="n"/>
      <c r="I305" s="1182" t="n"/>
      <c r="J305" s="1182" t="n"/>
      <c r="K305" s="1182" t="n"/>
      <c r="L305" s="1182" t="n"/>
      <c r="M305" s="1182" t="n"/>
      <c r="N305" s="1182" t="n"/>
      <c r="O305" s="1182" t="n"/>
      <c r="P305" s="1182" t="n"/>
      <c r="Q305" s="1182" t="n"/>
      <c r="R305" s="1182" t="n"/>
      <c r="S305" s="1182" t="n"/>
      <c r="T305" s="1182" t="n"/>
      <c r="U305" s="1182" t="n"/>
      <c r="V305" s="1182" t="n"/>
      <c r="W305" s="1182" t="n"/>
      <c r="X305" s="1182" t="n"/>
      <c r="Y305" s="1182" t="n"/>
      <c r="Z305" s="1182" t="n"/>
      <c r="AA305" s="831" t="n"/>
      <c r="AB305" s="831" t="n"/>
      <c r="AC305" s="831" t="n"/>
    </row>
    <row r="306" ht="27" customHeight="1">
      <c r="A306" s="63" t="inlineStr">
        <is>
          <t>SU003076</t>
        </is>
      </c>
      <c r="B306" s="63" t="inlineStr">
        <is>
          <t>P002965</t>
        </is>
      </c>
      <c r="C306" s="36" t="n">
        <v>4301051524</v>
      </c>
      <c r="D306" s="832" t="n">
        <v>4680115883062</v>
      </c>
      <c r="E306" s="1193" t="n"/>
      <c r="F306" s="1232" t="n">
        <v>0.4</v>
      </c>
      <c r="G306" s="37" t="n">
        <v>6</v>
      </c>
      <c r="H306" s="1232" t="n">
        <v>2.4</v>
      </c>
      <c r="I306" s="1232" t="n">
        <v>2.652</v>
      </c>
      <c r="J306" s="37" t="n">
        <v>182</v>
      </c>
      <c r="K306" s="37" t="inlineStr">
        <is>
          <t>14</t>
        </is>
      </c>
      <c r="L306" s="37" t="inlineStr"/>
      <c r="M306" s="38" t="inlineStr">
        <is>
          <t>СК4</t>
        </is>
      </c>
      <c r="N306" s="38" t="n"/>
      <c r="O306" s="37" t="n">
        <v>45</v>
      </c>
      <c r="P306" s="1397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/>
      </c>
      <c r="Q306" s="1234" t="n"/>
      <c r="R306" s="1234" t="n"/>
      <c r="S306" s="1234" t="n"/>
      <c r="T306" s="1235" t="n"/>
      <c r="U306" s="39" t="inlineStr"/>
      <c r="V306" s="39" t="inlineStr"/>
      <c r="W306" s="40" t="inlineStr">
        <is>
          <t>кг</t>
        </is>
      </c>
      <c r="X306" s="1236" t="n">
        <v>0</v>
      </c>
      <c r="Y306" s="1237">
        <f>IFERROR(IF(X306="",0,CEILING((X306/$H306),1)*$H306),"")</f>
        <v/>
      </c>
      <c r="Z306" s="41">
        <f>IFERROR(IF(Y306=0,"",ROUNDUP(Y306/H306,0)*0.00651),"")</f>
        <v/>
      </c>
      <c r="AA306" s="68" t="inlineStr"/>
      <c r="AB306" s="69" t="inlineStr"/>
      <c r="AC306" s="398" t="inlineStr">
        <is>
          <t>ЕАЭС N RU Д-RU.РА05.В.42328/23</t>
        </is>
      </c>
      <c r="AG306" s="78" t="n"/>
      <c r="AJ306" s="84" t="inlineStr"/>
      <c r="AK306" s="84" t="n">
        <v>0</v>
      </c>
      <c r="BB306" s="399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SU003340</t>
        </is>
      </c>
      <c r="B307" s="63" t="inlineStr">
        <is>
          <t>P004090</t>
        </is>
      </c>
      <c r="C307" s="36" t="n">
        <v>4301051731</v>
      </c>
      <c r="D307" s="832" t="n">
        <v>4680115884618</v>
      </c>
      <c r="E307" s="1193" t="n"/>
      <c r="F307" s="1232" t="n">
        <v>0.6</v>
      </c>
      <c r="G307" s="37" t="n">
        <v>6</v>
      </c>
      <c r="H307" s="1232" t="n">
        <v>3.6</v>
      </c>
      <c r="I307" s="1232" t="n">
        <v>3.81</v>
      </c>
      <c r="J307" s="37" t="n">
        <v>132</v>
      </c>
      <c r="K307" s="37" t="inlineStr">
        <is>
          <t>12</t>
        </is>
      </c>
      <c r="L307" s="37" t="inlineStr"/>
      <c r="M307" s="38" t="inlineStr">
        <is>
          <t>СК2</t>
        </is>
      </c>
      <c r="N307" s="38" t="n"/>
      <c r="O307" s="37" t="n">
        <v>45</v>
      </c>
      <c r="P307" s="139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07" s="1234" t="n"/>
      <c r="R307" s="1234" t="n"/>
      <c r="S307" s="1234" t="n"/>
      <c r="T307" s="1235" t="n"/>
      <c r="U307" s="39" t="inlineStr"/>
      <c r="V307" s="39" t="inlineStr"/>
      <c r="W307" s="40" t="inlineStr">
        <is>
          <t>кг</t>
        </is>
      </c>
      <c r="X307" s="1236" t="n">
        <v>0</v>
      </c>
      <c r="Y307" s="1237">
        <f>IFERROR(IF(X307="",0,CEILING((X307/$H307),1)*$H307),"")</f>
        <v/>
      </c>
      <c r="Z307" s="41">
        <f>IFERROR(IF(Y307=0,"",ROUNDUP(Y307/H307,0)*0.00902),"")</f>
        <v/>
      </c>
      <c r="AA307" s="68" t="inlineStr"/>
      <c r="AB307" s="69" t="inlineStr"/>
      <c r="AC307" s="400" t="inlineStr">
        <is>
          <t>ЕАЭС N RU Д-RU.РА09.В.08947/23, ЕАЭС N RU Д-RU.РА09.В.09344/23, ЕАЭС N RU Д-RU.РА09.В.09542/23</t>
        </is>
      </c>
      <c r="AG307" s="78" t="n"/>
      <c r="AJ307" s="84" t="inlineStr"/>
      <c r="AK307" s="84" t="n">
        <v>0</v>
      </c>
      <c r="BB307" s="401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>
      <c r="A308" s="843" t="n"/>
      <c r="B308" s="1182" t="n"/>
      <c r="C308" s="1182" t="n"/>
      <c r="D308" s="1182" t="n"/>
      <c r="E308" s="1182" t="n"/>
      <c r="F308" s="1182" t="n"/>
      <c r="G308" s="1182" t="n"/>
      <c r="H308" s="1182" t="n"/>
      <c r="I308" s="1182" t="n"/>
      <c r="J308" s="1182" t="n"/>
      <c r="K308" s="1182" t="n"/>
      <c r="L308" s="1182" t="n"/>
      <c r="M308" s="1182" t="n"/>
      <c r="N308" s="1182" t="n"/>
      <c r="O308" s="1241" t="n"/>
      <c r="P308" s="1242" t="inlineStr">
        <is>
          <t>Итого</t>
        </is>
      </c>
      <c r="Q308" s="1201" t="n"/>
      <c r="R308" s="1201" t="n"/>
      <c r="S308" s="1201" t="n"/>
      <c r="T308" s="1201" t="n"/>
      <c r="U308" s="1201" t="n"/>
      <c r="V308" s="1202" t="n"/>
      <c r="W308" s="42" t="inlineStr">
        <is>
          <t>кор</t>
        </is>
      </c>
      <c r="X308" s="1243">
        <f>IFERROR(X306/H306,"0")+IFERROR(X307/H307,"0")</f>
        <v/>
      </c>
      <c r="Y308" s="1243">
        <f>IFERROR(Y306/H306,"0")+IFERROR(Y307/H307,"0")</f>
        <v/>
      </c>
      <c r="Z308" s="1243">
        <f>IFERROR(IF(Z306="",0,Z306),"0")+IFERROR(IF(Z307="",0,Z307),"0")</f>
        <v/>
      </c>
      <c r="AA308" s="1244" t="n"/>
      <c r="AB308" s="1244" t="n"/>
      <c r="AC308" s="1244" t="n"/>
    </row>
    <row r="309">
      <c r="A309" s="1182" t="n"/>
      <c r="B309" s="1182" t="n"/>
      <c r="C309" s="1182" t="n"/>
      <c r="D309" s="1182" t="n"/>
      <c r="E309" s="1182" t="n"/>
      <c r="F309" s="1182" t="n"/>
      <c r="G309" s="1182" t="n"/>
      <c r="H309" s="1182" t="n"/>
      <c r="I309" s="1182" t="n"/>
      <c r="J309" s="1182" t="n"/>
      <c r="K309" s="1182" t="n"/>
      <c r="L309" s="1182" t="n"/>
      <c r="M309" s="1182" t="n"/>
      <c r="N309" s="1182" t="n"/>
      <c r="O309" s="1241" t="n"/>
      <c r="P309" s="1242" t="inlineStr">
        <is>
          <t>Итого</t>
        </is>
      </c>
      <c r="Q309" s="1201" t="n"/>
      <c r="R309" s="1201" t="n"/>
      <c r="S309" s="1201" t="n"/>
      <c r="T309" s="1201" t="n"/>
      <c r="U309" s="1201" t="n"/>
      <c r="V309" s="1202" t="n"/>
      <c r="W309" s="42" t="inlineStr">
        <is>
          <t>кг</t>
        </is>
      </c>
      <c r="X309" s="1243">
        <f>IFERROR(SUM(X306:X307),"0")</f>
        <v/>
      </c>
      <c r="Y309" s="1243">
        <f>IFERROR(SUM(Y306:Y307),"0")</f>
        <v/>
      </c>
      <c r="Z309" s="42" t="n"/>
      <c r="AA309" s="1244" t="n"/>
      <c r="AB309" s="1244" t="n"/>
      <c r="AC309" s="1244" t="n"/>
    </row>
    <row r="310" ht="16.5" customHeight="1">
      <c r="A310" s="830" t="inlineStr">
        <is>
          <t>Царедворская EDLP/EDPP</t>
        </is>
      </c>
      <c r="B310" s="1182" t="n"/>
      <c r="C310" s="1182" t="n"/>
      <c r="D310" s="1182" t="n"/>
      <c r="E310" s="1182" t="n"/>
      <c r="F310" s="1182" t="n"/>
      <c r="G310" s="1182" t="n"/>
      <c r="H310" s="1182" t="n"/>
      <c r="I310" s="1182" t="n"/>
      <c r="J310" s="1182" t="n"/>
      <c r="K310" s="1182" t="n"/>
      <c r="L310" s="1182" t="n"/>
      <c r="M310" s="1182" t="n"/>
      <c r="N310" s="1182" t="n"/>
      <c r="O310" s="1182" t="n"/>
      <c r="P310" s="1182" t="n"/>
      <c r="Q310" s="1182" t="n"/>
      <c r="R310" s="1182" t="n"/>
      <c r="S310" s="1182" t="n"/>
      <c r="T310" s="1182" t="n"/>
      <c r="U310" s="1182" t="n"/>
      <c r="V310" s="1182" t="n"/>
      <c r="W310" s="1182" t="n"/>
      <c r="X310" s="1182" t="n"/>
      <c r="Y310" s="1182" t="n"/>
      <c r="Z310" s="1182" t="n"/>
      <c r="AA310" s="830" t="n"/>
      <c r="AB310" s="830" t="n"/>
      <c r="AC310" s="830" t="n"/>
    </row>
    <row r="311" ht="14.25" customHeight="1">
      <c r="A311" s="831" t="inlineStr">
        <is>
          <t>Вареные колбасы</t>
        </is>
      </c>
      <c r="B311" s="1182" t="n"/>
      <c r="C311" s="1182" t="n"/>
      <c r="D311" s="1182" t="n"/>
      <c r="E311" s="1182" t="n"/>
      <c r="F311" s="1182" t="n"/>
      <c r="G311" s="1182" t="n"/>
      <c r="H311" s="1182" t="n"/>
      <c r="I311" s="1182" t="n"/>
      <c r="J311" s="1182" t="n"/>
      <c r="K311" s="1182" t="n"/>
      <c r="L311" s="1182" t="n"/>
      <c r="M311" s="1182" t="n"/>
      <c r="N311" s="1182" t="n"/>
      <c r="O311" s="1182" t="n"/>
      <c r="P311" s="1182" t="n"/>
      <c r="Q311" s="1182" t="n"/>
      <c r="R311" s="1182" t="n"/>
      <c r="S311" s="1182" t="n"/>
      <c r="T311" s="1182" t="n"/>
      <c r="U311" s="1182" t="n"/>
      <c r="V311" s="1182" t="n"/>
      <c r="W311" s="1182" t="n"/>
      <c r="X311" s="1182" t="n"/>
      <c r="Y311" s="1182" t="n"/>
      <c r="Z311" s="1182" t="n"/>
      <c r="AA311" s="831" t="n"/>
      <c r="AB311" s="831" t="n"/>
      <c r="AC311" s="831" t="n"/>
    </row>
    <row r="312" ht="27" customHeight="1">
      <c r="A312" s="63" t="inlineStr">
        <is>
          <t>SU002616</t>
        </is>
      </c>
      <c r="B312" s="63" t="inlineStr">
        <is>
          <t>P002950</t>
        </is>
      </c>
      <c r="C312" s="36" t="n">
        <v>4301011353</v>
      </c>
      <c r="D312" s="832" t="n">
        <v>4607091389807</v>
      </c>
      <c r="E312" s="1193" t="n"/>
      <c r="F312" s="1232" t="n">
        <v>0.4</v>
      </c>
      <c r="G312" s="37" t="n">
        <v>10</v>
      </c>
      <c r="H312" s="1232" t="n">
        <v>4</v>
      </c>
      <c r="I312" s="1232" t="n">
        <v>4.21</v>
      </c>
      <c r="J312" s="37" t="n">
        <v>132</v>
      </c>
      <c r="K312" s="37" t="inlineStr">
        <is>
          <t>12</t>
        </is>
      </c>
      <c r="L312" s="37" t="inlineStr"/>
      <c r="M312" s="38" t="inlineStr">
        <is>
          <t>СК1</t>
        </is>
      </c>
      <c r="N312" s="38" t="n"/>
      <c r="O312" s="37" t="n">
        <v>55</v>
      </c>
      <c r="P312" s="1399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12" s="1234" t="n"/>
      <c r="R312" s="1234" t="n"/>
      <c r="S312" s="1234" t="n"/>
      <c r="T312" s="1235" t="n"/>
      <c r="U312" s="39" t="inlineStr"/>
      <c r="V312" s="39" t="inlineStr"/>
      <c r="W312" s="40" t="inlineStr">
        <is>
          <t>кг</t>
        </is>
      </c>
      <c r="X312" s="1236" t="n">
        <v>0</v>
      </c>
      <c r="Y312" s="1237">
        <f>IFERROR(IF(X312="",0,CEILING((X312/$H312),1)*$H312),"")</f>
        <v/>
      </c>
      <c r="Z312" s="41">
        <f>IFERROR(IF(Y312=0,"",ROUNDUP(Y312/H312,0)*0.00902),"")</f>
        <v/>
      </c>
      <c r="AA312" s="68" t="inlineStr"/>
      <c r="AB312" s="69" t="inlineStr"/>
      <c r="AC312" s="402" t="inlineStr">
        <is>
          <t>ЕАЭС N RU Д-RU.РА03.В.34702/22</t>
        </is>
      </c>
      <c r="AG312" s="78" t="n"/>
      <c r="AJ312" s="84" t="inlineStr"/>
      <c r="AK312" s="84" t="n">
        <v>0</v>
      </c>
      <c r="BB312" s="403" t="inlineStr">
        <is>
          <t>КИ</t>
        </is>
      </c>
      <c r="BM312" s="78">
        <f>IFERROR(X312*I312/H312,"0")</f>
        <v/>
      </c>
      <c r="BN312" s="78">
        <f>IFERROR(Y312*I312/H312,"0")</f>
        <v/>
      </c>
      <c r="BO312" s="78">
        <f>IFERROR(1/J312*(X312/H312),"0")</f>
        <v/>
      </c>
      <c r="BP312" s="78">
        <f>IFERROR(1/J312*(Y312/H312),"0")</f>
        <v/>
      </c>
    </row>
    <row r="313">
      <c r="A313" s="843" t="n"/>
      <c r="B313" s="1182" t="n"/>
      <c r="C313" s="1182" t="n"/>
      <c r="D313" s="1182" t="n"/>
      <c r="E313" s="1182" t="n"/>
      <c r="F313" s="1182" t="n"/>
      <c r="G313" s="1182" t="n"/>
      <c r="H313" s="1182" t="n"/>
      <c r="I313" s="1182" t="n"/>
      <c r="J313" s="1182" t="n"/>
      <c r="K313" s="1182" t="n"/>
      <c r="L313" s="1182" t="n"/>
      <c r="M313" s="1182" t="n"/>
      <c r="N313" s="1182" t="n"/>
      <c r="O313" s="1241" t="n"/>
      <c r="P313" s="1242" t="inlineStr">
        <is>
          <t>Итого</t>
        </is>
      </c>
      <c r="Q313" s="1201" t="n"/>
      <c r="R313" s="1201" t="n"/>
      <c r="S313" s="1201" t="n"/>
      <c r="T313" s="1201" t="n"/>
      <c r="U313" s="1201" t="n"/>
      <c r="V313" s="1202" t="n"/>
      <c r="W313" s="42" t="inlineStr">
        <is>
          <t>кор</t>
        </is>
      </c>
      <c r="X313" s="1243">
        <f>IFERROR(X312/H312,"0")</f>
        <v/>
      </c>
      <c r="Y313" s="1243">
        <f>IFERROR(Y312/H312,"0")</f>
        <v/>
      </c>
      <c r="Z313" s="1243">
        <f>IFERROR(IF(Z312="",0,Z312),"0")</f>
        <v/>
      </c>
      <c r="AA313" s="1244" t="n"/>
      <c r="AB313" s="1244" t="n"/>
      <c r="AC313" s="1244" t="n"/>
    </row>
    <row r="314">
      <c r="A314" s="1182" t="n"/>
      <c r="B314" s="1182" t="n"/>
      <c r="C314" s="1182" t="n"/>
      <c r="D314" s="1182" t="n"/>
      <c r="E314" s="1182" t="n"/>
      <c r="F314" s="1182" t="n"/>
      <c r="G314" s="1182" t="n"/>
      <c r="H314" s="1182" t="n"/>
      <c r="I314" s="1182" t="n"/>
      <c r="J314" s="1182" t="n"/>
      <c r="K314" s="1182" t="n"/>
      <c r="L314" s="1182" t="n"/>
      <c r="M314" s="1182" t="n"/>
      <c r="N314" s="1182" t="n"/>
      <c r="O314" s="1241" t="n"/>
      <c r="P314" s="1242" t="inlineStr">
        <is>
          <t>Итого</t>
        </is>
      </c>
      <c r="Q314" s="1201" t="n"/>
      <c r="R314" s="1201" t="n"/>
      <c r="S314" s="1201" t="n"/>
      <c r="T314" s="1201" t="n"/>
      <c r="U314" s="1201" t="n"/>
      <c r="V314" s="1202" t="n"/>
      <c r="W314" s="42" t="inlineStr">
        <is>
          <t>кг</t>
        </is>
      </c>
      <c r="X314" s="1243">
        <f>IFERROR(SUM(X312:X312),"0")</f>
        <v/>
      </c>
      <c r="Y314" s="1243">
        <f>IFERROR(SUM(Y312:Y312),"0")</f>
        <v/>
      </c>
      <c r="Z314" s="42" t="n"/>
      <c r="AA314" s="1244" t="n"/>
      <c r="AB314" s="1244" t="n"/>
      <c r="AC314" s="1244" t="n"/>
    </row>
    <row r="315" ht="14.25" customHeight="1">
      <c r="A315" s="831" t="inlineStr">
        <is>
          <t>Копченые колбасы</t>
        </is>
      </c>
      <c r="B315" s="1182" t="n"/>
      <c r="C315" s="1182" t="n"/>
      <c r="D315" s="1182" t="n"/>
      <c r="E315" s="1182" t="n"/>
      <c r="F315" s="1182" t="n"/>
      <c r="G315" s="1182" t="n"/>
      <c r="H315" s="1182" t="n"/>
      <c r="I315" s="1182" t="n"/>
      <c r="J315" s="1182" t="n"/>
      <c r="K315" s="1182" t="n"/>
      <c r="L315" s="1182" t="n"/>
      <c r="M315" s="1182" t="n"/>
      <c r="N315" s="1182" t="n"/>
      <c r="O315" s="1182" t="n"/>
      <c r="P315" s="1182" t="n"/>
      <c r="Q315" s="1182" t="n"/>
      <c r="R315" s="1182" t="n"/>
      <c r="S315" s="1182" t="n"/>
      <c r="T315" s="1182" t="n"/>
      <c r="U315" s="1182" t="n"/>
      <c r="V315" s="1182" t="n"/>
      <c r="W315" s="1182" t="n"/>
      <c r="X315" s="1182" t="n"/>
      <c r="Y315" s="1182" t="n"/>
      <c r="Z315" s="1182" t="n"/>
      <c r="AA315" s="831" t="n"/>
      <c r="AB315" s="831" t="n"/>
      <c r="AC315" s="831" t="n"/>
    </row>
    <row r="316" ht="27" customHeight="1">
      <c r="A316" s="63" t="inlineStr">
        <is>
          <t>SU002699</t>
        </is>
      </c>
      <c r="B316" s="63" t="inlineStr">
        <is>
          <t>P003073</t>
        </is>
      </c>
      <c r="C316" s="36" t="n">
        <v>4301031164</v>
      </c>
      <c r="D316" s="832" t="n">
        <v>4680115880481</v>
      </c>
      <c r="E316" s="1193" t="n"/>
      <c r="F316" s="1232" t="n">
        <v>0.28</v>
      </c>
      <c r="G316" s="37" t="n">
        <v>6</v>
      </c>
      <c r="H316" s="1232" t="n">
        <v>1.68</v>
      </c>
      <c r="I316" s="1232" t="n">
        <v>1.78</v>
      </c>
      <c r="J316" s="37" t="n">
        <v>234</v>
      </c>
      <c r="K316" s="37" t="inlineStr">
        <is>
          <t>18</t>
        </is>
      </c>
      <c r="L316" s="37" t="inlineStr"/>
      <c r="M316" s="38" t="inlineStr">
        <is>
          <t>СК2</t>
        </is>
      </c>
      <c r="N316" s="38" t="n"/>
      <c r="O316" s="37" t="n">
        <v>40</v>
      </c>
      <c r="P316" s="1400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16" s="1234" t="n"/>
      <c r="R316" s="1234" t="n"/>
      <c r="S316" s="1234" t="n"/>
      <c r="T316" s="1235" t="n"/>
      <c r="U316" s="39" t="inlineStr"/>
      <c r="V316" s="39" t="inlineStr"/>
      <c r="W316" s="40" t="inlineStr">
        <is>
          <t>кг</t>
        </is>
      </c>
      <c r="X316" s="1236" t="n">
        <v>0</v>
      </c>
      <c r="Y316" s="1237">
        <f>IFERROR(IF(X316="",0,CEILING((X316/$H316),1)*$H316),"")</f>
        <v/>
      </c>
      <c r="Z316" s="41">
        <f>IFERROR(IF(Y316=0,"",ROUNDUP(Y316/H316,0)*0.00502),"")</f>
        <v/>
      </c>
      <c r="AA316" s="68" t="inlineStr"/>
      <c r="AB316" s="69" t="inlineStr"/>
      <c r="AC316" s="404" t="inlineStr">
        <is>
          <t>ЕАЭС N RU Д-RU.РА06.В.77461/22</t>
        </is>
      </c>
      <c r="AG316" s="78" t="n"/>
      <c r="AJ316" s="84" t="inlineStr"/>
      <c r="AK316" s="84" t="n">
        <v>0</v>
      </c>
      <c r="BB316" s="405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>
      <c r="A317" s="843" t="n"/>
      <c r="B317" s="1182" t="n"/>
      <c r="C317" s="1182" t="n"/>
      <c r="D317" s="1182" t="n"/>
      <c r="E317" s="1182" t="n"/>
      <c r="F317" s="1182" t="n"/>
      <c r="G317" s="1182" t="n"/>
      <c r="H317" s="1182" t="n"/>
      <c r="I317" s="1182" t="n"/>
      <c r="J317" s="1182" t="n"/>
      <c r="K317" s="1182" t="n"/>
      <c r="L317" s="1182" t="n"/>
      <c r="M317" s="1182" t="n"/>
      <c r="N317" s="1182" t="n"/>
      <c r="O317" s="1241" t="n"/>
      <c r="P317" s="1242" t="inlineStr">
        <is>
          <t>Итого</t>
        </is>
      </c>
      <c r="Q317" s="1201" t="n"/>
      <c r="R317" s="1201" t="n"/>
      <c r="S317" s="1201" t="n"/>
      <c r="T317" s="1201" t="n"/>
      <c r="U317" s="1201" t="n"/>
      <c r="V317" s="1202" t="n"/>
      <c r="W317" s="42" t="inlineStr">
        <is>
          <t>кор</t>
        </is>
      </c>
      <c r="X317" s="1243">
        <f>IFERROR(X316/H316,"0")</f>
        <v/>
      </c>
      <c r="Y317" s="1243">
        <f>IFERROR(Y316/H316,"0")</f>
        <v/>
      </c>
      <c r="Z317" s="1243">
        <f>IFERROR(IF(Z316="",0,Z316),"0")</f>
        <v/>
      </c>
      <c r="AA317" s="1244" t="n"/>
      <c r="AB317" s="1244" t="n"/>
      <c r="AC317" s="1244" t="n"/>
    </row>
    <row r="318">
      <c r="A318" s="1182" t="n"/>
      <c r="B318" s="1182" t="n"/>
      <c r="C318" s="1182" t="n"/>
      <c r="D318" s="1182" t="n"/>
      <c r="E318" s="1182" t="n"/>
      <c r="F318" s="1182" t="n"/>
      <c r="G318" s="1182" t="n"/>
      <c r="H318" s="1182" t="n"/>
      <c r="I318" s="1182" t="n"/>
      <c r="J318" s="1182" t="n"/>
      <c r="K318" s="1182" t="n"/>
      <c r="L318" s="1182" t="n"/>
      <c r="M318" s="1182" t="n"/>
      <c r="N318" s="1182" t="n"/>
      <c r="O318" s="1241" t="n"/>
      <c r="P318" s="1242" t="inlineStr">
        <is>
          <t>Итого</t>
        </is>
      </c>
      <c r="Q318" s="1201" t="n"/>
      <c r="R318" s="1201" t="n"/>
      <c r="S318" s="1201" t="n"/>
      <c r="T318" s="1201" t="n"/>
      <c r="U318" s="1201" t="n"/>
      <c r="V318" s="1202" t="n"/>
      <c r="W318" s="42" t="inlineStr">
        <is>
          <t>кг</t>
        </is>
      </c>
      <c r="X318" s="1243">
        <f>IFERROR(SUM(X316:X316),"0")</f>
        <v/>
      </c>
      <c r="Y318" s="1243">
        <f>IFERROR(SUM(Y316:Y316),"0")</f>
        <v/>
      </c>
      <c r="Z318" s="42" t="n"/>
      <c r="AA318" s="1244" t="n"/>
      <c r="AB318" s="1244" t="n"/>
      <c r="AC318" s="1244" t="n"/>
    </row>
    <row r="319" ht="14.25" customHeight="1">
      <c r="A319" s="831" t="inlineStr">
        <is>
          <t>Сосиски</t>
        </is>
      </c>
      <c r="B319" s="1182" t="n"/>
      <c r="C319" s="1182" t="n"/>
      <c r="D319" s="1182" t="n"/>
      <c r="E319" s="1182" t="n"/>
      <c r="F319" s="1182" t="n"/>
      <c r="G319" s="1182" t="n"/>
      <c r="H319" s="1182" t="n"/>
      <c r="I319" s="1182" t="n"/>
      <c r="J319" s="1182" t="n"/>
      <c r="K319" s="1182" t="n"/>
      <c r="L319" s="1182" t="n"/>
      <c r="M319" s="1182" t="n"/>
      <c r="N319" s="1182" t="n"/>
      <c r="O319" s="1182" t="n"/>
      <c r="P319" s="1182" t="n"/>
      <c r="Q319" s="1182" t="n"/>
      <c r="R319" s="1182" t="n"/>
      <c r="S319" s="1182" t="n"/>
      <c r="T319" s="1182" t="n"/>
      <c r="U319" s="1182" t="n"/>
      <c r="V319" s="1182" t="n"/>
      <c r="W319" s="1182" t="n"/>
      <c r="X319" s="1182" t="n"/>
      <c r="Y319" s="1182" t="n"/>
      <c r="Z319" s="1182" t="n"/>
      <c r="AA319" s="831" t="n"/>
      <c r="AB319" s="831" t="n"/>
      <c r="AC319" s="831" t="n"/>
    </row>
    <row r="320" ht="27" customHeight="1">
      <c r="A320" s="63" t="inlineStr">
        <is>
          <t>SU002723</t>
        </is>
      </c>
      <c r="B320" s="63" t="inlineStr">
        <is>
          <t>P003124</t>
        </is>
      </c>
      <c r="C320" s="36" t="n">
        <v>4301051344</v>
      </c>
      <c r="D320" s="832" t="n">
        <v>4680115880412</v>
      </c>
      <c r="E320" s="1193" t="n"/>
      <c r="F320" s="1232" t="n">
        <v>0.33</v>
      </c>
      <c r="G320" s="37" t="n">
        <v>6</v>
      </c>
      <c r="H320" s="1232" t="n">
        <v>1.98</v>
      </c>
      <c r="I320" s="1232" t="n">
        <v>2.226</v>
      </c>
      <c r="J320" s="37" t="n">
        <v>182</v>
      </c>
      <c r="K320" s="37" t="inlineStr">
        <is>
          <t>14</t>
        </is>
      </c>
      <c r="L320" s="37" t="inlineStr"/>
      <c r="M320" s="38" t="inlineStr">
        <is>
          <t>СК3</t>
        </is>
      </c>
      <c r="N320" s="38" t="n"/>
      <c r="O320" s="37" t="n">
        <v>45</v>
      </c>
      <c r="P320" s="1401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20" s="1234" t="n"/>
      <c r="R320" s="1234" t="n"/>
      <c r="S320" s="1234" t="n"/>
      <c r="T320" s="1235" t="n"/>
      <c r="U320" s="39" t="inlineStr"/>
      <c r="V320" s="39" t="inlineStr"/>
      <c r="W320" s="40" t="inlineStr">
        <is>
          <t>кг</t>
        </is>
      </c>
      <c r="X320" s="1236" t="n">
        <v>0</v>
      </c>
      <c r="Y320" s="1237">
        <f>IFERROR(IF(X320="",0,CEILING((X320/$H320),1)*$H320),"")</f>
        <v/>
      </c>
      <c r="Z320" s="41">
        <f>IFERROR(IF(Y320=0,"",ROUNDUP(Y320/H320,0)*0.00651),"")</f>
        <v/>
      </c>
      <c r="AA320" s="68" t="inlineStr"/>
      <c r="AB320" s="69" t="inlineStr"/>
      <c r="AC320" s="406" t="inlineStr">
        <is>
          <t>ЕАЭС N RU Д-RU.РА07.В.83514/22</t>
        </is>
      </c>
      <c r="AG320" s="78" t="n"/>
      <c r="AJ320" s="84" t="inlineStr"/>
      <c r="AK320" s="84" t="n">
        <v>0</v>
      </c>
      <c r="BB320" s="407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 ht="27" customHeight="1">
      <c r="A321" s="63" t="inlineStr">
        <is>
          <t>SU002619</t>
        </is>
      </c>
      <c r="B321" s="63" t="inlineStr">
        <is>
          <t>P002953</t>
        </is>
      </c>
      <c r="C321" s="36" t="n">
        <v>4301051277</v>
      </c>
      <c r="D321" s="832" t="n">
        <v>4680115880511</v>
      </c>
      <c r="E321" s="1193" t="n"/>
      <c r="F321" s="1232" t="n">
        <v>0.33</v>
      </c>
      <c r="G321" s="37" t="n">
        <v>6</v>
      </c>
      <c r="H321" s="1232" t="n">
        <v>1.98</v>
      </c>
      <c r="I321" s="1232" t="n">
        <v>2.16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402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21" s="1234" t="n"/>
      <c r="R321" s="1234" t="n"/>
      <c r="S321" s="1234" t="n"/>
      <c r="T321" s="1235" t="n"/>
      <c r="U321" s="39" t="inlineStr"/>
      <c r="V321" s="39" t="inlineStr"/>
      <c r="W321" s="40" t="inlineStr">
        <is>
          <t>кг</t>
        </is>
      </c>
      <c r="X321" s="1236" t="n">
        <v>0</v>
      </c>
      <c r="Y321" s="1237">
        <f>IFERROR(IF(X321="",0,CEILING((X321/$H321),1)*$H321),"")</f>
        <v/>
      </c>
      <c r="Z321" s="41">
        <f>IFERROR(IF(Y321=0,"",ROUNDUP(Y321/H321,0)*0.00651),"")</f>
        <v/>
      </c>
      <c r="AA321" s="68" t="inlineStr"/>
      <c r="AB321" s="69" t="inlineStr"/>
      <c r="AC321" s="408" t="inlineStr">
        <is>
          <t>ЕАЭС N RU Д-RU.РА03.В.86382/22</t>
        </is>
      </c>
      <c r="AG321" s="78" t="n"/>
      <c r="AJ321" s="84" t="inlineStr"/>
      <c r="AK321" s="84" t="n">
        <v>0</v>
      </c>
      <c r="BB321" s="409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>
      <c r="A322" s="843" t="n"/>
      <c r="B322" s="1182" t="n"/>
      <c r="C322" s="1182" t="n"/>
      <c r="D322" s="1182" t="n"/>
      <c r="E322" s="1182" t="n"/>
      <c r="F322" s="1182" t="n"/>
      <c r="G322" s="1182" t="n"/>
      <c r="H322" s="1182" t="n"/>
      <c r="I322" s="1182" t="n"/>
      <c r="J322" s="1182" t="n"/>
      <c r="K322" s="1182" t="n"/>
      <c r="L322" s="1182" t="n"/>
      <c r="M322" s="1182" t="n"/>
      <c r="N322" s="1182" t="n"/>
      <c r="O322" s="1241" t="n"/>
      <c r="P322" s="1242" t="inlineStr">
        <is>
          <t>Итого</t>
        </is>
      </c>
      <c r="Q322" s="1201" t="n"/>
      <c r="R322" s="1201" t="n"/>
      <c r="S322" s="1201" t="n"/>
      <c r="T322" s="1201" t="n"/>
      <c r="U322" s="1201" t="n"/>
      <c r="V322" s="1202" t="n"/>
      <c r="W322" s="42" t="inlineStr">
        <is>
          <t>кор</t>
        </is>
      </c>
      <c r="X322" s="1243">
        <f>IFERROR(X320/H320,"0")+IFERROR(X321/H321,"0")</f>
        <v/>
      </c>
      <c r="Y322" s="1243">
        <f>IFERROR(Y320/H320,"0")+IFERROR(Y321/H321,"0")</f>
        <v/>
      </c>
      <c r="Z322" s="1243">
        <f>IFERROR(IF(Z320="",0,Z320),"0")+IFERROR(IF(Z321="",0,Z321),"0")</f>
        <v/>
      </c>
      <c r="AA322" s="1244" t="n"/>
      <c r="AB322" s="1244" t="n"/>
      <c r="AC322" s="1244" t="n"/>
    </row>
    <row r="323">
      <c r="A323" s="1182" t="n"/>
      <c r="B323" s="1182" t="n"/>
      <c r="C323" s="1182" t="n"/>
      <c r="D323" s="1182" t="n"/>
      <c r="E323" s="1182" t="n"/>
      <c r="F323" s="1182" t="n"/>
      <c r="G323" s="1182" t="n"/>
      <c r="H323" s="1182" t="n"/>
      <c r="I323" s="1182" t="n"/>
      <c r="J323" s="1182" t="n"/>
      <c r="K323" s="1182" t="n"/>
      <c r="L323" s="1182" t="n"/>
      <c r="M323" s="1182" t="n"/>
      <c r="N323" s="1182" t="n"/>
      <c r="O323" s="1241" t="n"/>
      <c r="P323" s="1242" t="inlineStr">
        <is>
          <t>Итого</t>
        </is>
      </c>
      <c r="Q323" s="1201" t="n"/>
      <c r="R323" s="1201" t="n"/>
      <c r="S323" s="1201" t="n"/>
      <c r="T323" s="1201" t="n"/>
      <c r="U323" s="1201" t="n"/>
      <c r="V323" s="1202" t="n"/>
      <c r="W323" s="42" t="inlineStr">
        <is>
          <t>кг</t>
        </is>
      </c>
      <c r="X323" s="1243">
        <f>IFERROR(SUM(X320:X321),"0")</f>
        <v/>
      </c>
      <c r="Y323" s="1243">
        <f>IFERROR(SUM(Y320:Y321),"0")</f>
        <v/>
      </c>
      <c r="Z323" s="42" t="n"/>
      <c r="AA323" s="1244" t="n"/>
      <c r="AB323" s="1244" t="n"/>
      <c r="AC323" s="1244" t="n"/>
    </row>
    <row r="324" ht="16.5" customHeight="1">
      <c r="A324" s="830" t="inlineStr">
        <is>
          <t>Филедворская EDLP/EDPP</t>
        </is>
      </c>
      <c r="B324" s="1182" t="n"/>
      <c r="C324" s="1182" t="n"/>
      <c r="D324" s="1182" t="n"/>
      <c r="E324" s="1182" t="n"/>
      <c r="F324" s="1182" t="n"/>
      <c r="G324" s="1182" t="n"/>
      <c r="H324" s="1182" t="n"/>
      <c r="I324" s="1182" t="n"/>
      <c r="J324" s="1182" t="n"/>
      <c r="K324" s="1182" t="n"/>
      <c r="L324" s="1182" t="n"/>
      <c r="M324" s="1182" t="n"/>
      <c r="N324" s="1182" t="n"/>
      <c r="O324" s="1182" t="n"/>
      <c r="P324" s="1182" t="n"/>
      <c r="Q324" s="1182" t="n"/>
      <c r="R324" s="1182" t="n"/>
      <c r="S324" s="1182" t="n"/>
      <c r="T324" s="1182" t="n"/>
      <c r="U324" s="1182" t="n"/>
      <c r="V324" s="1182" t="n"/>
      <c r="W324" s="1182" t="n"/>
      <c r="X324" s="1182" t="n"/>
      <c r="Y324" s="1182" t="n"/>
      <c r="Z324" s="1182" t="n"/>
      <c r="AA324" s="830" t="n"/>
      <c r="AB324" s="830" t="n"/>
      <c r="AC324" s="830" t="n"/>
    </row>
    <row r="325" ht="14.25" customHeight="1">
      <c r="A325" s="831" t="inlineStr">
        <is>
          <t>Вареные колбасы</t>
        </is>
      </c>
      <c r="B325" s="1182" t="n"/>
      <c r="C325" s="1182" t="n"/>
      <c r="D325" s="1182" t="n"/>
      <c r="E325" s="1182" t="n"/>
      <c r="F325" s="1182" t="n"/>
      <c r="G325" s="1182" t="n"/>
      <c r="H325" s="1182" t="n"/>
      <c r="I325" s="1182" t="n"/>
      <c r="J325" s="1182" t="n"/>
      <c r="K325" s="1182" t="n"/>
      <c r="L325" s="1182" t="n"/>
      <c r="M325" s="1182" t="n"/>
      <c r="N325" s="1182" t="n"/>
      <c r="O325" s="1182" t="n"/>
      <c r="P325" s="1182" t="n"/>
      <c r="Q325" s="1182" t="n"/>
      <c r="R325" s="1182" t="n"/>
      <c r="S325" s="1182" t="n"/>
      <c r="T325" s="1182" t="n"/>
      <c r="U325" s="1182" t="n"/>
      <c r="V325" s="1182" t="n"/>
      <c r="W325" s="1182" t="n"/>
      <c r="X325" s="1182" t="n"/>
      <c r="Y325" s="1182" t="n"/>
      <c r="Z325" s="1182" t="n"/>
      <c r="AA325" s="831" t="n"/>
      <c r="AB325" s="831" t="n"/>
      <c r="AC325" s="831" t="n"/>
    </row>
    <row r="326" ht="27" customHeight="1">
      <c r="A326" s="63" t="inlineStr">
        <is>
          <t>SU003051</t>
        </is>
      </c>
      <c r="B326" s="63" t="inlineStr">
        <is>
          <t>P003605</t>
        </is>
      </c>
      <c r="C326" s="36" t="n">
        <v>4301011593</v>
      </c>
      <c r="D326" s="832" t="n">
        <v>4680115882973</v>
      </c>
      <c r="E326" s="1193" t="n"/>
      <c r="F326" s="1232" t="n">
        <v>0.7</v>
      </c>
      <c r="G326" s="37" t="n">
        <v>6</v>
      </c>
      <c r="H326" s="1232" t="n">
        <v>4.2</v>
      </c>
      <c r="I326" s="1232" t="n">
        <v>4.56</v>
      </c>
      <c r="J326" s="37" t="n">
        <v>104</v>
      </c>
      <c r="K326" s="37" t="inlineStr">
        <is>
          <t>8</t>
        </is>
      </c>
      <c r="L326" s="37" t="inlineStr"/>
      <c r="M326" s="38" t="inlineStr">
        <is>
          <t>СК1</t>
        </is>
      </c>
      <c r="N326" s="38" t="n"/>
      <c r="O326" s="37" t="n">
        <v>55</v>
      </c>
      <c r="P326" s="1403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26" s="1234" t="n"/>
      <c r="R326" s="1234" t="n"/>
      <c r="S326" s="1234" t="n"/>
      <c r="T326" s="1235" t="n"/>
      <c r="U326" s="39" t="inlineStr"/>
      <c r="V326" s="39" t="inlineStr"/>
      <c r="W326" s="40" t="inlineStr">
        <is>
          <t>кг</t>
        </is>
      </c>
      <c r="X326" s="1236" t="n">
        <v>0</v>
      </c>
      <c r="Y326" s="1237">
        <f>IFERROR(IF(X326="",0,CEILING((X326/$H326),1)*$H326),"")</f>
        <v/>
      </c>
      <c r="Z326" s="41">
        <f>IFERROR(IF(Y326=0,"",ROUNDUP(Y326/H326,0)*0.01196),"")</f>
        <v/>
      </c>
      <c r="AA326" s="68" t="inlineStr"/>
      <c r="AB326" s="69" t="inlineStr"/>
      <c r="AC326" s="410" t="inlineStr">
        <is>
          <t>ЕАЭС N RU Д-RU.РА05.В.81953/23</t>
        </is>
      </c>
      <c r="AG326" s="78" t="n"/>
      <c r="AJ326" s="84" t="inlineStr"/>
      <c r="AK326" s="84" t="n">
        <v>0</v>
      </c>
      <c r="BB326" s="411" t="inlineStr">
        <is>
          <t>КИ</t>
        </is>
      </c>
      <c r="BM326" s="78">
        <f>IFERROR(X326*I326/H326,"0")</f>
        <v/>
      </c>
      <c r="BN326" s="78">
        <f>IFERROR(Y326*I326/H326,"0")</f>
        <v/>
      </c>
      <c r="BO326" s="78">
        <f>IFERROR(1/J326*(X326/H326),"0")</f>
        <v/>
      </c>
      <c r="BP326" s="78">
        <f>IFERROR(1/J326*(Y326/H326),"0")</f>
        <v/>
      </c>
    </row>
    <row r="327" ht="27" customHeight="1">
      <c r="A327" s="63" t="inlineStr">
        <is>
          <t>SU003052</t>
        </is>
      </c>
      <c r="B327" s="63" t="inlineStr">
        <is>
          <t>P003607</t>
        </is>
      </c>
      <c r="C327" s="36" t="n">
        <v>4301011594</v>
      </c>
      <c r="D327" s="832" t="n">
        <v>4680115883413</v>
      </c>
      <c r="E327" s="1193" t="n"/>
      <c r="F327" s="1232" t="n">
        <v>0.37</v>
      </c>
      <c r="G327" s="37" t="n">
        <v>10</v>
      </c>
      <c r="H327" s="1232" t="n">
        <v>3.7</v>
      </c>
      <c r="I327" s="1232" t="n">
        <v>3.91</v>
      </c>
      <c r="J327" s="37" t="n">
        <v>132</v>
      </c>
      <c r="K327" s="37" t="inlineStr">
        <is>
          <t>12</t>
        </is>
      </c>
      <c r="L327" s="37" t="inlineStr"/>
      <c r="M327" s="38" t="inlineStr">
        <is>
          <t>СК1</t>
        </is>
      </c>
      <c r="N327" s="38" t="n"/>
      <c r="O327" s="37" t="n">
        <v>55</v>
      </c>
      <c r="P327" s="1404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327" s="1234" t="n"/>
      <c r="R327" s="1234" t="n"/>
      <c r="S327" s="1234" t="n"/>
      <c r="T327" s="1235" t="n"/>
      <c r="U327" s="39" t="inlineStr"/>
      <c r="V327" s="39" t="inlineStr"/>
      <c r="W327" s="40" t="inlineStr">
        <is>
          <t>кг</t>
        </is>
      </c>
      <c r="X327" s="1236" t="n">
        <v>0</v>
      </c>
      <c r="Y327" s="1237">
        <f>IFERROR(IF(X327="",0,CEILING((X327/$H327),1)*$H327),"")</f>
        <v/>
      </c>
      <c r="Z327" s="41">
        <f>IFERROR(IF(Y327=0,"",ROUNDUP(Y327/H327,0)*0.00902),"")</f>
        <v/>
      </c>
      <c r="AA327" s="68" t="inlineStr"/>
      <c r="AB327" s="69" t="inlineStr"/>
      <c r="AC327" s="412" t="inlineStr">
        <is>
          <t>ЕАЭС N RU Д-RU.РА05.В.81953/23</t>
        </is>
      </c>
      <c r="AG327" s="78" t="n"/>
      <c r="AJ327" s="84" t="inlineStr"/>
      <c r="AK327" s="84" t="n">
        <v>0</v>
      </c>
      <c r="BB327" s="413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>
      <c r="A328" s="843" t="n"/>
      <c r="B328" s="1182" t="n"/>
      <c r="C328" s="1182" t="n"/>
      <c r="D328" s="1182" t="n"/>
      <c r="E328" s="1182" t="n"/>
      <c r="F328" s="1182" t="n"/>
      <c r="G328" s="1182" t="n"/>
      <c r="H328" s="1182" t="n"/>
      <c r="I328" s="1182" t="n"/>
      <c r="J328" s="1182" t="n"/>
      <c r="K328" s="1182" t="n"/>
      <c r="L328" s="1182" t="n"/>
      <c r="M328" s="1182" t="n"/>
      <c r="N328" s="1182" t="n"/>
      <c r="O328" s="1241" t="n"/>
      <c r="P328" s="1242" t="inlineStr">
        <is>
          <t>Итого</t>
        </is>
      </c>
      <c r="Q328" s="1201" t="n"/>
      <c r="R328" s="1201" t="n"/>
      <c r="S328" s="1201" t="n"/>
      <c r="T328" s="1201" t="n"/>
      <c r="U328" s="1201" t="n"/>
      <c r="V328" s="1202" t="n"/>
      <c r="W328" s="42" t="inlineStr">
        <is>
          <t>кор</t>
        </is>
      </c>
      <c r="X328" s="1243">
        <f>IFERROR(X326/H326,"0")+IFERROR(X327/H327,"0")</f>
        <v/>
      </c>
      <c r="Y328" s="1243">
        <f>IFERROR(Y326/H326,"0")+IFERROR(Y327/H327,"0")</f>
        <v/>
      </c>
      <c r="Z328" s="1243">
        <f>IFERROR(IF(Z326="",0,Z326),"0")+IFERROR(IF(Z327="",0,Z327),"0")</f>
        <v/>
      </c>
      <c r="AA328" s="1244" t="n"/>
      <c r="AB328" s="1244" t="n"/>
      <c r="AC328" s="1244" t="n"/>
    </row>
    <row r="329">
      <c r="A329" s="1182" t="n"/>
      <c r="B329" s="1182" t="n"/>
      <c r="C329" s="1182" t="n"/>
      <c r="D329" s="1182" t="n"/>
      <c r="E329" s="1182" t="n"/>
      <c r="F329" s="1182" t="n"/>
      <c r="G329" s="1182" t="n"/>
      <c r="H329" s="1182" t="n"/>
      <c r="I329" s="1182" t="n"/>
      <c r="J329" s="1182" t="n"/>
      <c r="K329" s="1182" t="n"/>
      <c r="L329" s="1182" t="n"/>
      <c r="M329" s="1182" t="n"/>
      <c r="N329" s="1182" t="n"/>
      <c r="O329" s="1241" t="n"/>
      <c r="P329" s="1242" t="inlineStr">
        <is>
          <t>Итого</t>
        </is>
      </c>
      <c r="Q329" s="1201" t="n"/>
      <c r="R329" s="1201" t="n"/>
      <c r="S329" s="1201" t="n"/>
      <c r="T329" s="1201" t="n"/>
      <c r="U329" s="1201" t="n"/>
      <c r="V329" s="1202" t="n"/>
      <c r="W329" s="42" t="inlineStr">
        <is>
          <t>кг</t>
        </is>
      </c>
      <c r="X329" s="1243">
        <f>IFERROR(SUM(X326:X327),"0")</f>
        <v/>
      </c>
      <c r="Y329" s="1243">
        <f>IFERROR(SUM(Y326:Y327),"0")</f>
        <v/>
      </c>
      <c r="Z329" s="42" t="n"/>
      <c r="AA329" s="1244" t="n"/>
      <c r="AB329" s="1244" t="n"/>
      <c r="AC329" s="1244" t="n"/>
    </row>
    <row r="330" ht="14.25" customHeight="1">
      <c r="A330" s="831" t="inlineStr">
        <is>
          <t>Копченые колбасы</t>
        </is>
      </c>
      <c r="B330" s="1182" t="n"/>
      <c r="C330" s="1182" t="n"/>
      <c r="D330" s="1182" t="n"/>
      <c r="E330" s="1182" t="n"/>
      <c r="F330" s="1182" t="n"/>
      <c r="G330" s="1182" t="n"/>
      <c r="H330" s="1182" t="n"/>
      <c r="I330" s="1182" t="n"/>
      <c r="J330" s="1182" t="n"/>
      <c r="K330" s="1182" t="n"/>
      <c r="L330" s="1182" t="n"/>
      <c r="M330" s="1182" t="n"/>
      <c r="N330" s="1182" t="n"/>
      <c r="O330" s="1182" t="n"/>
      <c r="P330" s="1182" t="n"/>
      <c r="Q330" s="1182" t="n"/>
      <c r="R330" s="1182" t="n"/>
      <c r="S330" s="1182" t="n"/>
      <c r="T330" s="1182" t="n"/>
      <c r="U330" s="1182" t="n"/>
      <c r="V330" s="1182" t="n"/>
      <c r="W330" s="1182" t="n"/>
      <c r="X330" s="1182" t="n"/>
      <c r="Y330" s="1182" t="n"/>
      <c r="Z330" s="1182" t="n"/>
      <c r="AA330" s="831" t="n"/>
      <c r="AB330" s="831" t="n"/>
      <c r="AC330" s="831" t="n"/>
    </row>
    <row r="331" ht="27" customHeight="1">
      <c r="A331" s="63" t="inlineStr">
        <is>
          <t>SU002617</t>
        </is>
      </c>
      <c r="B331" s="63" t="inlineStr">
        <is>
          <t>P004229</t>
        </is>
      </c>
      <c r="C331" s="36" t="n">
        <v>4301031305</v>
      </c>
      <c r="D331" s="832" t="n">
        <v>4607091389845</v>
      </c>
      <c r="E331" s="1193" t="n"/>
      <c r="F331" s="1232" t="n">
        <v>0.35</v>
      </c>
      <c r="G331" s="37" t="n">
        <v>6</v>
      </c>
      <c r="H331" s="1232" t="n">
        <v>2.1</v>
      </c>
      <c r="I331" s="1232" t="n">
        <v>2.2</v>
      </c>
      <c r="J331" s="37" t="n">
        <v>234</v>
      </c>
      <c r="K331" s="37" t="inlineStr">
        <is>
          <t>18</t>
        </is>
      </c>
      <c r="L331" s="37" t="inlineStr"/>
      <c r="M331" s="38" t="inlineStr">
        <is>
          <t>СК2</t>
        </is>
      </c>
      <c r="N331" s="38" t="n"/>
      <c r="O331" s="37" t="n">
        <v>40</v>
      </c>
      <c r="P331" s="1405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31" s="1234" t="n"/>
      <c r="R331" s="1234" t="n"/>
      <c r="S331" s="1234" t="n"/>
      <c r="T331" s="1235" t="n"/>
      <c r="U331" s="39" t="inlineStr"/>
      <c r="V331" s="39" t="inlineStr"/>
      <c r="W331" s="40" t="inlineStr">
        <is>
          <t>кг</t>
        </is>
      </c>
      <c r="X331" s="1236" t="n">
        <v>280</v>
      </c>
      <c r="Y331" s="1237">
        <f>IFERROR(IF(X331="",0,CEILING((X331/$H331),1)*$H331),"")</f>
        <v/>
      </c>
      <c r="Z331" s="41">
        <f>IFERROR(IF(Y331=0,"",ROUNDUP(Y331/H331,0)*0.00502),"")</f>
        <v/>
      </c>
      <c r="AA331" s="68" t="inlineStr"/>
      <c r="AB331" s="69" t="inlineStr"/>
      <c r="AC331" s="414" t="inlineStr">
        <is>
          <t>ЕАЭС N RU Д-RU.РА01.В.54243/24</t>
        </is>
      </c>
      <c r="AG331" s="78" t="n"/>
      <c r="AJ331" s="84" t="inlineStr"/>
      <c r="AK331" s="84" t="n">
        <v>0</v>
      </c>
      <c r="BB331" s="415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 ht="27" customHeight="1">
      <c r="A332" s="63" t="inlineStr">
        <is>
          <t>SU003084</t>
        </is>
      </c>
      <c r="B332" s="63" t="inlineStr">
        <is>
          <t>P004230</t>
        </is>
      </c>
      <c r="C332" s="36" t="n">
        <v>4301031306</v>
      </c>
      <c r="D332" s="832" t="n">
        <v>4680115882881</v>
      </c>
      <c r="E332" s="1193" t="n"/>
      <c r="F332" s="1232" t="n">
        <v>0.28</v>
      </c>
      <c r="G332" s="37" t="n">
        <v>6</v>
      </c>
      <c r="H332" s="1232" t="n">
        <v>1.68</v>
      </c>
      <c r="I332" s="1232" t="n">
        <v>1.81</v>
      </c>
      <c r="J332" s="37" t="n">
        <v>234</v>
      </c>
      <c r="K332" s="37" t="inlineStr">
        <is>
          <t>18</t>
        </is>
      </c>
      <c r="L332" s="37" t="inlineStr"/>
      <c r="M332" s="38" t="inlineStr">
        <is>
          <t>СК2</t>
        </is>
      </c>
      <c r="N332" s="38" t="n"/>
      <c r="O332" s="37" t="n">
        <v>40</v>
      </c>
      <c r="P332" s="1406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32" s="1234" t="n"/>
      <c r="R332" s="1234" t="n"/>
      <c r="S332" s="1234" t="n"/>
      <c r="T332" s="1235" t="n"/>
      <c r="U332" s="39" t="inlineStr"/>
      <c r="V332" s="39" t="inlineStr"/>
      <c r="W332" s="40" t="inlineStr">
        <is>
          <t>кг</t>
        </is>
      </c>
      <c r="X332" s="1236" t="n">
        <v>0</v>
      </c>
      <c r="Y332" s="1237">
        <f>IFERROR(IF(X332="",0,CEILING((X332/$H332),1)*$H332),"")</f>
        <v/>
      </c>
      <c r="Z332" s="41">
        <f>IFERROR(IF(Y332=0,"",ROUNDUP(Y332/H332,0)*0.00502),"")</f>
        <v/>
      </c>
      <c r="AA332" s="68" t="inlineStr"/>
      <c r="AB332" s="69" t="inlineStr"/>
      <c r="AC332" s="416" t="inlineStr">
        <is>
          <t>ЕАЭС N RU Д-RU.РА01.В.54243/24</t>
        </is>
      </c>
      <c r="AG332" s="78" t="n"/>
      <c r="AJ332" s="84" t="inlineStr"/>
      <c r="AK332" s="84" t="n">
        <v>0</v>
      </c>
      <c r="BB332" s="417" t="inlineStr">
        <is>
          <t>КИ</t>
        </is>
      </c>
      <c r="BM332" s="78">
        <f>IFERROR(X332*I332/H332,"0")</f>
        <v/>
      </c>
      <c r="BN332" s="78">
        <f>IFERROR(Y332*I332/H332,"0")</f>
        <v/>
      </c>
      <c r="BO332" s="78">
        <f>IFERROR(1/J332*(X332/H332),"0")</f>
        <v/>
      </c>
      <c r="BP332" s="78">
        <f>IFERROR(1/J332*(Y332/H332),"0")</f>
        <v/>
      </c>
    </row>
    <row r="333">
      <c r="A333" s="843" t="n"/>
      <c r="B333" s="1182" t="n"/>
      <c r="C333" s="1182" t="n"/>
      <c r="D333" s="1182" t="n"/>
      <c r="E333" s="1182" t="n"/>
      <c r="F333" s="1182" t="n"/>
      <c r="G333" s="1182" t="n"/>
      <c r="H333" s="1182" t="n"/>
      <c r="I333" s="1182" t="n"/>
      <c r="J333" s="1182" t="n"/>
      <c r="K333" s="1182" t="n"/>
      <c r="L333" s="1182" t="n"/>
      <c r="M333" s="1182" t="n"/>
      <c r="N333" s="1182" t="n"/>
      <c r="O333" s="1241" t="n"/>
      <c r="P333" s="1242" t="inlineStr">
        <is>
          <t>Итого</t>
        </is>
      </c>
      <c r="Q333" s="1201" t="n"/>
      <c r="R333" s="1201" t="n"/>
      <c r="S333" s="1201" t="n"/>
      <c r="T333" s="1201" t="n"/>
      <c r="U333" s="1201" t="n"/>
      <c r="V333" s="1202" t="n"/>
      <c r="W333" s="42" t="inlineStr">
        <is>
          <t>кор</t>
        </is>
      </c>
      <c r="X333" s="1243">
        <f>IFERROR(X331/H331,"0")+IFERROR(X332/H332,"0")</f>
        <v/>
      </c>
      <c r="Y333" s="1243">
        <f>IFERROR(Y331/H331,"0")+IFERROR(Y332/H332,"0")</f>
        <v/>
      </c>
      <c r="Z333" s="1243">
        <f>IFERROR(IF(Z331="",0,Z331),"0")+IFERROR(IF(Z332="",0,Z332),"0")</f>
        <v/>
      </c>
      <c r="AA333" s="1244" t="n"/>
      <c r="AB333" s="1244" t="n"/>
      <c r="AC333" s="1244" t="n"/>
    </row>
    <row r="334">
      <c r="A334" s="1182" t="n"/>
      <c r="B334" s="1182" t="n"/>
      <c r="C334" s="1182" t="n"/>
      <c r="D334" s="1182" t="n"/>
      <c r="E334" s="1182" t="n"/>
      <c r="F334" s="1182" t="n"/>
      <c r="G334" s="1182" t="n"/>
      <c r="H334" s="1182" t="n"/>
      <c r="I334" s="1182" t="n"/>
      <c r="J334" s="1182" t="n"/>
      <c r="K334" s="1182" t="n"/>
      <c r="L334" s="1182" t="n"/>
      <c r="M334" s="1182" t="n"/>
      <c r="N334" s="1182" t="n"/>
      <c r="O334" s="1241" t="n"/>
      <c r="P334" s="1242" t="inlineStr">
        <is>
          <t>Итого</t>
        </is>
      </c>
      <c r="Q334" s="1201" t="n"/>
      <c r="R334" s="1201" t="n"/>
      <c r="S334" s="1201" t="n"/>
      <c r="T334" s="1201" t="n"/>
      <c r="U334" s="1201" t="n"/>
      <c r="V334" s="1202" t="n"/>
      <c r="W334" s="42" t="inlineStr">
        <is>
          <t>кг</t>
        </is>
      </c>
      <c r="X334" s="1243">
        <f>IFERROR(SUM(X331:X332),"0")</f>
        <v/>
      </c>
      <c r="Y334" s="1243">
        <f>IFERROR(SUM(Y331:Y332),"0")</f>
        <v/>
      </c>
      <c r="Z334" s="42" t="n"/>
      <c r="AA334" s="1244" t="n"/>
      <c r="AB334" s="1244" t="n"/>
      <c r="AC334" s="1244" t="n"/>
    </row>
    <row r="335" ht="14.25" customHeight="1">
      <c r="A335" s="831" t="inlineStr">
        <is>
          <t>Сосиски</t>
        </is>
      </c>
      <c r="B335" s="1182" t="n"/>
      <c r="C335" s="1182" t="n"/>
      <c r="D335" s="1182" t="n"/>
      <c r="E335" s="1182" t="n"/>
      <c r="F335" s="1182" t="n"/>
      <c r="G335" s="1182" t="n"/>
      <c r="H335" s="1182" t="n"/>
      <c r="I335" s="1182" t="n"/>
      <c r="J335" s="1182" t="n"/>
      <c r="K335" s="1182" t="n"/>
      <c r="L335" s="1182" t="n"/>
      <c r="M335" s="1182" t="n"/>
      <c r="N335" s="1182" t="n"/>
      <c r="O335" s="1182" t="n"/>
      <c r="P335" s="1182" t="n"/>
      <c r="Q335" s="1182" t="n"/>
      <c r="R335" s="1182" t="n"/>
      <c r="S335" s="1182" t="n"/>
      <c r="T335" s="1182" t="n"/>
      <c r="U335" s="1182" t="n"/>
      <c r="V335" s="1182" t="n"/>
      <c r="W335" s="1182" t="n"/>
      <c r="X335" s="1182" t="n"/>
      <c r="Y335" s="1182" t="n"/>
      <c r="Z335" s="1182" t="n"/>
      <c r="AA335" s="831" t="n"/>
      <c r="AB335" s="831" t="n"/>
      <c r="AC335" s="831" t="n"/>
    </row>
    <row r="336" ht="37.5" customHeight="1">
      <c r="A336" s="63" t="inlineStr">
        <is>
          <t>SU003053</t>
        </is>
      </c>
      <c r="B336" s="63" t="inlineStr">
        <is>
          <t>P003606</t>
        </is>
      </c>
      <c r="C336" s="36" t="n">
        <v>4301051517</v>
      </c>
      <c r="D336" s="832" t="n">
        <v>4680115883390</v>
      </c>
      <c r="E336" s="1193" t="n"/>
      <c r="F336" s="1232" t="n">
        <v>0.3</v>
      </c>
      <c r="G336" s="37" t="n">
        <v>6</v>
      </c>
      <c r="H336" s="1232" t="n">
        <v>1.8</v>
      </c>
      <c r="I336" s="1232" t="n">
        <v>1.98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СК2</t>
        </is>
      </c>
      <c r="N336" s="38" t="n"/>
      <c r="O336" s="37" t="n">
        <v>40</v>
      </c>
      <c r="P336" s="1407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36" s="1234" t="n"/>
      <c r="R336" s="1234" t="n"/>
      <c r="S336" s="1234" t="n"/>
      <c r="T336" s="1235" t="n"/>
      <c r="U336" s="39" t="inlineStr"/>
      <c r="V336" s="39" t="inlineStr"/>
      <c r="W336" s="40" t="inlineStr">
        <is>
          <t>кг</t>
        </is>
      </c>
      <c r="X336" s="1236" t="n">
        <v>0</v>
      </c>
      <c r="Y336" s="1237">
        <f>IFERROR(IF(X336="",0,CEILING((X336/$H336),1)*$H336),"")</f>
        <v/>
      </c>
      <c r="Z336" s="41">
        <f>IFERROR(IF(Y336=0,"",ROUNDUP(Y336/H336,0)*0.00651),"")</f>
        <v/>
      </c>
      <c r="AA336" s="68" t="inlineStr"/>
      <c r="AB336" s="69" t="inlineStr"/>
      <c r="AC336" s="418" t="inlineStr">
        <is>
          <t>ЕАЭС N RU Д-RU.РА05.В.76026/23, ЕАЭС N RU Д-RU.РА05.В.76121/23, ЕАЭС N RU Д-RU.РА05.В.76190/23</t>
        </is>
      </c>
      <c r="AG336" s="78" t="n"/>
      <c r="AJ336" s="84" t="inlineStr"/>
      <c r="AK336" s="84" t="n">
        <v>0</v>
      </c>
      <c r="BB336" s="419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>
      <c r="A337" s="843" t="n"/>
      <c r="B337" s="1182" t="n"/>
      <c r="C337" s="1182" t="n"/>
      <c r="D337" s="1182" t="n"/>
      <c r="E337" s="1182" t="n"/>
      <c r="F337" s="1182" t="n"/>
      <c r="G337" s="1182" t="n"/>
      <c r="H337" s="1182" t="n"/>
      <c r="I337" s="1182" t="n"/>
      <c r="J337" s="1182" t="n"/>
      <c r="K337" s="1182" t="n"/>
      <c r="L337" s="1182" t="n"/>
      <c r="M337" s="1182" t="n"/>
      <c r="N337" s="1182" t="n"/>
      <c r="O337" s="1241" t="n"/>
      <c r="P337" s="1242" t="inlineStr">
        <is>
          <t>Итого</t>
        </is>
      </c>
      <c r="Q337" s="1201" t="n"/>
      <c r="R337" s="1201" t="n"/>
      <c r="S337" s="1201" t="n"/>
      <c r="T337" s="1201" t="n"/>
      <c r="U337" s="1201" t="n"/>
      <c r="V337" s="1202" t="n"/>
      <c r="W337" s="42" t="inlineStr">
        <is>
          <t>кор</t>
        </is>
      </c>
      <c r="X337" s="1243">
        <f>IFERROR(X336/H336,"0")</f>
        <v/>
      </c>
      <c r="Y337" s="1243">
        <f>IFERROR(Y336/H336,"0")</f>
        <v/>
      </c>
      <c r="Z337" s="1243">
        <f>IFERROR(IF(Z336="",0,Z336),"0")</f>
        <v/>
      </c>
      <c r="AA337" s="1244" t="n"/>
      <c r="AB337" s="1244" t="n"/>
      <c r="AC337" s="1244" t="n"/>
    </row>
    <row r="338">
      <c r="A338" s="1182" t="n"/>
      <c r="B338" s="1182" t="n"/>
      <c r="C338" s="1182" t="n"/>
      <c r="D338" s="1182" t="n"/>
      <c r="E338" s="1182" t="n"/>
      <c r="F338" s="1182" t="n"/>
      <c r="G338" s="1182" t="n"/>
      <c r="H338" s="1182" t="n"/>
      <c r="I338" s="1182" t="n"/>
      <c r="J338" s="1182" t="n"/>
      <c r="K338" s="1182" t="n"/>
      <c r="L338" s="1182" t="n"/>
      <c r="M338" s="1182" t="n"/>
      <c r="N338" s="1182" t="n"/>
      <c r="O338" s="1241" t="n"/>
      <c r="P338" s="1242" t="inlineStr">
        <is>
          <t>Итого</t>
        </is>
      </c>
      <c r="Q338" s="1201" t="n"/>
      <c r="R338" s="1201" t="n"/>
      <c r="S338" s="1201" t="n"/>
      <c r="T338" s="1201" t="n"/>
      <c r="U338" s="1201" t="n"/>
      <c r="V338" s="1202" t="n"/>
      <c r="W338" s="42" t="inlineStr">
        <is>
          <t>кг</t>
        </is>
      </c>
      <c r="X338" s="1243">
        <f>IFERROR(SUM(X336:X336),"0")</f>
        <v/>
      </c>
      <c r="Y338" s="1243">
        <f>IFERROR(SUM(Y336:Y336),"0")</f>
        <v/>
      </c>
      <c r="Z338" s="42" t="n"/>
      <c r="AA338" s="1244" t="n"/>
      <c r="AB338" s="1244" t="n"/>
      <c r="AC338" s="1244" t="n"/>
    </row>
    <row r="339" ht="16.5" customHeight="1">
      <c r="A339" s="830" t="inlineStr">
        <is>
          <t>Мясинская</t>
        </is>
      </c>
      <c r="B339" s="1182" t="n"/>
      <c r="C339" s="1182" t="n"/>
      <c r="D339" s="1182" t="n"/>
      <c r="E339" s="1182" t="n"/>
      <c r="F339" s="1182" t="n"/>
      <c r="G339" s="1182" t="n"/>
      <c r="H339" s="1182" t="n"/>
      <c r="I339" s="1182" t="n"/>
      <c r="J339" s="1182" t="n"/>
      <c r="K339" s="1182" t="n"/>
      <c r="L339" s="1182" t="n"/>
      <c r="M339" s="1182" t="n"/>
      <c r="N339" s="1182" t="n"/>
      <c r="O339" s="1182" t="n"/>
      <c r="P339" s="1182" t="n"/>
      <c r="Q339" s="1182" t="n"/>
      <c r="R339" s="1182" t="n"/>
      <c r="S339" s="1182" t="n"/>
      <c r="T339" s="1182" t="n"/>
      <c r="U339" s="1182" t="n"/>
      <c r="V339" s="1182" t="n"/>
      <c r="W339" s="1182" t="n"/>
      <c r="X339" s="1182" t="n"/>
      <c r="Y339" s="1182" t="n"/>
      <c r="Z339" s="1182" t="n"/>
      <c r="AA339" s="830" t="n"/>
      <c r="AB339" s="830" t="n"/>
      <c r="AC339" s="830" t="n"/>
    </row>
    <row r="340" ht="14.25" customHeight="1">
      <c r="A340" s="831" t="inlineStr">
        <is>
          <t>Вареные колбасы</t>
        </is>
      </c>
      <c r="B340" s="1182" t="n"/>
      <c r="C340" s="1182" t="n"/>
      <c r="D340" s="1182" t="n"/>
      <c r="E340" s="1182" t="n"/>
      <c r="F340" s="1182" t="n"/>
      <c r="G340" s="1182" t="n"/>
      <c r="H340" s="1182" t="n"/>
      <c r="I340" s="1182" t="n"/>
      <c r="J340" s="1182" t="n"/>
      <c r="K340" s="1182" t="n"/>
      <c r="L340" s="1182" t="n"/>
      <c r="M340" s="1182" t="n"/>
      <c r="N340" s="1182" t="n"/>
      <c r="O340" s="1182" t="n"/>
      <c r="P340" s="1182" t="n"/>
      <c r="Q340" s="1182" t="n"/>
      <c r="R340" s="1182" t="n"/>
      <c r="S340" s="1182" t="n"/>
      <c r="T340" s="1182" t="n"/>
      <c r="U340" s="1182" t="n"/>
      <c r="V340" s="1182" t="n"/>
      <c r="W340" s="1182" t="n"/>
      <c r="X340" s="1182" t="n"/>
      <c r="Y340" s="1182" t="n"/>
      <c r="Z340" s="1182" t="n"/>
      <c r="AA340" s="831" t="n"/>
      <c r="AB340" s="831" t="n"/>
      <c r="AC340" s="831" t="n"/>
    </row>
    <row r="341" ht="16.5" customHeight="1">
      <c r="A341" s="63" t="inlineStr">
        <is>
          <t>SU003264</t>
        </is>
      </c>
      <c r="B341" s="63" t="inlineStr">
        <is>
          <t>P003938</t>
        </is>
      </c>
      <c r="C341" s="36" t="n">
        <v>4301011728</v>
      </c>
      <c r="D341" s="832" t="n">
        <v>4680115885141</v>
      </c>
      <c r="E341" s="1193" t="n"/>
      <c r="F341" s="1232" t="n">
        <v>0.25</v>
      </c>
      <c r="G341" s="37" t="n">
        <v>8</v>
      </c>
      <c r="H341" s="1232" t="n">
        <v>2</v>
      </c>
      <c r="I341" s="1232" t="n">
        <v>2.1</v>
      </c>
      <c r="J341" s="37" t="n">
        <v>234</v>
      </c>
      <c r="K341" s="37" t="inlineStr">
        <is>
          <t>18</t>
        </is>
      </c>
      <c r="L341" s="37" t="inlineStr"/>
      <c r="M341" s="38" t="inlineStr">
        <is>
          <t>СК3</t>
        </is>
      </c>
      <c r="N341" s="38" t="n"/>
      <c r="O341" s="37" t="n">
        <v>55</v>
      </c>
      <c r="P341" s="1408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/>
      </c>
      <c r="Q341" s="1234" t="n"/>
      <c r="R341" s="1234" t="n"/>
      <c r="S341" s="1234" t="n"/>
      <c r="T341" s="1235" t="n"/>
      <c r="U341" s="39" t="inlineStr"/>
      <c r="V341" s="39" t="inlineStr"/>
      <c r="W341" s="40" t="inlineStr">
        <is>
          <t>кг</t>
        </is>
      </c>
      <c r="X341" s="1236" t="n">
        <v>0</v>
      </c>
      <c r="Y341" s="1237">
        <f>IFERROR(IF(X341="",0,CEILING((X341/$H341),1)*$H341),"")</f>
        <v/>
      </c>
      <c r="Z341" s="41">
        <f>IFERROR(IF(Y341=0,"",ROUNDUP(Y341/H341,0)*0.00502),"")</f>
        <v/>
      </c>
      <c r="AA341" s="68" t="inlineStr"/>
      <c r="AB341" s="69" t="inlineStr"/>
      <c r="AC341" s="420" t="inlineStr">
        <is>
          <t>ЕАЭС N RU Д-RU.РА10.В.38607/23</t>
        </is>
      </c>
      <c r="AG341" s="78" t="n"/>
      <c r="AJ341" s="84" t="inlineStr"/>
      <c r="AK341" s="84" t="n">
        <v>0</v>
      </c>
      <c r="BB341" s="421" t="inlineStr">
        <is>
          <t>КИ</t>
        </is>
      </c>
      <c r="BM341" s="78">
        <f>IFERROR(X341*I341/H341,"0")</f>
        <v/>
      </c>
      <c r="BN341" s="78">
        <f>IFERROR(Y341*I341/H341,"0")</f>
        <v/>
      </c>
      <c r="BO341" s="78">
        <f>IFERROR(1/J341*(X341/H341),"0")</f>
        <v/>
      </c>
      <c r="BP341" s="78">
        <f>IFERROR(1/J341*(Y341/H341),"0")</f>
        <v/>
      </c>
    </row>
    <row r="342">
      <c r="A342" s="843" t="n"/>
      <c r="B342" s="1182" t="n"/>
      <c r="C342" s="1182" t="n"/>
      <c r="D342" s="1182" t="n"/>
      <c r="E342" s="1182" t="n"/>
      <c r="F342" s="1182" t="n"/>
      <c r="G342" s="1182" t="n"/>
      <c r="H342" s="1182" t="n"/>
      <c r="I342" s="1182" t="n"/>
      <c r="J342" s="1182" t="n"/>
      <c r="K342" s="1182" t="n"/>
      <c r="L342" s="1182" t="n"/>
      <c r="M342" s="1182" t="n"/>
      <c r="N342" s="1182" t="n"/>
      <c r="O342" s="1241" t="n"/>
      <c r="P342" s="1242" t="inlineStr">
        <is>
          <t>Итого</t>
        </is>
      </c>
      <c r="Q342" s="1201" t="n"/>
      <c r="R342" s="1201" t="n"/>
      <c r="S342" s="1201" t="n"/>
      <c r="T342" s="1201" t="n"/>
      <c r="U342" s="1201" t="n"/>
      <c r="V342" s="1202" t="n"/>
      <c r="W342" s="42" t="inlineStr">
        <is>
          <t>кор</t>
        </is>
      </c>
      <c r="X342" s="1243">
        <f>IFERROR(X341/H341,"0")</f>
        <v/>
      </c>
      <c r="Y342" s="1243">
        <f>IFERROR(Y341/H341,"0")</f>
        <v/>
      </c>
      <c r="Z342" s="1243">
        <f>IFERROR(IF(Z341="",0,Z341),"0")</f>
        <v/>
      </c>
      <c r="AA342" s="1244" t="n"/>
      <c r="AB342" s="1244" t="n"/>
      <c r="AC342" s="1244" t="n"/>
    </row>
    <row r="343">
      <c r="A343" s="1182" t="n"/>
      <c r="B343" s="1182" t="n"/>
      <c r="C343" s="1182" t="n"/>
      <c r="D343" s="1182" t="n"/>
      <c r="E343" s="1182" t="n"/>
      <c r="F343" s="1182" t="n"/>
      <c r="G343" s="1182" t="n"/>
      <c r="H343" s="1182" t="n"/>
      <c r="I343" s="1182" t="n"/>
      <c r="J343" s="1182" t="n"/>
      <c r="K343" s="1182" t="n"/>
      <c r="L343" s="1182" t="n"/>
      <c r="M343" s="1182" t="n"/>
      <c r="N343" s="1182" t="n"/>
      <c r="O343" s="1241" t="n"/>
      <c r="P343" s="1242" t="inlineStr">
        <is>
          <t>Итого</t>
        </is>
      </c>
      <c r="Q343" s="1201" t="n"/>
      <c r="R343" s="1201" t="n"/>
      <c r="S343" s="1201" t="n"/>
      <c r="T343" s="1201" t="n"/>
      <c r="U343" s="1201" t="n"/>
      <c r="V343" s="1202" t="n"/>
      <c r="W343" s="42" t="inlineStr">
        <is>
          <t>кг</t>
        </is>
      </c>
      <c r="X343" s="1243">
        <f>IFERROR(SUM(X341:X341),"0")</f>
        <v/>
      </c>
      <c r="Y343" s="1243">
        <f>IFERROR(SUM(Y341:Y341),"0")</f>
        <v/>
      </c>
      <c r="Z343" s="42" t="n"/>
      <c r="AA343" s="1244" t="n"/>
      <c r="AB343" s="1244" t="n"/>
      <c r="AC343" s="1244" t="n"/>
    </row>
    <row r="344" ht="16.5" customHeight="1">
      <c r="A344" s="830" t="inlineStr">
        <is>
          <t>Бордо</t>
        </is>
      </c>
      <c r="B344" s="1182" t="n"/>
      <c r="C344" s="1182" t="n"/>
      <c r="D344" s="1182" t="n"/>
      <c r="E344" s="1182" t="n"/>
      <c r="F344" s="1182" t="n"/>
      <c r="G344" s="1182" t="n"/>
      <c r="H344" s="1182" t="n"/>
      <c r="I344" s="1182" t="n"/>
      <c r="J344" s="1182" t="n"/>
      <c r="K344" s="1182" t="n"/>
      <c r="L344" s="1182" t="n"/>
      <c r="M344" s="1182" t="n"/>
      <c r="N344" s="1182" t="n"/>
      <c r="O344" s="1182" t="n"/>
      <c r="P344" s="1182" t="n"/>
      <c r="Q344" s="1182" t="n"/>
      <c r="R344" s="1182" t="n"/>
      <c r="S344" s="1182" t="n"/>
      <c r="T344" s="1182" t="n"/>
      <c r="U344" s="1182" t="n"/>
      <c r="V344" s="1182" t="n"/>
      <c r="W344" s="1182" t="n"/>
      <c r="X344" s="1182" t="n"/>
      <c r="Y344" s="1182" t="n"/>
      <c r="Z344" s="1182" t="n"/>
      <c r="AA344" s="830" t="n"/>
      <c r="AB344" s="830" t="n"/>
      <c r="AC344" s="830" t="n"/>
    </row>
    <row r="345" ht="14.25" customHeight="1">
      <c r="A345" s="831" t="inlineStr">
        <is>
          <t>Вареные колбасы</t>
        </is>
      </c>
      <c r="B345" s="1182" t="n"/>
      <c r="C345" s="1182" t="n"/>
      <c r="D345" s="1182" t="n"/>
      <c r="E345" s="1182" t="n"/>
      <c r="F345" s="1182" t="n"/>
      <c r="G345" s="1182" t="n"/>
      <c r="H345" s="1182" t="n"/>
      <c r="I345" s="1182" t="n"/>
      <c r="J345" s="1182" t="n"/>
      <c r="K345" s="1182" t="n"/>
      <c r="L345" s="1182" t="n"/>
      <c r="M345" s="1182" t="n"/>
      <c r="N345" s="1182" t="n"/>
      <c r="O345" s="1182" t="n"/>
      <c r="P345" s="1182" t="n"/>
      <c r="Q345" s="1182" t="n"/>
      <c r="R345" s="1182" t="n"/>
      <c r="S345" s="1182" t="n"/>
      <c r="T345" s="1182" t="n"/>
      <c r="U345" s="1182" t="n"/>
      <c r="V345" s="1182" t="n"/>
      <c r="W345" s="1182" t="n"/>
      <c r="X345" s="1182" t="n"/>
      <c r="Y345" s="1182" t="n"/>
      <c r="Z345" s="1182" t="n"/>
      <c r="AA345" s="831" t="n"/>
      <c r="AB345" s="831" t="n"/>
      <c r="AC345" s="831" t="n"/>
    </row>
    <row r="346" ht="27" customHeight="1">
      <c r="A346" s="63" t="inlineStr">
        <is>
          <t>SU003394</t>
        </is>
      </c>
      <c r="B346" s="63" t="inlineStr">
        <is>
          <t>P004213</t>
        </is>
      </c>
      <c r="C346" s="36" t="n">
        <v>4301012024</v>
      </c>
      <c r="D346" s="832" t="n">
        <v>4680115885615</v>
      </c>
      <c r="E346" s="1193" t="n"/>
      <c r="F346" s="1232" t="n">
        <v>1.35</v>
      </c>
      <c r="G346" s="37" t="n">
        <v>8</v>
      </c>
      <c r="H346" s="1232" t="n">
        <v>10.8</v>
      </c>
      <c r="I346" s="1232" t="n">
        <v>11.235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СК3</t>
        </is>
      </c>
      <c r="N346" s="38" t="n"/>
      <c r="O346" s="37" t="n">
        <v>55</v>
      </c>
      <c r="P346" s="140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46" s="1234" t="n"/>
      <c r="R346" s="1234" t="n"/>
      <c r="S346" s="1234" t="n"/>
      <c r="T346" s="1235" t="n"/>
      <c r="U346" s="39" t="inlineStr"/>
      <c r="V346" s="39" t="inlineStr"/>
      <c r="W346" s="40" t="inlineStr">
        <is>
          <t>кг</t>
        </is>
      </c>
      <c r="X346" s="1236" t="n">
        <v>0</v>
      </c>
      <c r="Y346" s="1237">
        <f>IFERROR(IF(X346="",0,CEILING((X346/$H346),1)*$H346),"")</f>
        <v/>
      </c>
      <c r="Z346" s="41">
        <f>IFERROR(IF(Y346=0,"",ROUNDUP(Y346/H346,0)*0.01898),"")</f>
        <v/>
      </c>
      <c r="AA346" s="68" t="inlineStr"/>
      <c r="AB346" s="69" t="inlineStr"/>
      <c r="AC346" s="422" t="inlineStr">
        <is>
          <t>ЕАЭС N RU Д-RU.РА04.В.92149/24, ЕАЭС N RU Д-RU.РА04.В.92393/24</t>
        </is>
      </c>
      <c r="AG346" s="78" t="n"/>
      <c r="AJ346" s="84" t="inlineStr"/>
      <c r="AK346" s="84" t="n">
        <v>0</v>
      </c>
      <c r="BB346" s="423" t="inlineStr">
        <is>
          <t>КИ</t>
        </is>
      </c>
      <c r="BM346" s="78">
        <f>IFERROR(X346*I346/H346,"0")</f>
        <v/>
      </c>
      <c r="BN346" s="78">
        <f>IFERROR(Y346*I346/H346,"0")</f>
        <v/>
      </c>
      <c r="BO346" s="78">
        <f>IFERROR(1/J346*(X346/H346),"0")</f>
        <v/>
      </c>
      <c r="BP346" s="78">
        <f>IFERROR(1/J346*(Y346/H346),"0")</f>
        <v/>
      </c>
    </row>
    <row r="347" ht="27" customHeight="1">
      <c r="A347" s="63" t="inlineStr">
        <is>
          <t>SU003392</t>
        </is>
      </c>
      <c r="B347" s="63" t="inlineStr">
        <is>
          <t>P004210</t>
        </is>
      </c>
      <c r="C347" s="36" t="n">
        <v>4301012016</v>
      </c>
      <c r="D347" s="832" t="n">
        <v>4680115885554</v>
      </c>
      <c r="E347" s="1193" t="n"/>
      <c r="F347" s="1232" t="n">
        <v>1.35</v>
      </c>
      <c r="G347" s="37" t="n">
        <v>8</v>
      </c>
      <c r="H347" s="1232" t="n">
        <v>10.8</v>
      </c>
      <c r="I347" s="1232" t="n">
        <v>11.235</v>
      </c>
      <c r="J347" s="37" t="n">
        <v>64</v>
      </c>
      <c r="K347" s="37" t="inlineStr">
        <is>
          <t>8</t>
        </is>
      </c>
      <c r="L347" s="37" t="inlineStr">
        <is>
          <t>Слой, мин. 1</t>
        </is>
      </c>
      <c r="M347" s="38" t="inlineStr">
        <is>
          <t>СК3</t>
        </is>
      </c>
      <c r="N347" s="38" t="n"/>
      <c r="O347" s="37" t="n">
        <v>55</v>
      </c>
      <c r="P347" s="141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47" s="1234" t="n"/>
      <c r="R347" s="1234" t="n"/>
      <c r="S347" s="1234" t="n"/>
      <c r="T347" s="1235" t="n"/>
      <c r="U347" s="39" t="inlineStr"/>
      <c r="V347" s="39" t="inlineStr"/>
      <c r="W347" s="40" t="inlineStr">
        <is>
          <t>кг</t>
        </is>
      </c>
      <c r="X347" s="1236" t="n">
        <v>0</v>
      </c>
      <c r="Y347" s="1237">
        <f>IFERROR(IF(X347="",0,CEILING((X347/$H347),1)*$H347),"")</f>
        <v/>
      </c>
      <c r="Z347" s="41">
        <f>IFERROR(IF(Y347=0,"",ROUNDUP(Y347/H347,0)*0.01898),"")</f>
        <v/>
      </c>
      <c r="AA347" s="68" t="inlineStr"/>
      <c r="AB347" s="69" t="inlineStr"/>
      <c r="AC347" s="424" t="inlineStr">
        <is>
          <t>ЕАЭС N RU Д-RU.РА04.В.93998/24, ЕАЭС N RU Д-RU.РА04.В.94346/24</t>
        </is>
      </c>
      <c r="AG347" s="78" t="n"/>
      <c r="AJ347" s="84" t="inlineStr">
        <is>
          <t>Слой</t>
        </is>
      </c>
      <c r="AK347" s="84" t="n">
        <v>86.40000000000001</v>
      </c>
      <c r="BB347" s="425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27" customHeight="1">
      <c r="A348" s="63" t="inlineStr">
        <is>
          <t>SU003392</t>
        </is>
      </c>
      <c r="B348" s="63" t="inlineStr">
        <is>
          <t>P004289</t>
        </is>
      </c>
      <c r="C348" s="36" t="n">
        <v>4301011911</v>
      </c>
      <c r="D348" s="832" t="n">
        <v>4680115885554</v>
      </c>
      <c r="E348" s="1193" t="n"/>
      <c r="F348" s="1232" t="n">
        <v>1.35</v>
      </c>
      <c r="G348" s="37" t="n">
        <v>8</v>
      </c>
      <c r="H348" s="1232" t="n">
        <v>10.8</v>
      </c>
      <c r="I348" s="1232" t="n">
        <v>11.28</v>
      </c>
      <c r="J348" s="37" t="n">
        <v>48</v>
      </c>
      <c r="K348" s="37" t="inlineStr">
        <is>
          <t>8</t>
        </is>
      </c>
      <c r="L348" s="37" t="inlineStr"/>
      <c r="M348" s="38" t="inlineStr">
        <is>
          <t>ВЗ</t>
        </is>
      </c>
      <c r="N348" s="38" t="n"/>
      <c r="O348" s="37" t="n">
        <v>55</v>
      </c>
      <c r="P348" s="1411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48" s="1234" t="n"/>
      <c r="R348" s="1234" t="n"/>
      <c r="S348" s="1234" t="n"/>
      <c r="T348" s="1235" t="n"/>
      <c r="U348" s="39" t="inlineStr"/>
      <c r="V348" s="39" t="inlineStr"/>
      <c r="W348" s="40" t="inlineStr">
        <is>
          <t>кг</t>
        </is>
      </c>
      <c r="X348" s="1236" t="n">
        <v>0</v>
      </c>
      <c r="Y348" s="1237">
        <f>IFERROR(IF(X348="",0,CEILING((X348/$H348),1)*$H348),"")</f>
        <v/>
      </c>
      <c r="Z348" s="41">
        <f>IFERROR(IF(Y348=0,"",ROUNDUP(Y348/H348,0)*0.02039),"")</f>
        <v/>
      </c>
      <c r="AA348" s="68" t="inlineStr"/>
      <c r="AB348" s="69" t="inlineStr"/>
      <c r="AC348" s="426" t="inlineStr">
        <is>
          <t>ЕАЭС N RU Д-RU.РА04.В.66501/24</t>
        </is>
      </c>
      <c r="AG348" s="78" t="n"/>
      <c r="AJ348" s="84" t="inlineStr"/>
      <c r="AK348" s="84" t="n">
        <v>0</v>
      </c>
      <c r="BB348" s="427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 ht="37.5" customHeight="1">
      <c r="A349" s="63" t="inlineStr">
        <is>
          <t>SU003396</t>
        </is>
      </c>
      <c r="B349" s="63" t="inlineStr">
        <is>
          <t>P004215</t>
        </is>
      </c>
      <c r="C349" s="36" t="n">
        <v>4301011858</v>
      </c>
      <c r="D349" s="832" t="n">
        <v>4680115885646</v>
      </c>
      <c r="E349" s="1193" t="n"/>
      <c r="F349" s="1232" t="n">
        <v>1.35</v>
      </c>
      <c r="G349" s="37" t="n">
        <v>8</v>
      </c>
      <c r="H349" s="1232" t="n">
        <v>10.8</v>
      </c>
      <c r="I349" s="1232" t="n">
        <v>11.235</v>
      </c>
      <c r="J349" s="37" t="n">
        <v>64</v>
      </c>
      <c r="K349" s="37" t="inlineStr">
        <is>
          <t>8</t>
        </is>
      </c>
      <c r="L349" s="37" t="inlineStr"/>
      <c r="M349" s="38" t="inlineStr">
        <is>
          <t>СК1</t>
        </is>
      </c>
      <c r="N349" s="38" t="n"/>
      <c r="O349" s="37" t="n">
        <v>55</v>
      </c>
      <c r="P349" s="1412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49" s="1234" t="n"/>
      <c r="R349" s="1234" t="n"/>
      <c r="S349" s="1234" t="n"/>
      <c r="T349" s="1235" t="n"/>
      <c r="U349" s="39" t="inlineStr"/>
      <c r="V349" s="39" t="inlineStr"/>
      <c r="W349" s="40" t="inlineStr">
        <is>
          <t>кг</t>
        </is>
      </c>
      <c r="X349" s="1236" t="n">
        <v>0</v>
      </c>
      <c r="Y349" s="1237">
        <f>IFERROR(IF(X349="",0,CEILING((X349/$H349),1)*$H349),"")</f>
        <v/>
      </c>
      <c r="Z349" s="41">
        <f>IFERROR(IF(Y349=0,"",ROUNDUP(Y349/H349,0)*0.01898),"")</f>
        <v/>
      </c>
      <c r="AA349" s="68" t="inlineStr"/>
      <c r="AB349" s="69" t="inlineStr"/>
      <c r="AC349" s="428" t="inlineStr">
        <is>
          <t>ЕАЭС N RU Д-RU.РА04.В.89027/24</t>
        </is>
      </c>
      <c r="AG349" s="78" t="n"/>
      <c r="AJ349" s="84" t="inlineStr"/>
      <c r="AK349" s="84" t="n">
        <v>0</v>
      </c>
      <c r="BB349" s="429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 ht="27" customHeight="1">
      <c r="A350" s="63" t="inlineStr">
        <is>
          <t>SU003395</t>
        </is>
      </c>
      <c r="B350" s="63" t="inlineStr">
        <is>
          <t>P004214</t>
        </is>
      </c>
      <c r="C350" s="36" t="n">
        <v>4301011857</v>
      </c>
      <c r="D350" s="832" t="n">
        <v>4680115885622</v>
      </c>
      <c r="E350" s="1193" t="n"/>
      <c r="F350" s="1232" t="n">
        <v>0.4</v>
      </c>
      <c r="G350" s="37" t="n">
        <v>10</v>
      </c>
      <c r="H350" s="1232" t="n">
        <v>4</v>
      </c>
      <c r="I350" s="1232" t="n">
        <v>4.21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СК1</t>
        </is>
      </c>
      <c r="N350" s="38" t="n"/>
      <c r="O350" s="37" t="n">
        <v>55</v>
      </c>
      <c r="P350" s="141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50" s="1234" t="n"/>
      <c r="R350" s="1234" t="n"/>
      <c r="S350" s="1234" t="n"/>
      <c r="T350" s="1235" t="n"/>
      <c r="U350" s="39" t="inlineStr"/>
      <c r="V350" s="39" t="inlineStr"/>
      <c r="W350" s="40" t="inlineStr">
        <is>
          <t>кг</t>
        </is>
      </c>
      <c r="X350" s="1236" t="n">
        <v>0</v>
      </c>
      <c r="Y350" s="1237">
        <f>IFERROR(IF(X350="",0,CEILING((X350/$H350),1)*$H350),"")</f>
        <v/>
      </c>
      <c r="Z350" s="41">
        <f>IFERROR(IF(Y350=0,"",ROUNDUP(Y350/H350,0)*0.00902),"")</f>
        <v/>
      </c>
      <c r="AA350" s="68" t="inlineStr"/>
      <c r="AB350" s="69" t="inlineStr"/>
      <c r="AC350" s="430" t="inlineStr">
        <is>
          <t>ЕАЭС N RU Д-RU.РА04.В.92149/24</t>
        </is>
      </c>
      <c r="AG350" s="78" t="n"/>
      <c r="AJ350" s="84" t="inlineStr"/>
      <c r="AK350" s="84" t="n">
        <v>0</v>
      </c>
      <c r="BB350" s="431" t="inlineStr">
        <is>
          <t>КИ</t>
        </is>
      </c>
      <c r="BM350" s="78">
        <f>IFERROR(X350*I350/H350,"0")</f>
        <v/>
      </c>
      <c r="BN350" s="78">
        <f>IFERROR(Y350*I350/H350,"0")</f>
        <v/>
      </c>
      <c r="BO350" s="78">
        <f>IFERROR(1/J350*(X350/H350),"0")</f>
        <v/>
      </c>
      <c r="BP350" s="78">
        <f>IFERROR(1/J350*(Y350/H350),"0")</f>
        <v/>
      </c>
    </row>
    <row r="351" ht="27" customHeight="1">
      <c r="A351" s="63" t="inlineStr">
        <is>
          <t>SU002894</t>
        </is>
      </c>
      <c r="B351" s="63" t="inlineStr">
        <is>
          <t>P003314</t>
        </is>
      </c>
      <c r="C351" s="36" t="n">
        <v>4301011573</v>
      </c>
      <c r="D351" s="832" t="n">
        <v>4680115881938</v>
      </c>
      <c r="E351" s="1193" t="n"/>
      <c r="F351" s="1232" t="n">
        <v>0.4</v>
      </c>
      <c r="G351" s="37" t="n">
        <v>10</v>
      </c>
      <c r="H351" s="1232" t="n">
        <v>4</v>
      </c>
      <c r="I351" s="1232" t="n">
        <v>4.21</v>
      </c>
      <c r="J351" s="37" t="n">
        <v>132</v>
      </c>
      <c r="K351" s="37" t="inlineStr">
        <is>
          <t>12</t>
        </is>
      </c>
      <c r="L351" s="37" t="inlineStr"/>
      <c r="M351" s="38" t="inlineStr">
        <is>
          <t>СК1</t>
        </is>
      </c>
      <c r="N351" s="38" t="n"/>
      <c r="O351" s="37" t="n">
        <v>90</v>
      </c>
      <c r="P351" s="141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51" s="1234" t="n"/>
      <c r="R351" s="1234" t="n"/>
      <c r="S351" s="1234" t="n"/>
      <c r="T351" s="1235" t="n"/>
      <c r="U351" s="39" t="inlineStr"/>
      <c r="V351" s="39" t="inlineStr"/>
      <c r="W351" s="40" t="inlineStr">
        <is>
          <t>кг</t>
        </is>
      </c>
      <c r="X351" s="1236" t="n">
        <v>0</v>
      </c>
      <c r="Y351" s="1237">
        <f>IFERROR(IF(X351="",0,CEILING((X351/$H351),1)*$H351),"")</f>
        <v/>
      </c>
      <c r="Z351" s="41">
        <f>IFERROR(IF(Y351=0,"",ROUNDUP(Y351/H351,0)*0.00902),"")</f>
        <v/>
      </c>
      <c r="AA351" s="68" t="inlineStr"/>
      <c r="AB351" s="69" t="inlineStr"/>
      <c r="AC351" s="432" t="inlineStr">
        <is>
          <t>ЕАЭС N RU Д-RU.РА04.В.76845/23, ЕАЭС N RU Д-RU.РА04.В.76869/23</t>
        </is>
      </c>
      <c r="AG351" s="78" t="n"/>
      <c r="AJ351" s="84" t="inlineStr"/>
      <c r="AK351" s="84" t="n">
        <v>0</v>
      </c>
      <c r="BB351" s="433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 ht="27" customHeight="1">
      <c r="A352" s="63" t="inlineStr">
        <is>
          <t>SU001800</t>
        </is>
      </c>
      <c r="B352" s="63" t="inlineStr">
        <is>
          <t>P001800</t>
        </is>
      </c>
      <c r="C352" s="36" t="n">
        <v>4301011337</v>
      </c>
      <c r="D352" s="832" t="n">
        <v>4607091386011</v>
      </c>
      <c r="E352" s="1193" t="n"/>
      <c r="F352" s="1232" t="n">
        <v>0.5</v>
      </c>
      <c r="G352" s="37" t="n">
        <v>10</v>
      </c>
      <c r="H352" s="1232" t="n">
        <v>5</v>
      </c>
      <c r="I352" s="1232" t="n">
        <v>5.21</v>
      </c>
      <c r="J352" s="37" t="n">
        <v>132</v>
      </c>
      <c r="K352" s="37" t="inlineStr">
        <is>
          <t>12</t>
        </is>
      </c>
      <c r="L352" s="37" t="inlineStr"/>
      <c r="M352" s="38" t="inlineStr">
        <is>
          <t>СК1</t>
        </is>
      </c>
      <c r="N352" s="38" t="n"/>
      <c r="O352" s="37" t="n">
        <v>55</v>
      </c>
      <c r="P352" s="141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52" s="1234" t="n"/>
      <c r="R352" s="1234" t="n"/>
      <c r="S352" s="1234" t="n"/>
      <c r="T352" s="1235" t="n"/>
      <c r="U352" s="39" t="inlineStr"/>
      <c r="V352" s="39" t="inlineStr"/>
      <c r="W352" s="40" t="inlineStr">
        <is>
          <t>кг</t>
        </is>
      </c>
      <c r="X352" s="1236" t="n">
        <v>0</v>
      </c>
      <c r="Y352" s="1237">
        <f>IFERROR(IF(X352="",0,CEILING((X352/$H352),1)*$H352),"")</f>
        <v/>
      </c>
      <c r="Z352" s="41">
        <f>IFERROR(IF(Y352=0,"",ROUNDUP(Y352/H352,0)*0.00902),"")</f>
        <v/>
      </c>
      <c r="AA352" s="68" t="inlineStr"/>
      <c r="AB352" s="69" t="inlineStr"/>
      <c r="AC352" s="434" t="inlineStr">
        <is>
          <t>ЕАЭС N RU Д-RU.РА02.В.63029/22</t>
        </is>
      </c>
      <c r="AG352" s="78" t="n"/>
      <c r="AJ352" s="84" t="inlineStr"/>
      <c r="AK352" s="84" t="n">
        <v>0</v>
      </c>
      <c r="BB352" s="435" t="inlineStr">
        <is>
          <t>КИ</t>
        </is>
      </c>
      <c r="BM352" s="78">
        <f>IFERROR(X352*I352/H352,"0")</f>
        <v/>
      </c>
      <c r="BN352" s="78">
        <f>IFERROR(Y352*I352/H352,"0")</f>
        <v/>
      </c>
      <c r="BO352" s="78">
        <f>IFERROR(1/J352*(X352/H352),"0")</f>
        <v/>
      </c>
      <c r="BP352" s="78">
        <f>IFERROR(1/J352*(Y352/H352),"0")</f>
        <v/>
      </c>
    </row>
    <row r="353" ht="27" customHeight="1">
      <c r="A353" s="63" t="inlineStr">
        <is>
          <t>SU003393</t>
        </is>
      </c>
      <c r="B353" s="63" t="inlineStr">
        <is>
          <t>P004211</t>
        </is>
      </c>
      <c r="C353" s="36" t="n">
        <v>4301011859</v>
      </c>
      <c r="D353" s="832" t="n">
        <v>4680115885608</v>
      </c>
      <c r="E353" s="1193" t="n"/>
      <c r="F353" s="1232" t="n">
        <v>0.4</v>
      </c>
      <c r="G353" s="37" t="n">
        <v>10</v>
      </c>
      <c r="H353" s="1232" t="n">
        <v>4</v>
      </c>
      <c r="I353" s="1232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55</v>
      </c>
      <c r="P353" s="141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53" s="1234" t="n"/>
      <c r="R353" s="1234" t="n"/>
      <c r="S353" s="1234" t="n"/>
      <c r="T353" s="1235" t="n"/>
      <c r="U353" s="39" t="inlineStr"/>
      <c r="V353" s="39" t="inlineStr"/>
      <c r="W353" s="40" t="inlineStr">
        <is>
          <t>кг</t>
        </is>
      </c>
      <c r="X353" s="1236" t="n">
        <v>0</v>
      </c>
      <c r="Y353" s="1237">
        <f>IFERROR(IF(X353="",0,CEILING((X353/$H353),1)*$H353),"")</f>
        <v/>
      </c>
      <c r="Z353" s="41">
        <f>IFERROR(IF(Y353=0,"",ROUNDUP(Y353/H353,0)*0.00902),"")</f>
        <v/>
      </c>
      <c r="AA353" s="68" t="inlineStr"/>
      <c r="AB353" s="69" t="inlineStr"/>
      <c r="AC353" s="436" t="inlineStr">
        <is>
          <t>ЕАЭС N RU Д-RU.РА04.В.93998/24, ЕАЭС N RU Д-RU.РА04.В.94346/24</t>
        </is>
      </c>
      <c r="AG353" s="78" t="n"/>
      <c r="AJ353" s="84" t="inlineStr"/>
      <c r="AK353" s="84" t="n">
        <v>0</v>
      </c>
      <c r="BB353" s="43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>
      <c r="A354" s="843" t="n"/>
      <c r="B354" s="1182" t="n"/>
      <c r="C354" s="1182" t="n"/>
      <c r="D354" s="1182" t="n"/>
      <c r="E354" s="1182" t="n"/>
      <c r="F354" s="1182" t="n"/>
      <c r="G354" s="1182" t="n"/>
      <c r="H354" s="1182" t="n"/>
      <c r="I354" s="1182" t="n"/>
      <c r="J354" s="1182" t="n"/>
      <c r="K354" s="1182" t="n"/>
      <c r="L354" s="1182" t="n"/>
      <c r="M354" s="1182" t="n"/>
      <c r="N354" s="1182" t="n"/>
      <c r="O354" s="1241" t="n"/>
      <c r="P354" s="1242" t="inlineStr">
        <is>
          <t>Итого</t>
        </is>
      </c>
      <c r="Q354" s="1201" t="n"/>
      <c r="R354" s="1201" t="n"/>
      <c r="S354" s="1201" t="n"/>
      <c r="T354" s="1201" t="n"/>
      <c r="U354" s="1201" t="n"/>
      <c r="V354" s="1202" t="n"/>
      <c r="W354" s="42" t="inlineStr">
        <is>
          <t>кор</t>
        </is>
      </c>
      <c r="X354" s="1243">
        <f>IFERROR(X346/H346,"0")+IFERROR(X347/H347,"0")+IFERROR(X348/H348,"0")+IFERROR(X349/H349,"0")+IFERROR(X350/H350,"0")+IFERROR(X351/H351,"0")+IFERROR(X352/H352,"0")+IFERROR(X353/H353,"0")</f>
        <v/>
      </c>
      <c r="Y354" s="1243">
        <f>IFERROR(Y346/H346,"0")+IFERROR(Y347/H347,"0")+IFERROR(Y348/H348,"0")+IFERROR(Y349/H349,"0")+IFERROR(Y350/H350,"0")+IFERROR(Y351/H351,"0")+IFERROR(Y352/H352,"0")+IFERROR(Y353/H353,"0")</f>
        <v/>
      </c>
      <c r="Z354" s="12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/>
      </c>
      <c r="AA354" s="1244" t="n"/>
      <c r="AB354" s="1244" t="n"/>
      <c r="AC354" s="1244" t="n"/>
    </row>
    <row r="355">
      <c r="A355" s="1182" t="n"/>
      <c r="B355" s="1182" t="n"/>
      <c r="C355" s="1182" t="n"/>
      <c r="D355" s="1182" t="n"/>
      <c r="E355" s="1182" t="n"/>
      <c r="F355" s="1182" t="n"/>
      <c r="G355" s="1182" t="n"/>
      <c r="H355" s="1182" t="n"/>
      <c r="I355" s="1182" t="n"/>
      <c r="J355" s="1182" t="n"/>
      <c r="K355" s="1182" t="n"/>
      <c r="L355" s="1182" t="n"/>
      <c r="M355" s="1182" t="n"/>
      <c r="N355" s="1182" t="n"/>
      <c r="O355" s="1241" t="n"/>
      <c r="P355" s="1242" t="inlineStr">
        <is>
          <t>Итого</t>
        </is>
      </c>
      <c r="Q355" s="1201" t="n"/>
      <c r="R355" s="1201" t="n"/>
      <c r="S355" s="1201" t="n"/>
      <c r="T355" s="1201" t="n"/>
      <c r="U355" s="1201" t="n"/>
      <c r="V355" s="1202" t="n"/>
      <c r="W355" s="42" t="inlineStr">
        <is>
          <t>кг</t>
        </is>
      </c>
      <c r="X355" s="1243">
        <f>IFERROR(SUM(X346:X353),"0")</f>
        <v/>
      </c>
      <c r="Y355" s="1243">
        <f>IFERROR(SUM(Y346:Y353),"0")</f>
        <v/>
      </c>
      <c r="Z355" s="42" t="n"/>
      <c r="AA355" s="1244" t="n"/>
      <c r="AB355" s="1244" t="n"/>
      <c r="AC355" s="1244" t="n"/>
    </row>
    <row r="356" ht="14.25" customHeight="1">
      <c r="A356" s="831" t="inlineStr">
        <is>
          <t>Копченые колбасы</t>
        </is>
      </c>
      <c r="B356" s="1182" t="n"/>
      <c r="C356" s="1182" t="n"/>
      <c r="D356" s="1182" t="n"/>
      <c r="E356" s="1182" t="n"/>
      <c r="F356" s="1182" t="n"/>
      <c r="G356" s="1182" t="n"/>
      <c r="H356" s="1182" t="n"/>
      <c r="I356" s="1182" t="n"/>
      <c r="J356" s="1182" t="n"/>
      <c r="K356" s="1182" t="n"/>
      <c r="L356" s="1182" t="n"/>
      <c r="M356" s="1182" t="n"/>
      <c r="N356" s="1182" t="n"/>
      <c r="O356" s="1182" t="n"/>
      <c r="P356" s="1182" t="n"/>
      <c r="Q356" s="1182" t="n"/>
      <c r="R356" s="1182" t="n"/>
      <c r="S356" s="1182" t="n"/>
      <c r="T356" s="1182" t="n"/>
      <c r="U356" s="1182" t="n"/>
      <c r="V356" s="1182" t="n"/>
      <c r="W356" s="1182" t="n"/>
      <c r="X356" s="1182" t="n"/>
      <c r="Y356" s="1182" t="n"/>
      <c r="Z356" s="1182" t="n"/>
      <c r="AA356" s="831" t="n"/>
      <c r="AB356" s="831" t="n"/>
      <c r="AC356" s="831" t="n"/>
    </row>
    <row r="357" ht="27" customHeight="1">
      <c r="A357" s="63" t="inlineStr">
        <is>
          <t>SU001820</t>
        </is>
      </c>
      <c r="B357" s="63" t="inlineStr">
        <is>
          <t>P001820</t>
        </is>
      </c>
      <c r="C357" s="36" t="n">
        <v>4301030878</v>
      </c>
      <c r="D357" s="832" t="n">
        <v>4607091387193</v>
      </c>
      <c r="E357" s="1193" t="n"/>
      <c r="F357" s="1232" t="n">
        <v>0.7</v>
      </c>
      <c r="G357" s="37" t="n">
        <v>6</v>
      </c>
      <c r="H357" s="1232" t="n">
        <v>4.2</v>
      </c>
      <c r="I357" s="1232" t="n">
        <v>4.47</v>
      </c>
      <c r="J357" s="37" t="n">
        <v>132</v>
      </c>
      <c r="K357" s="37" t="inlineStr">
        <is>
          <t>12</t>
        </is>
      </c>
      <c r="L357" s="37" t="inlineStr"/>
      <c r="M357" s="38" t="inlineStr">
        <is>
          <t>СК2</t>
        </is>
      </c>
      <c r="N357" s="38" t="n"/>
      <c r="O357" s="37" t="n">
        <v>35</v>
      </c>
      <c r="P357" s="14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57" s="1234" t="n"/>
      <c r="R357" s="1234" t="n"/>
      <c r="S357" s="1234" t="n"/>
      <c r="T357" s="1235" t="n"/>
      <c r="U357" s="39" t="inlineStr"/>
      <c r="V357" s="39" t="inlineStr"/>
      <c r="W357" s="40" t="inlineStr">
        <is>
          <t>кг</t>
        </is>
      </c>
      <c r="X357" s="1236" t="n">
        <v>0</v>
      </c>
      <c r="Y357" s="1237">
        <f>IFERROR(IF(X357="",0,CEILING((X357/$H357),1)*$H357),"")</f>
        <v/>
      </c>
      <c r="Z357" s="41">
        <f>IFERROR(IF(Y357=0,"",ROUNDUP(Y357/H357,0)*0.00902),"")</f>
        <v/>
      </c>
      <c r="AA357" s="68" t="inlineStr"/>
      <c r="AB357" s="69" t="inlineStr"/>
      <c r="AC357" s="438" t="inlineStr">
        <is>
          <t>ЕАЭС N RU Д-RU.РА02.В.56858/22</t>
        </is>
      </c>
      <c r="AG357" s="78" t="n"/>
      <c r="AJ357" s="84" t="inlineStr"/>
      <c r="AK357" s="84" t="n">
        <v>0</v>
      </c>
      <c r="BB357" s="439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SU001822</t>
        </is>
      </c>
      <c r="B358" s="63" t="inlineStr">
        <is>
          <t>P003013</t>
        </is>
      </c>
      <c r="C358" s="36" t="n">
        <v>4301031153</v>
      </c>
      <c r="D358" s="832" t="n">
        <v>4607091387230</v>
      </c>
      <c r="E358" s="1193" t="n"/>
      <c r="F358" s="1232" t="n">
        <v>0.7</v>
      </c>
      <c r="G358" s="37" t="n">
        <v>6</v>
      </c>
      <c r="H358" s="1232" t="n">
        <v>4.2</v>
      </c>
      <c r="I358" s="1232" t="n">
        <v>4.47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СК2</t>
        </is>
      </c>
      <c r="N358" s="38" t="n"/>
      <c r="O358" s="37" t="n">
        <v>40</v>
      </c>
      <c r="P358" s="14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58" s="1234" t="n"/>
      <c r="R358" s="1234" t="n"/>
      <c r="S358" s="1234" t="n"/>
      <c r="T358" s="1235" t="n"/>
      <c r="U358" s="39" t="inlineStr"/>
      <c r="V358" s="39" t="inlineStr"/>
      <c r="W358" s="40" t="inlineStr">
        <is>
          <t>кг</t>
        </is>
      </c>
      <c r="X358" s="1236" t="n">
        <v>0</v>
      </c>
      <c r="Y358" s="1237">
        <f>IFERROR(IF(X358="",0,CEILING((X358/$H358),1)*$H358),"")</f>
        <v/>
      </c>
      <c r="Z358" s="41">
        <f>IFERROR(IF(Y358=0,"",ROUNDUP(Y358/H358,0)*0.00902),"")</f>
        <v/>
      </c>
      <c r="AA358" s="68" t="inlineStr"/>
      <c r="AB358" s="69" t="inlineStr"/>
      <c r="AC358" s="440" t="inlineStr">
        <is>
          <t>ЕАЭС N RU Д-RU.РА02.В.56859/22</t>
        </is>
      </c>
      <c r="AG358" s="78" t="n"/>
      <c r="AJ358" s="84" t="inlineStr"/>
      <c r="AK358" s="84" t="n">
        <v>0</v>
      </c>
      <c r="BB358" s="441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27" customHeight="1">
      <c r="A359" s="63" t="inlineStr">
        <is>
          <t>SU001801</t>
        </is>
      </c>
      <c r="B359" s="63" t="inlineStr">
        <is>
          <t>P003014</t>
        </is>
      </c>
      <c r="C359" s="36" t="n">
        <v>4301031154</v>
      </c>
      <c r="D359" s="832" t="n">
        <v>4607091387292</v>
      </c>
      <c r="E359" s="1193" t="n"/>
      <c r="F359" s="1232" t="n">
        <v>0.73</v>
      </c>
      <c r="G359" s="37" t="n">
        <v>6</v>
      </c>
      <c r="H359" s="1232" t="n">
        <v>4.38</v>
      </c>
      <c r="I359" s="1232" t="n">
        <v>4.65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СК2</t>
        </is>
      </c>
      <c r="N359" s="38" t="n"/>
      <c r="O359" s="37" t="n">
        <v>45</v>
      </c>
      <c r="P359" s="1419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59" s="1234" t="n"/>
      <c r="R359" s="1234" t="n"/>
      <c r="S359" s="1234" t="n"/>
      <c r="T359" s="1235" t="n"/>
      <c r="U359" s="39" t="inlineStr"/>
      <c r="V359" s="39" t="inlineStr"/>
      <c r="W359" s="40" t="inlineStr">
        <is>
          <t>кг</t>
        </is>
      </c>
      <c r="X359" s="1236" t="n">
        <v>0</v>
      </c>
      <c r="Y359" s="1237">
        <f>IFERROR(IF(X359="",0,CEILING((X359/$H359),1)*$H359),"")</f>
        <v/>
      </c>
      <c r="Z359" s="41">
        <f>IFERROR(IF(Y359=0,"",ROUNDUP(Y359/H359,0)*0.00902),"")</f>
        <v/>
      </c>
      <c r="AA359" s="68" t="inlineStr"/>
      <c r="AB359" s="69" t="inlineStr"/>
      <c r="AC359" s="442" t="inlineStr">
        <is>
          <t>ЕАЭС N RU Д-RU.РА02.В.56862/22</t>
        </is>
      </c>
      <c r="AG359" s="78" t="n"/>
      <c r="AJ359" s="84" t="inlineStr"/>
      <c r="AK359" s="84" t="n">
        <v>0</v>
      </c>
      <c r="BB359" s="443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27" customHeight="1">
      <c r="A360" s="63" t="inlineStr">
        <is>
          <t>SU002579</t>
        </is>
      </c>
      <c r="B360" s="63" t="inlineStr">
        <is>
          <t>P003012</t>
        </is>
      </c>
      <c r="C360" s="36" t="n">
        <v>4301031152</v>
      </c>
      <c r="D360" s="832" t="n">
        <v>4607091387285</v>
      </c>
      <c r="E360" s="1193" t="n"/>
      <c r="F360" s="1232" t="n">
        <v>0.35</v>
      </c>
      <c r="G360" s="37" t="n">
        <v>6</v>
      </c>
      <c r="H360" s="1232" t="n">
        <v>2.1</v>
      </c>
      <c r="I360" s="1232" t="n">
        <v>2.23</v>
      </c>
      <c r="J360" s="37" t="n">
        <v>234</v>
      </c>
      <c r="K360" s="37" t="inlineStr">
        <is>
          <t>18</t>
        </is>
      </c>
      <c r="L360" s="37" t="inlineStr"/>
      <c r="M360" s="38" t="inlineStr">
        <is>
          <t>СК2</t>
        </is>
      </c>
      <c r="N360" s="38" t="n"/>
      <c r="O360" s="37" t="n">
        <v>40</v>
      </c>
      <c r="P360" s="142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60" s="1234" t="n"/>
      <c r="R360" s="1234" t="n"/>
      <c r="S360" s="1234" t="n"/>
      <c r="T360" s="1235" t="n"/>
      <c r="U360" s="39" t="inlineStr"/>
      <c r="V360" s="39" t="inlineStr"/>
      <c r="W360" s="40" t="inlineStr">
        <is>
          <t>кг</t>
        </is>
      </c>
      <c r="X360" s="1236" t="n">
        <v>0</v>
      </c>
      <c r="Y360" s="1237">
        <f>IFERROR(IF(X360="",0,CEILING((X360/$H360),1)*$H360),"")</f>
        <v/>
      </c>
      <c r="Z360" s="41">
        <f>IFERROR(IF(Y360=0,"",ROUNDUP(Y360/H360,0)*0.00502),"")</f>
        <v/>
      </c>
      <c r="AA360" s="68" t="inlineStr"/>
      <c r="AB360" s="69" t="inlineStr"/>
      <c r="AC360" s="444" t="inlineStr">
        <is>
          <t>ЕАЭС N RU Д-RU.РА02.В.56859/22</t>
        </is>
      </c>
      <c r="AG360" s="78" t="n"/>
      <c r="AJ360" s="84" t="inlineStr"/>
      <c r="AK360" s="84" t="n">
        <v>0</v>
      </c>
      <c r="BB360" s="445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>
      <c r="A361" s="843" t="n"/>
      <c r="B361" s="1182" t="n"/>
      <c r="C361" s="1182" t="n"/>
      <c r="D361" s="1182" t="n"/>
      <c r="E361" s="1182" t="n"/>
      <c r="F361" s="1182" t="n"/>
      <c r="G361" s="1182" t="n"/>
      <c r="H361" s="1182" t="n"/>
      <c r="I361" s="1182" t="n"/>
      <c r="J361" s="1182" t="n"/>
      <c r="K361" s="1182" t="n"/>
      <c r="L361" s="1182" t="n"/>
      <c r="M361" s="1182" t="n"/>
      <c r="N361" s="1182" t="n"/>
      <c r="O361" s="1241" t="n"/>
      <c r="P361" s="1242" t="inlineStr">
        <is>
          <t>Итого</t>
        </is>
      </c>
      <c r="Q361" s="1201" t="n"/>
      <c r="R361" s="1201" t="n"/>
      <c r="S361" s="1201" t="n"/>
      <c r="T361" s="1201" t="n"/>
      <c r="U361" s="1201" t="n"/>
      <c r="V361" s="1202" t="n"/>
      <c r="W361" s="42" t="inlineStr">
        <is>
          <t>кор</t>
        </is>
      </c>
      <c r="X361" s="1243">
        <f>IFERROR(X357/H357,"0")+IFERROR(X358/H358,"0")+IFERROR(X359/H359,"0")+IFERROR(X360/H360,"0")</f>
        <v/>
      </c>
      <c r="Y361" s="1243">
        <f>IFERROR(Y357/H357,"0")+IFERROR(Y358/H358,"0")+IFERROR(Y359/H359,"0")+IFERROR(Y360/H360,"0")</f>
        <v/>
      </c>
      <c r="Z361" s="1243">
        <f>IFERROR(IF(Z357="",0,Z357),"0")+IFERROR(IF(Z358="",0,Z358),"0")+IFERROR(IF(Z359="",0,Z359),"0")+IFERROR(IF(Z360="",0,Z360),"0")</f>
        <v/>
      </c>
      <c r="AA361" s="1244" t="n"/>
      <c r="AB361" s="1244" t="n"/>
      <c r="AC361" s="1244" t="n"/>
    </row>
    <row r="362">
      <c r="A362" s="1182" t="n"/>
      <c r="B362" s="1182" t="n"/>
      <c r="C362" s="1182" t="n"/>
      <c r="D362" s="1182" t="n"/>
      <c r="E362" s="1182" t="n"/>
      <c r="F362" s="1182" t="n"/>
      <c r="G362" s="1182" t="n"/>
      <c r="H362" s="1182" t="n"/>
      <c r="I362" s="1182" t="n"/>
      <c r="J362" s="1182" t="n"/>
      <c r="K362" s="1182" t="n"/>
      <c r="L362" s="1182" t="n"/>
      <c r="M362" s="1182" t="n"/>
      <c r="N362" s="1182" t="n"/>
      <c r="O362" s="1241" t="n"/>
      <c r="P362" s="1242" t="inlineStr">
        <is>
          <t>Итого</t>
        </is>
      </c>
      <c r="Q362" s="1201" t="n"/>
      <c r="R362" s="1201" t="n"/>
      <c r="S362" s="1201" t="n"/>
      <c r="T362" s="1201" t="n"/>
      <c r="U362" s="1201" t="n"/>
      <c r="V362" s="1202" t="n"/>
      <c r="W362" s="42" t="inlineStr">
        <is>
          <t>кг</t>
        </is>
      </c>
      <c r="X362" s="1243">
        <f>IFERROR(SUM(X357:X360),"0")</f>
        <v/>
      </c>
      <c r="Y362" s="1243">
        <f>IFERROR(SUM(Y357:Y360),"0")</f>
        <v/>
      </c>
      <c r="Z362" s="42" t="n"/>
      <c r="AA362" s="1244" t="n"/>
      <c r="AB362" s="1244" t="n"/>
      <c r="AC362" s="1244" t="n"/>
    </row>
    <row r="363" ht="14.25" customHeight="1">
      <c r="A363" s="831" t="inlineStr">
        <is>
          <t>Сосиски</t>
        </is>
      </c>
      <c r="B363" s="1182" t="n"/>
      <c r="C363" s="1182" t="n"/>
      <c r="D363" s="1182" t="n"/>
      <c r="E363" s="1182" t="n"/>
      <c r="F363" s="1182" t="n"/>
      <c r="G363" s="1182" t="n"/>
      <c r="H363" s="1182" t="n"/>
      <c r="I363" s="1182" t="n"/>
      <c r="J363" s="1182" t="n"/>
      <c r="K363" s="1182" t="n"/>
      <c r="L363" s="1182" t="n"/>
      <c r="M363" s="1182" t="n"/>
      <c r="N363" s="1182" t="n"/>
      <c r="O363" s="1182" t="n"/>
      <c r="P363" s="1182" t="n"/>
      <c r="Q363" s="1182" t="n"/>
      <c r="R363" s="1182" t="n"/>
      <c r="S363" s="1182" t="n"/>
      <c r="T363" s="1182" t="n"/>
      <c r="U363" s="1182" t="n"/>
      <c r="V363" s="1182" t="n"/>
      <c r="W363" s="1182" t="n"/>
      <c r="X363" s="1182" t="n"/>
      <c r="Y363" s="1182" t="n"/>
      <c r="Z363" s="1182" t="n"/>
      <c r="AA363" s="831" t="n"/>
      <c r="AB363" s="831" t="n"/>
      <c r="AC363" s="831" t="n"/>
    </row>
    <row r="364" ht="48" customHeight="1">
      <c r="A364" s="63" t="inlineStr">
        <is>
          <t>SU001340</t>
        </is>
      </c>
      <c r="B364" s="63" t="inlineStr">
        <is>
          <t>P002209</t>
        </is>
      </c>
      <c r="C364" s="36" t="n">
        <v>4301051100</v>
      </c>
      <c r="D364" s="832" t="n">
        <v>4607091387766</v>
      </c>
      <c r="E364" s="1193" t="n"/>
      <c r="F364" s="1232" t="n">
        <v>1.3</v>
      </c>
      <c r="G364" s="37" t="n">
        <v>6</v>
      </c>
      <c r="H364" s="1232" t="n">
        <v>7.8</v>
      </c>
      <c r="I364" s="1232" t="n">
        <v>8.313000000000001</v>
      </c>
      <c r="J364" s="37" t="n">
        <v>64</v>
      </c>
      <c r="K364" s="37" t="inlineStr">
        <is>
          <t>8</t>
        </is>
      </c>
      <c r="L364" s="37" t="inlineStr"/>
      <c r="M364" s="38" t="inlineStr">
        <is>
          <t>СК3</t>
        </is>
      </c>
      <c r="N364" s="38" t="n"/>
      <c r="O364" s="37" t="n">
        <v>40</v>
      </c>
      <c r="P364" s="1421">
        <f>HYPERLINK("https://abi.ru/products/Охлажденные/Стародворье/Бордо/Сосиски/P002209/","Сосиски Ганноверские Бордо Весовые П/а мгс Баварушка")</f>
        <v/>
      </c>
      <c r="Q364" s="1234" t="n"/>
      <c r="R364" s="1234" t="n"/>
      <c r="S364" s="1234" t="n"/>
      <c r="T364" s="1235" t="n"/>
      <c r="U364" s="39" t="inlineStr"/>
      <c r="V364" s="39" t="inlineStr"/>
      <c r="W364" s="40" t="inlineStr">
        <is>
          <t>кг</t>
        </is>
      </c>
      <c r="X364" s="1236" t="n">
        <v>0</v>
      </c>
      <c r="Y364" s="1237">
        <f>IFERROR(IF(X364="",0,CEILING((X364/$H364),1)*$H364),"")</f>
        <v/>
      </c>
      <c r="Z364" s="41">
        <f>IFERROR(IF(Y364=0,"",ROUNDUP(Y364/H364,0)*0.01898),"")</f>
        <v/>
      </c>
      <c r="AA364" s="68" t="inlineStr"/>
      <c r="AB364" s="69" t="inlineStr"/>
      <c r="AC364" s="446" t="inlineStr">
        <is>
          <t>ЕАЭС N RU Д-RU.АБ75.В.00420/19, ЕАЭС N RU Д-RU.РА02.В.59556/22, ЕАЭС N RU Д-RU.РА04.В.49333/24, ЕАЭС № RU Д-RU.АБ75.В.00705/19</t>
        </is>
      </c>
      <c r="AG364" s="78" t="n"/>
      <c r="AJ364" s="84" t="inlineStr"/>
      <c r="AK364" s="84" t="n">
        <v>0</v>
      </c>
      <c r="BB364" s="447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37.5" customHeight="1">
      <c r="A365" s="63" t="inlineStr">
        <is>
          <t>SU001727</t>
        </is>
      </c>
      <c r="B365" s="63" t="inlineStr">
        <is>
          <t>P002205</t>
        </is>
      </c>
      <c r="C365" s="36" t="n">
        <v>4301051116</v>
      </c>
      <c r="D365" s="832" t="n">
        <v>4607091387957</v>
      </c>
      <c r="E365" s="1193" t="n"/>
      <c r="F365" s="1232" t="n">
        <v>1.3</v>
      </c>
      <c r="G365" s="37" t="n">
        <v>6</v>
      </c>
      <c r="H365" s="1232" t="n">
        <v>7.8</v>
      </c>
      <c r="I365" s="1232" t="n">
        <v>8.319000000000001</v>
      </c>
      <c r="J365" s="37" t="n">
        <v>64</v>
      </c>
      <c r="K365" s="37" t="inlineStr">
        <is>
          <t>8</t>
        </is>
      </c>
      <c r="L365" s="37" t="inlineStr"/>
      <c r="M365" s="38" t="inlineStr">
        <is>
          <t>СК2</t>
        </is>
      </c>
      <c r="N365" s="38" t="n"/>
      <c r="O365" s="37" t="n">
        <v>40</v>
      </c>
      <c r="P365" s="142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65" s="1234" t="n"/>
      <c r="R365" s="1234" t="n"/>
      <c r="S365" s="1234" t="n"/>
      <c r="T365" s="1235" t="n"/>
      <c r="U365" s="39" t="inlineStr"/>
      <c r="V365" s="39" t="inlineStr"/>
      <c r="W365" s="40" t="inlineStr">
        <is>
          <t>кг</t>
        </is>
      </c>
      <c r="X365" s="1236" t="n">
        <v>0</v>
      </c>
      <c r="Y365" s="1237">
        <f>IFERROR(IF(X365="",0,CEILING((X365/$H365),1)*$H365),"")</f>
        <v/>
      </c>
      <c r="Z365" s="41">
        <f>IFERROR(IF(Y365=0,"",ROUNDUP(Y365/H365,0)*0.01898),"")</f>
        <v/>
      </c>
      <c r="AA365" s="68" t="inlineStr"/>
      <c r="AB365" s="69" t="inlineStr"/>
      <c r="AC365" s="448" t="inlineStr">
        <is>
          <t>ЕАЭС N RU Д-RU.АБ75.В.00420/19, ЕАЭС N RU Д-RU.РА02.В.59549/22, ЕАЭС N RU Д-RU.РА10.В.03664/24</t>
        </is>
      </c>
      <c r="AG365" s="78" t="n"/>
      <c r="AJ365" s="84" t="inlineStr"/>
      <c r="AK365" s="84" t="n">
        <v>0</v>
      </c>
      <c r="BB365" s="449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37.5" customHeight="1">
      <c r="A366" s="63" t="inlineStr">
        <is>
          <t>SU001728</t>
        </is>
      </c>
      <c r="B366" s="63" t="inlineStr">
        <is>
          <t>P002207</t>
        </is>
      </c>
      <c r="C366" s="36" t="n">
        <v>4301051115</v>
      </c>
      <c r="D366" s="832" t="n">
        <v>4607091387964</v>
      </c>
      <c r="E366" s="1193" t="n"/>
      <c r="F366" s="1232" t="n">
        <v>1.35</v>
      </c>
      <c r="G366" s="37" t="n">
        <v>6</v>
      </c>
      <c r="H366" s="1232" t="n">
        <v>8.1</v>
      </c>
      <c r="I366" s="1232" t="n">
        <v>8.601000000000001</v>
      </c>
      <c r="J366" s="37" t="n">
        <v>64</v>
      </c>
      <c r="K366" s="37" t="inlineStr">
        <is>
          <t>8</t>
        </is>
      </c>
      <c r="L366" s="37" t="inlineStr"/>
      <c r="M366" s="38" t="inlineStr">
        <is>
          <t>СК2</t>
        </is>
      </c>
      <c r="N366" s="38" t="n"/>
      <c r="O366" s="37" t="n">
        <v>40</v>
      </c>
      <c r="P366" s="142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66" s="1234" t="n"/>
      <c r="R366" s="1234" t="n"/>
      <c r="S366" s="1234" t="n"/>
      <c r="T366" s="1235" t="n"/>
      <c r="U366" s="39" t="inlineStr"/>
      <c r="V366" s="39" t="inlineStr"/>
      <c r="W366" s="40" t="inlineStr">
        <is>
          <t>кг</t>
        </is>
      </c>
      <c r="X366" s="1236" t="n">
        <v>0</v>
      </c>
      <c r="Y366" s="1237">
        <f>IFERROR(IF(X366="",0,CEILING((X366/$H366),1)*$H366),"")</f>
        <v/>
      </c>
      <c r="Z366" s="41">
        <f>IFERROR(IF(Y366=0,"",ROUNDUP(Y366/H366,0)*0.01898),"")</f>
        <v/>
      </c>
      <c r="AA366" s="68" t="inlineStr"/>
      <c r="AB366" s="69" t="inlineStr"/>
      <c r="AC366" s="450" t="inlineStr">
        <is>
          <t>ЕАЭС N RU Д-RU.АБ75.В.00420/19, ЕАЭС N RU Д-RU.РА02.В.59684/22, ЕАЭС N RU Д-RU.РА10.В.11265/24</t>
        </is>
      </c>
      <c r="AG366" s="78" t="n"/>
      <c r="AJ366" s="84" t="inlineStr"/>
      <c r="AK366" s="84" t="n">
        <v>0</v>
      </c>
      <c r="BB366" s="451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37.5" customHeight="1">
      <c r="A367" s="63" t="inlineStr">
        <is>
          <t>SU003333</t>
        </is>
      </c>
      <c r="B367" s="63" t="inlineStr">
        <is>
          <t>P004082</t>
        </is>
      </c>
      <c r="C367" s="36" t="n">
        <v>4301051705</v>
      </c>
      <c r="D367" s="832" t="n">
        <v>4680115884588</v>
      </c>
      <c r="E367" s="1193" t="n"/>
      <c r="F367" s="1232" t="n">
        <v>0.5</v>
      </c>
      <c r="G367" s="37" t="n">
        <v>6</v>
      </c>
      <c r="H367" s="1232" t="n">
        <v>3</v>
      </c>
      <c r="I367" s="1232" t="n">
        <v>3.246</v>
      </c>
      <c r="J367" s="37" t="n">
        <v>182</v>
      </c>
      <c r="K367" s="37" t="inlineStr">
        <is>
          <t>14</t>
        </is>
      </c>
      <c r="L367" s="37" t="inlineStr"/>
      <c r="M367" s="38" t="inlineStr">
        <is>
          <t>СК2</t>
        </is>
      </c>
      <c r="N367" s="38" t="n"/>
      <c r="O367" s="37" t="n">
        <v>40</v>
      </c>
      <c r="P367" s="142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67" s="1234" t="n"/>
      <c r="R367" s="1234" t="n"/>
      <c r="S367" s="1234" t="n"/>
      <c r="T367" s="1235" t="n"/>
      <c r="U367" s="39" t="inlineStr"/>
      <c r="V367" s="39" t="inlineStr"/>
      <c r="W367" s="40" t="inlineStr">
        <is>
          <t>кг</t>
        </is>
      </c>
      <c r="X367" s="1236" t="n">
        <v>0</v>
      </c>
      <c r="Y367" s="1237">
        <f>IFERROR(IF(X367="",0,CEILING((X367/$H367),1)*$H367),"")</f>
        <v/>
      </c>
      <c r="Z367" s="41">
        <f>IFERROR(IF(Y367=0,"",ROUNDUP(Y367/H367,0)*0.00651),"")</f>
        <v/>
      </c>
      <c r="AA367" s="68" t="inlineStr"/>
      <c r="AB367" s="69" t="inlineStr"/>
      <c r="AC367" s="452" t="inlineStr">
        <is>
          <t>ЕАЭС N RU Д-RU.РА01.В.41891/22, ЕАЭС N RU Д-RU.РА02.В.59556/22, ЕАЭС N RU Д-RU.РА04.В.49333/24</t>
        </is>
      </c>
      <c r="AG367" s="78" t="n"/>
      <c r="AJ367" s="84" t="inlineStr"/>
      <c r="AK367" s="84" t="n">
        <v>0</v>
      </c>
      <c r="BB367" s="453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37.5" customHeight="1">
      <c r="A368" s="63" t="inlineStr">
        <is>
          <t>SU001763</t>
        </is>
      </c>
      <c r="B368" s="63" t="inlineStr">
        <is>
          <t>P002206</t>
        </is>
      </c>
      <c r="C368" s="36" t="n">
        <v>4301051130</v>
      </c>
      <c r="D368" s="832" t="n">
        <v>4607091387537</v>
      </c>
      <c r="E368" s="1193" t="n"/>
      <c r="F368" s="1232" t="n">
        <v>0.45</v>
      </c>
      <c r="G368" s="37" t="n">
        <v>6</v>
      </c>
      <c r="H368" s="1232" t="n">
        <v>2.7</v>
      </c>
      <c r="I368" s="1232" t="n">
        <v>2.97</v>
      </c>
      <c r="J368" s="37" t="n">
        <v>182</v>
      </c>
      <c r="K368" s="37" t="inlineStr">
        <is>
          <t>14</t>
        </is>
      </c>
      <c r="L368" s="37" t="inlineStr"/>
      <c r="M368" s="38" t="inlineStr">
        <is>
          <t>СК2</t>
        </is>
      </c>
      <c r="N368" s="38" t="n"/>
      <c r="O368" s="37" t="n">
        <v>40</v>
      </c>
      <c r="P368" s="14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68" s="1234" t="n"/>
      <c r="R368" s="1234" t="n"/>
      <c r="S368" s="1234" t="n"/>
      <c r="T368" s="1235" t="n"/>
      <c r="U368" s="39" t="inlineStr"/>
      <c r="V368" s="39" t="inlineStr"/>
      <c r="W368" s="40" t="inlineStr">
        <is>
          <t>кг</t>
        </is>
      </c>
      <c r="X368" s="1236" t="n">
        <v>0</v>
      </c>
      <c r="Y368" s="1237">
        <f>IFERROR(IF(X368="",0,CEILING((X368/$H368),1)*$H368),"")</f>
        <v/>
      </c>
      <c r="Z368" s="41">
        <f>IFERROR(IF(Y368=0,"",ROUNDUP(Y368/H368,0)*0.00651),"")</f>
        <v/>
      </c>
      <c r="AA368" s="68" t="inlineStr"/>
      <c r="AB368" s="69" t="inlineStr"/>
      <c r="AC368" s="454" t="inlineStr">
        <is>
          <t>ЕАЭС N RU Д-RU.АБ75.В.00420/19, ЕАЭС N RU Д-RU.РА02.В.59549/22, ЕАЭС № RU Д-RU.АБ75.В.00703/19</t>
        </is>
      </c>
      <c r="AG368" s="78" t="n"/>
      <c r="AJ368" s="84" t="inlineStr"/>
      <c r="AK368" s="84" t="n">
        <v>0</v>
      </c>
      <c r="BB368" s="455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48" customHeight="1">
      <c r="A369" s="63" t="inlineStr">
        <is>
          <t>SU001762</t>
        </is>
      </c>
      <c r="B369" s="63" t="inlineStr">
        <is>
          <t>P002208</t>
        </is>
      </c>
      <c r="C369" s="36" t="n">
        <v>4301051132</v>
      </c>
      <c r="D369" s="832" t="n">
        <v>4607091387513</v>
      </c>
      <c r="E369" s="1193" t="n"/>
      <c r="F369" s="1232" t="n">
        <v>0.45</v>
      </c>
      <c r="G369" s="37" t="n">
        <v>6</v>
      </c>
      <c r="H369" s="1232" t="n">
        <v>2.7</v>
      </c>
      <c r="I369" s="1232" t="n">
        <v>2.958</v>
      </c>
      <c r="J369" s="37" t="n">
        <v>182</v>
      </c>
      <c r="K369" s="37" t="inlineStr">
        <is>
          <t>14</t>
        </is>
      </c>
      <c r="L369" s="37" t="inlineStr"/>
      <c r="M369" s="38" t="inlineStr">
        <is>
          <t>СК2</t>
        </is>
      </c>
      <c r="N369" s="38" t="n"/>
      <c r="O369" s="37" t="n">
        <v>40</v>
      </c>
      <c r="P369" s="14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69" s="1234" t="n"/>
      <c r="R369" s="1234" t="n"/>
      <c r="S369" s="1234" t="n"/>
      <c r="T369" s="1235" t="n"/>
      <c r="U369" s="39" t="inlineStr"/>
      <c r="V369" s="39" t="inlineStr"/>
      <c r="W369" s="40" t="inlineStr">
        <is>
          <t>кг</t>
        </is>
      </c>
      <c r="X369" s="1236" t="n">
        <v>0</v>
      </c>
      <c r="Y369" s="1237">
        <f>IFERROR(IF(X369="",0,CEILING((X369/$H369),1)*$H369),"")</f>
        <v/>
      </c>
      <c r="Z369" s="41">
        <f>IFERROR(IF(Y369=0,"",ROUNDUP(Y369/H369,0)*0.00651),"")</f>
        <v/>
      </c>
      <c r="AA369" s="68" t="inlineStr"/>
      <c r="AB369" s="69" t="inlineStr"/>
      <c r="AC369" s="456" t="inlineStr">
        <is>
          <t>ЕАЭС N RU Д-RU.АБ75.В.00420/19, ЕАЭС N RU Д-RU.РА02.В.59684/22, ЕАЭС N RU Д-RU.РА10.В.11265/24, ЕАЭС № RU Д-RU.АБ75.В.00704/19</t>
        </is>
      </c>
      <c r="AG369" s="78" t="n"/>
      <c r="AJ369" s="84" t="inlineStr"/>
      <c r="AK369" s="84" t="n">
        <v>0</v>
      </c>
      <c r="BB369" s="457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>
      <c r="A370" s="843" t="n"/>
      <c r="B370" s="1182" t="n"/>
      <c r="C370" s="1182" t="n"/>
      <c r="D370" s="1182" t="n"/>
      <c r="E370" s="1182" t="n"/>
      <c r="F370" s="1182" t="n"/>
      <c r="G370" s="1182" t="n"/>
      <c r="H370" s="1182" t="n"/>
      <c r="I370" s="1182" t="n"/>
      <c r="J370" s="1182" t="n"/>
      <c r="K370" s="1182" t="n"/>
      <c r="L370" s="1182" t="n"/>
      <c r="M370" s="1182" t="n"/>
      <c r="N370" s="1182" t="n"/>
      <c r="O370" s="1241" t="n"/>
      <c r="P370" s="1242" t="inlineStr">
        <is>
          <t>Итого</t>
        </is>
      </c>
      <c r="Q370" s="1201" t="n"/>
      <c r="R370" s="1201" t="n"/>
      <c r="S370" s="1201" t="n"/>
      <c r="T370" s="1201" t="n"/>
      <c r="U370" s="1201" t="n"/>
      <c r="V370" s="1202" t="n"/>
      <c r="W370" s="42" t="inlineStr">
        <is>
          <t>кор</t>
        </is>
      </c>
      <c r="X370" s="1243">
        <f>IFERROR(X364/H364,"0")+IFERROR(X365/H365,"0")+IFERROR(X366/H366,"0")+IFERROR(X367/H367,"0")+IFERROR(X368/H368,"0")+IFERROR(X369/H369,"0")</f>
        <v/>
      </c>
      <c r="Y370" s="1243">
        <f>IFERROR(Y364/H364,"0")+IFERROR(Y365/H365,"0")+IFERROR(Y366/H366,"0")+IFERROR(Y367/H367,"0")+IFERROR(Y368/H368,"0")+IFERROR(Y369/H369,"0")</f>
        <v/>
      </c>
      <c r="Z370" s="1243">
        <f>IFERROR(IF(Z364="",0,Z364),"0")+IFERROR(IF(Z365="",0,Z365),"0")+IFERROR(IF(Z366="",0,Z366),"0")+IFERROR(IF(Z367="",0,Z367),"0")+IFERROR(IF(Z368="",0,Z368),"0")+IFERROR(IF(Z369="",0,Z369),"0")</f>
        <v/>
      </c>
      <c r="AA370" s="1244" t="n"/>
      <c r="AB370" s="1244" t="n"/>
      <c r="AC370" s="1244" t="n"/>
    </row>
    <row r="371">
      <c r="A371" s="1182" t="n"/>
      <c r="B371" s="1182" t="n"/>
      <c r="C371" s="1182" t="n"/>
      <c r="D371" s="1182" t="n"/>
      <c r="E371" s="1182" t="n"/>
      <c r="F371" s="1182" t="n"/>
      <c r="G371" s="1182" t="n"/>
      <c r="H371" s="1182" t="n"/>
      <c r="I371" s="1182" t="n"/>
      <c r="J371" s="1182" t="n"/>
      <c r="K371" s="1182" t="n"/>
      <c r="L371" s="1182" t="n"/>
      <c r="M371" s="1182" t="n"/>
      <c r="N371" s="1182" t="n"/>
      <c r="O371" s="1241" t="n"/>
      <c r="P371" s="1242" t="inlineStr">
        <is>
          <t>Итого</t>
        </is>
      </c>
      <c r="Q371" s="1201" t="n"/>
      <c r="R371" s="1201" t="n"/>
      <c r="S371" s="1201" t="n"/>
      <c r="T371" s="1201" t="n"/>
      <c r="U371" s="1201" t="n"/>
      <c r="V371" s="1202" t="n"/>
      <c r="W371" s="42" t="inlineStr">
        <is>
          <t>кг</t>
        </is>
      </c>
      <c r="X371" s="1243">
        <f>IFERROR(SUM(X364:X369),"0")</f>
        <v/>
      </c>
      <c r="Y371" s="1243">
        <f>IFERROR(SUM(Y364:Y369),"0")</f>
        <v/>
      </c>
      <c r="Z371" s="42" t="n"/>
      <c r="AA371" s="1244" t="n"/>
      <c r="AB371" s="1244" t="n"/>
      <c r="AC371" s="1244" t="n"/>
    </row>
    <row r="372" ht="14.25" customHeight="1">
      <c r="A372" s="831" t="inlineStr">
        <is>
          <t>Сардельки</t>
        </is>
      </c>
      <c r="B372" s="1182" t="n"/>
      <c r="C372" s="1182" t="n"/>
      <c r="D372" s="1182" t="n"/>
      <c r="E372" s="1182" t="n"/>
      <c r="F372" s="1182" t="n"/>
      <c r="G372" s="1182" t="n"/>
      <c r="H372" s="1182" t="n"/>
      <c r="I372" s="1182" t="n"/>
      <c r="J372" s="1182" t="n"/>
      <c r="K372" s="1182" t="n"/>
      <c r="L372" s="1182" t="n"/>
      <c r="M372" s="1182" t="n"/>
      <c r="N372" s="1182" t="n"/>
      <c r="O372" s="1182" t="n"/>
      <c r="P372" s="1182" t="n"/>
      <c r="Q372" s="1182" t="n"/>
      <c r="R372" s="1182" t="n"/>
      <c r="S372" s="1182" t="n"/>
      <c r="T372" s="1182" t="n"/>
      <c r="U372" s="1182" t="n"/>
      <c r="V372" s="1182" t="n"/>
      <c r="W372" s="1182" t="n"/>
      <c r="X372" s="1182" t="n"/>
      <c r="Y372" s="1182" t="n"/>
      <c r="Z372" s="1182" t="n"/>
      <c r="AA372" s="831" t="n"/>
      <c r="AB372" s="831" t="n"/>
      <c r="AC372" s="831" t="n"/>
    </row>
    <row r="373" ht="37.5" customHeight="1">
      <c r="A373" s="63" t="inlineStr">
        <is>
          <t>SU001051</t>
        </is>
      </c>
      <c r="B373" s="63" t="inlineStr">
        <is>
          <t>P003997</t>
        </is>
      </c>
      <c r="C373" s="36" t="n">
        <v>4301060379</v>
      </c>
      <c r="D373" s="832" t="n">
        <v>4607091380880</v>
      </c>
      <c r="E373" s="1193" t="n"/>
      <c r="F373" s="1232" t="n">
        <v>1.4</v>
      </c>
      <c r="G373" s="37" t="n">
        <v>6</v>
      </c>
      <c r="H373" s="1232" t="n">
        <v>8.4</v>
      </c>
      <c r="I373" s="1232" t="n">
        <v>8.919</v>
      </c>
      <c r="J373" s="37" t="n">
        <v>64</v>
      </c>
      <c r="K373" s="37" t="inlineStr">
        <is>
          <t>8</t>
        </is>
      </c>
      <c r="L373" s="37" t="inlineStr"/>
      <c r="M373" s="38" t="inlineStr">
        <is>
          <t>СК2</t>
        </is>
      </c>
      <c r="N373" s="38" t="n"/>
      <c r="O373" s="37" t="n">
        <v>30</v>
      </c>
      <c r="P373" s="1427">
        <f>HYPERLINK("https://abi.ru/products/Охлажденные/Стародворье/Бордо/Сардельки/P003997/","Сардельки «Нежные» Весовые NDX мгс ТМ «Стародворье»")</f>
        <v/>
      </c>
      <c r="Q373" s="1234" t="n"/>
      <c r="R373" s="1234" t="n"/>
      <c r="S373" s="1234" t="n"/>
      <c r="T373" s="1235" t="n"/>
      <c r="U373" s="39" t="inlineStr"/>
      <c r="V373" s="39" t="inlineStr"/>
      <c r="W373" s="40" t="inlineStr">
        <is>
          <t>кг</t>
        </is>
      </c>
      <c r="X373" s="1236" t="n">
        <v>10</v>
      </c>
      <c r="Y373" s="1237">
        <f>IFERROR(IF(X373="",0,CEILING((X373/$H373),1)*$H373),"")</f>
        <v/>
      </c>
      <c r="Z373" s="41">
        <f>IFERROR(IF(Y373=0,"",ROUNDUP(Y373/H373,0)*0.01898),"")</f>
        <v/>
      </c>
      <c r="AA373" s="68" t="inlineStr"/>
      <c r="AB373" s="69" t="inlineStr"/>
      <c r="AC373" s="458" t="inlineStr">
        <is>
          <t>ЕАЭС N RU Д-RU.РА01.В.99293/24, ЕАЭС N RU Д-RU.РА01.В.99372/24, ЕАЭС N RU Д-RU.РА01.В.99458/24</t>
        </is>
      </c>
      <c r="AG373" s="78" t="n"/>
      <c r="AJ373" s="84" t="inlineStr"/>
      <c r="AK373" s="84" t="n">
        <v>0</v>
      </c>
      <c r="BB373" s="459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 ht="37.5" customHeight="1">
      <c r="A374" s="63" t="inlineStr">
        <is>
          <t>SU000227</t>
        </is>
      </c>
      <c r="B374" s="63" t="inlineStr">
        <is>
          <t>P002536</t>
        </is>
      </c>
      <c r="C374" s="36" t="n">
        <v>4301060308</v>
      </c>
      <c r="D374" s="832" t="n">
        <v>4607091384482</v>
      </c>
      <c r="E374" s="1193" t="n"/>
      <c r="F374" s="1232" t="n">
        <v>1.3</v>
      </c>
      <c r="G374" s="37" t="n">
        <v>6</v>
      </c>
      <c r="H374" s="1232" t="n">
        <v>7.8</v>
      </c>
      <c r="I374" s="1232" t="n">
        <v>8.319000000000001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30</v>
      </c>
      <c r="P374" s="142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74" s="1234" t="n"/>
      <c r="R374" s="1234" t="n"/>
      <c r="S374" s="1234" t="n"/>
      <c r="T374" s="1235" t="n"/>
      <c r="U374" s="39" t="inlineStr"/>
      <c r="V374" s="39" t="inlineStr"/>
      <c r="W374" s="40" t="inlineStr">
        <is>
          <t>кг</t>
        </is>
      </c>
      <c r="X374" s="1236" t="n">
        <v>200</v>
      </c>
      <c r="Y374" s="1237">
        <f>IFERROR(IF(X374="",0,CEILING((X374/$H374),1)*$H374),"")</f>
        <v/>
      </c>
      <c r="Z374" s="41">
        <f>IFERROR(IF(Y374=0,"",ROUNDUP(Y374/H374,0)*0.01898),"")</f>
        <v/>
      </c>
      <c r="AA374" s="68" t="inlineStr"/>
      <c r="AB374" s="69" t="inlineStr"/>
      <c r="AC374" s="460" t="inlineStr">
        <is>
          <t>ЕАЭС N RU Д-RU.РА01.В.44476/21, ЕАЭС N RU Д-RU.РА03.В.18017/24, ЕАЭС N RU Д-RU.РА03.В.24110/24</t>
        </is>
      </c>
      <c r="AG374" s="78" t="n"/>
      <c r="AJ374" s="84" t="inlineStr"/>
      <c r="AK374" s="84" t="n">
        <v>0</v>
      </c>
      <c r="BB374" s="461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16.5" customHeight="1">
      <c r="A375" s="63" t="inlineStr">
        <is>
          <t>SU001430</t>
        </is>
      </c>
      <c r="B375" s="63" t="inlineStr">
        <is>
          <t>P002036</t>
        </is>
      </c>
      <c r="C375" s="36" t="n">
        <v>4301060325</v>
      </c>
      <c r="D375" s="832" t="n">
        <v>4607091380897</v>
      </c>
      <c r="E375" s="1193" t="n"/>
      <c r="F375" s="1232" t="n">
        <v>1.4</v>
      </c>
      <c r="G375" s="37" t="n">
        <v>6</v>
      </c>
      <c r="H375" s="1232" t="n">
        <v>8.4</v>
      </c>
      <c r="I375" s="1232" t="n">
        <v>8.919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30</v>
      </c>
      <c r="P375" s="1429">
        <f>HYPERLINK("https://abi.ru/products/Охлажденные/Стародворье/Бордо/Сардельки/P002036/","Сардельки Шпикачки Бордо Весовые NDX мгс Стародворье")</f>
        <v/>
      </c>
      <c r="Q375" s="1234" t="n"/>
      <c r="R375" s="1234" t="n"/>
      <c r="S375" s="1234" t="n"/>
      <c r="T375" s="1235" t="n"/>
      <c r="U375" s="39" t="inlineStr"/>
      <c r="V375" s="39" t="inlineStr"/>
      <c r="W375" s="40" t="inlineStr">
        <is>
          <t>кг</t>
        </is>
      </c>
      <c r="X375" s="1236" t="n">
        <v>0</v>
      </c>
      <c r="Y375" s="1237">
        <f>IFERROR(IF(X375="",0,CEILING((X375/$H375),1)*$H375),"")</f>
        <v/>
      </c>
      <c r="Z375" s="41">
        <f>IFERROR(IF(Y375=0,"",ROUNDUP(Y375/H375,0)*0.01898),"")</f>
        <v/>
      </c>
      <c r="AA375" s="68" t="inlineStr"/>
      <c r="AB375" s="69" t="inlineStr"/>
      <c r="AC375" s="462" t="inlineStr">
        <is>
          <t>ЕАЭС N RU Д-RU.РА03.В.16871/22</t>
        </is>
      </c>
      <c r="AG375" s="78" t="n"/>
      <c r="AJ375" s="84" t="inlineStr"/>
      <c r="AK375" s="84" t="n">
        <v>0</v>
      </c>
      <c r="BB375" s="463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 ht="16.5" customHeight="1">
      <c r="A376" s="63" t="inlineStr">
        <is>
          <t>SU001430</t>
        </is>
      </c>
      <c r="B376" s="63" t="inlineStr">
        <is>
          <t>P004913</t>
        </is>
      </c>
      <c r="C376" s="36" t="n">
        <v>4301060484</v>
      </c>
      <c r="D376" s="832" t="n">
        <v>4607091380897</v>
      </c>
      <c r="E376" s="1193" t="n"/>
      <c r="F376" s="1232" t="n">
        <v>1.4</v>
      </c>
      <c r="G376" s="37" t="n">
        <v>6</v>
      </c>
      <c r="H376" s="1232" t="n">
        <v>8.4</v>
      </c>
      <c r="I376" s="1232" t="n">
        <v>8.919</v>
      </c>
      <c r="J376" s="37" t="n">
        <v>64</v>
      </c>
      <c r="K376" s="37" t="inlineStr">
        <is>
          <t>8</t>
        </is>
      </c>
      <c r="L376" s="37" t="inlineStr"/>
      <c r="M376" s="38" t="inlineStr">
        <is>
          <t>СК4</t>
        </is>
      </c>
      <c r="N376" s="38" t="n"/>
      <c r="O376" s="37" t="n">
        <v>30</v>
      </c>
      <c r="P376" s="1430" t="inlineStr">
        <is>
          <t>Сардельки «Шпикачки Стародворские» Весовой NDX ТМ «Стародворье»</t>
        </is>
      </c>
      <c r="Q376" s="1234" t="n"/>
      <c r="R376" s="1234" t="n"/>
      <c r="S376" s="1234" t="n"/>
      <c r="T376" s="1235" t="n"/>
      <c r="U376" s="39" t="inlineStr"/>
      <c r="V376" s="39" t="inlineStr"/>
      <c r="W376" s="40" t="inlineStr">
        <is>
          <t>кг</t>
        </is>
      </c>
      <c r="X376" s="1236" t="n">
        <v>0</v>
      </c>
      <c r="Y376" s="1237">
        <f>IFERROR(IF(X376="",0,CEILING((X376/$H376),1)*$H376),"")</f>
        <v/>
      </c>
      <c r="Z376" s="41">
        <f>IFERROR(IF(Y376=0,"",ROUNDUP(Y376/H376,0)*0.01898),"")</f>
        <v/>
      </c>
      <c r="AA376" s="68" t="inlineStr"/>
      <c r="AB376" s="69" t="inlineStr"/>
      <c r="AC376" s="464" t="inlineStr">
        <is>
          <t>ЕАЭС N RU Д-RU.РА10.В.28304/24</t>
        </is>
      </c>
      <c r="AG376" s="78" t="n"/>
      <c r="AJ376" s="84" t="inlineStr"/>
      <c r="AK376" s="84" t="n">
        <v>0</v>
      </c>
      <c r="BB376" s="465" t="inlineStr">
        <is>
          <t>КИ</t>
        </is>
      </c>
      <c r="BM376" s="78">
        <f>IFERROR(X376*I376/H376,"0")</f>
        <v/>
      </c>
      <c r="BN376" s="78">
        <f>IFERROR(Y376*I376/H376,"0")</f>
        <v/>
      </c>
      <c r="BO376" s="78">
        <f>IFERROR(1/J376*(X376/H376),"0")</f>
        <v/>
      </c>
      <c r="BP376" s="78">
        <f>IFERROR(1/J376*(Y376/H376),"0")</f>
        <v/>
      </c>
    </row>
    <row r="377">
      <c r="A377" s="843" t="n"/>
      <c r="B377" s="1182" t="n"/>
      <c r="C377" s="1182" t="n"/>
      <c r="D377" s="1182" t="n"/>
      <c r="E377" s="1182" t="n"/>
      <c r="F377" s="1182" t="n"/>
      <c r="G377" s="1182" t="n"/>
      <c r="H377" s="1182" t="n"/>
      <c r="I377" s="1182" t="n"/>
      <c r="J377" s="1182" t="n"/>
      <c r="K377" s="1182" t="n"/>
      <c r="L377" s="1182" t="n"/>
      <c r="M377" s="1182" t="n"/>
      <c r="N377" s="1182" t="n"/>
      <c r="O377" s="1241" t="n"/>
      <c r="P377" s="1242" t="inlineStr">
        <is>
          <t>Итого</t>
        </is>
      </c>
      <c r="Q377" s="1201" t="n"/>
      <c r="R377" s="1201" t="n"/>
      <c r="S377" s="1201" t="n"/>
      <c r="T377" s="1201" t="n"/>
      <c r="U377" s="1201" t="n"/>
      <c r="V377" s="1202" t="n"/>
      <c r="W377" s="42" t="inlineStr">
        <is>
          <t>кор</t>
        </is>
      </c>
      <c r="X377" s="1243">
        <f>IFERROR(X373/H373,"0")+IFERROR(X374/H374,"0")+IFERROR(X375/H375,"0")+IFERROR(X376/H376,"0")</f>
        <v/>
      </c>
      <c r="Y377" s="1243">
        <f>IFERROR(Y373/H373,"0")+IFERROR(Y374/H374,"0")+IFERROR(Y375/H375,"0")+IFERROR(Y376/H376,"0")</f>
        <v/>
      </c>
      <c r="Z377" s="1243">
        <f>IFERROR(IF(Z373="",0,Z373),"0")+IFERROR(IF(Z374="",0,Z374),"0")+IFERROR(IF(Z375="",0,Z375),"0")+IFERROR(IF(Z376="",0,Z376),"0")</f>
        <v/>
      </c>
      <c r="AA377" s="1244" t="n"/>
      <c r="AB377" s="1244" t="n"/>
      <c r="AC377" s="1244" t="n"/>
    </row>
    <row r="378">
      <c r="A378" s="1182" t="n"/>
      <c r="B378" s="1182" t="n"/>
      <c r="C378" s="1182" t="n"/>
      <c r="D378" s="1182" t="n"/>
      <c r="E378" s="1182" t="n"/>
      <c r="F378" s="1182" t="n"/>
      <c r="G378" s="1182" t="n"/>
      <c r="H378" s="1182" t="n"/>
      <c r="I378" s="1182" t="n"/>
      <c r="J378" s="1182" t="n"/>
      <c r="K378" s="1182" t="n"/>
      <c r="L378" s="1182" t="n"/>
      <c r="M378" s="1182" t="n"/>
      <c r="N378" s="1182" t="n"/>
      <c r="O378" s="1241" t="n"/>
      <c r="P378" s="1242" t="inlineStr">
        <is>
          <t>Итого</t>
        </is>
      </c>
      <c r="Q378" s="1201" t="n"/>
      <c r="R378" s="1201" t="n"/>
      <c r="S378" s="1201" t="n"/>
      <c r="T378" s="1201" t="n"/>
      <c r="U378" s="1201" t="n"/>
      <c r="V378" s="1202" t="n"/>
      <c r="W378" s="42" t="inlineStr">
        <is>
          <t>кг</t>
        </is>
      </c>
      <c r="X378" s="1243">
        <f>IFERROR(SUM(X373:X376),"0")</f>
        <v/>
      </c>
      <c r="Y378" s="1243">
        <f>IFERROR(SUM(Y373:Y376),"0")</f>
        <v/>
      </c>
      <c r="Z378" s="42" t="n"/>
      <c r="AA378" s="1244" t="n"/>
      <c r="AB378" s="1244" t="n"/>
      <c r="AC378" s="1244" t="n"/>
    </row>
    <row r="379" ht="14.25" customHeight="1">
      <c r="A379" s="831" t="inlineStr">
        <is>
          <t>Сырокопченые колбасы</t>
        </is>
      </c>
      <c r="B379" s="1182" t="n"/>
      <c r="C379" s="1182" t="n"/>
      <c r="D379" s="1182" t="n"/>
      <c r="E379" s="1182" t="n"/>
      <c r="F379" s="1182" t="n"/>
      <c r="G379" s="1182" t="n"/>
      <c r="H379" s="1182" t="n"/>
      <c r="I379" s="1182" t="n"/>
      <c r="J379" s="1182" t="n"/>
      <c r="K379" s="1182" t="n"/>
      <c r="L379" s="1182" t="n"/>
      <c r="M379" s="1182" t="n"/>
      <c r="N379" s="1182" t="n"/>
      <c r="O379" s="1182" t="n"/>
      <c r="P379" s="1182" t="n"/>
      <c r="Q379" s="1182" t="n"/>
      <c r="R379" s="1182" t="n"/>
      <c r="S379" s="1182" t="n"/>
      <c r="T379" s="1182" t="n"/>
      <c r="U379" s="1182" t="n"/>
      <c r="V379" s="1182" t="n"/>
      <c r="W379" s="1182" t="n"/>
      <c r="X379" s="1182" t="n"/>
      <c r="Y379" s="1182" t="n"/>
      <c r="Z379" s="1182" t="n"/>
      <c r="AA379" s="831" t="n"/>
      <c r="AB379" s="831" t="n"/>
      <c r="AC379" s="831" t="n"/>
    </row>
    <row r="380" ht="16.5" customHeight="1">
      <c r="A380" s="63" t="inlineStr">
        <is>
          <t>SU001920</t>
        </is>
      </c>
      <c r="B380" s="63" t="inlineStr">
        <is>
          <t>P001900</t>
        </is>
      </c>
      <c r="C380" s="36" t="n">
        <v>4301030232</v>
      </c>
      <c r="D380" s="832" t="n">
        <v>4607091388374</v>
      </c>
      <c r="E380" s="1193" t="n"/>
      <c r="F380" s="1232" t="n">
        <v>0.38</v>
      </c>
      <c r="G380" s="37" t="n">
        <v>8</v>
      </c>
      <c r="H380" s="1232" t="n">
        <v>3.04</v>
      </c>
      <c r="I380" s="1232" t="n">
        <v>3.29</v>
      </c>
      <c r="J380" s="37" t="n">
        <v>132</v>
      </c>
      <c r="K380" s="37" t="inlineStr">
        <is>
          <t>12</t>
        </is>
      </c>
      <c r="L380" s="37" t="inlineStr"/>
      <c r="M380" s="38" t="inlineStr">
        <is>
          <t>АК</t>
        </is>
      </c>
      <c r="N380" s="38" t="n"/>
      <c r="O380" s="37" t="n">
        <v>180</v>
      </c>
      <c r="P380" s="1431" t="inlineStr">
        <is>
          <t>С/к колбасы Княжеская Бордо Весовые б/о терм/п Стародворье</t>
        </is>
      </c>
      <c r="Q380" s="1234" t="n"/>
      <c r="R380" s="1234" t="n"/>
      <c r="S380" s="1234" t="n"/>
      <c r="T380" s="1235" t="n"/>
      <c r="U380" s="39" t="inlineStr"/>
      <c r="V380" s="39" t="inlineStr"/>
      <c r="W380" s="40" t="inlineStr">
        <is>
          <t>кг</t>
        </is>
      </c>
      <c r="X380" s="1236" t="n">
        <v>0</v>
      </c>
      <c r="Y380" s="1237">
        <f>IFERROR(IF(X380="",0,CEILING((X380/$H380),1)*$H380),"")</f>
        <v/>
      </c>
      <c r="Z380" s="41">
        <f>IFERROR(IF(Y380=0,"",ROUNDUP(Y380/H380,0)*0.00902),"")</f>
        <v/>
      </c>
      <c r="AA380" s="68" t="inlineStr"/>
      <c r="AB380" s="69" t="inlineStr"/>
      <c r="AC380" s="466" t="inlineStr">
        <is>
          <t>ЕАЭС N RU Д-RU.РА01.В.91379</t>
        </is>
      </c>
      <c r="AG380" s="78" t="n"/>
      <c r="AJ380" s="84" t="inlineStr"/>
      <c r="AK380" s="84" t="n">
        <v>0</v>
      </c>
      <c r="BB380" s="467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27" customHeight="1">
      <c r="A381" s="63" t="inlineStr">
        <is>
          <t>SU001921</t>
        </is>
      </c>
      <c r="B381" s="63" t="inlineStr">
        <is>
          <t>P001916</t>
        </is>
      </c>
      <c r="C381" s="36" t="n">
        <v>4301030235</v>
      </c>
      <c r="D381" s="832" t="n">
        <v>4607091388381</v>
      </c>
      <c r="E381" s="1193" t="n"/>
      <c r="F381" s="1232" t="n">
        <v>0.38</v>
      </c>
      <c r="G381" s="37" t="n">
        <v>8</v>
      </c>
      <c r="H381" s="1232" t="n">
        <v>3.04</v>
      </c>
      <c r="I381" s="1232" t="n">
        <v>3.33</v>
      </c>
      <c r="J381" s="37" t="n">
        <v>132</v>
      </c>
      <c r="K381" s="37" t="inlineStr">
        <is>
          <t>12</t>
        </is>
      </c>
      <c r="L381" s="37" t="inlineStr"/>
      <c r="M381" s="38" t="inlineStr">
        <is>
          <t>АК</t>
        </is>
      </c>
      <c r="N381" s="38" t="n"/>
      <c r="O381" s="37" t="n">
        <v>180</v>
      </c>
      <c r="P381" s="1432" t="inlineStr">
        <is>
          <t>С/к колбасы Салями Охотничья Бордо Весовые б/о терм/п 180 Стародворье</t>
        </is>
      </c>
      <c r="Q381" s="1234" t="n"/>
      <c r="R381" s="1234" t="n"/>
      <c r="S381" s="1234" t="n"/>
      <c r="T381" s="1235" t="n"/>
      <c r="U381" s="39" t="inlineStr"/>
      <c r="V381" s="39" t="inlineStr"/>
      <c r="W381" s="40" t="inlineStr">
        <is>
          <t>кг</t>
        </is>
      </c>
      <c r="X381" s="1236" t="n">
        <v>0</v>
      </c>
      <c r="Y381" s="1237">
        <f>IFERROR(IF(X381="",0,CEILING((X381/$H381),1)*$H381),"")</f>
        <v/>
      </c>
      <c r="Z381" s="41">
        <f>IFERROR(IF(Y381=0,"",ROUNDUP(Y381/H381,0)*0.00902),"")</f>
        <v/>
      </c>
      <c r="AA381" s="68" t="inlineStr"/>
      <c r="AB381" s="69" t="inlineStr"/>
      <c r="AC381" s="468" t="inlineStr">
        <is>
          <t>ЕАЭС N RU Д-RU.РА01.В.91379</t>
        </is>
      </c>
      <c r="AG381" s="78" t="n"/>
      <c r="AJ381" s="84" t="inlineStr"/>
      <c r="AK381" s="84" t="n">
        <v>0</v>
      </c>
      <c r="BB381" s="469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27" customHeight="1">
      <c r="A382" s="63" t="inlineStr">
        <is>
          <t>SU002092</t>
        </is>
      </c>
      <c r="B382" s="63" t="inlineStr">
        <is>
          <t>P002290</t>
        </is>
      </c>
      <c r="C382" s="36" t="n">
        <v>4301032015</v>
      </c>
      <c r="D382" s="832" t="n">
        <v>4607091383102</v>
      </c>
      <c r="E382" s="1193" t="n"/>
      <c r="F382" s="1232" t="n">
        <v>0.17</v>
      </c>
      <c r="G382" s="37" t="n">
        <v>15</v>
      </c>
      <c r="H382" s="1232" t="n">
        <v>2.55</v>
      </c>
      <c r="I382" s="1232" t="n">
        <v>2.955</v>
      </c>
      <c r="J382" s="37" t="n">
        <v>182</v>
      </c>
      <c r="K382" s="37" t="inlineStr">
        <is>
          <t>14</t>
        </is>
      </c>
      <c r="L382" s="37" t="inlineStr"/>
      <c r="M382" s="38" t="inlineStr">
        <is>
          <t>АК</t>
        </is>
      </c>
      <c r="N382" s="38" t="n"/>
      <c r="O382" s="37" t="n">
        <v>180</v>
      </c>
      <c r="P382" s="1433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82" s="1234" t="n"/>
      <c r="R382" s="1234" t="n"/>
      <c r="S382" s="1234" t="n"/>
      <c r="T382" s="1235" t="n"/>
      <c r="U382" s="39" t="inlineStr"/>
      <c r="V382" s="39" t="inlineStr"/>
      <c r="W382" s="40" t="inlineStr">
        <is>
          <t>кг</t>
        </is>
      </c>
      <c r="X382" s="1236" t="n">
        <v>0</v>
      </c>
      <c r="Y382" s="1237">
        <f>IFERROR(IF(X382="",0,CEILING((X382/$H382),1)*$H382),"")</f>
        <v/>
      </c>
      <c r="Z382" s="41">
        <f>IFERROR(IF(Y382=0,"",ROUNDUP(Y382/H382,0)*0.00651),"")</f>
        <v/>
      </c>
      <c r="AA382" s="68" t="inlineStr"/>
      <c r="AB382" s="69" t="inlineStr"/>
      <c r="AC382" s="470" t="inlineStr">
        <is>
          <t>ЕАЭС N RU Д-RU.РА01.В.73997/20</t>
        </is>
      </c>
      <c r="AG382" s="78" t="n"/>
      <c r="AJ382" s="84" t="inlineStr"/>
      <c r="AK382" s="84" t="n">
        <v>0</v>
      </c>
      <c r="BB382" s="471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 ht="27" customHeight="1">
      <c r="A383" s="63" t="inlineStr">
        <is>
          <t>SU001869</t>
        </is>
      </c>
      <c r="B383" s="63" t="inlineStr">
        <is>
          <t>P001909</t>
        </is>
      </c>
      <c r="C383" s="36" t="n">
        <v>4301030233</v>
      </c>
      <c r="D383" s="832" t="n">
        <v>4607091388404</v>
      </c>
      <c r="E383" s="1193" t="n"/>
      <c r="F383" s="1232" t="n">
        <v>0.17</v>
      </c>
      <c r="G383" s="37" t="n">
        <v>15</v>
      </c>
      <c r="H383" s="1232" t="n">
        <v>2.55</v>
      </c>
      <c r="I383" s="1232" t="n">
        <v>2.88</v>
      </c>
      <c r="J383" s="37" t="n">
        <v>182</v>
      </c>
      <c r="K383" s="37" t="inlineStr">
        <is>
          <t>14</t>
        </is>
      </c>
      <c r="L383" s="37" t="inlineStr"/>
      <c r="M383" s="38" t="inlineStr">
        <is>
          <t>АК</t>
        </is>
      </c>
      <c r="N383" s="38" t="n"/>
      <c r="O383" s="37" t="n">
        <v>180</v>
      </c>
      <c r="P383" s="14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83" s="1234" t="n"/>
      <c r="R383" s="1234" t="n"/>
      <c r="S383" s="1234" t="n"/>
      <c r="T383" s="1235" t="n"/>
      <c r="U383" s="39" t="inlineStr"/>
      <c r="V383" s="39" t="inlineStr"/>
      <c r="W383" s="40" t="inlineStr">
        <is>
          <t>кг</t>
        </is>
      </c>
      <c r="X383" s="1236" t="n">
        <v>0</v>
      </c>
      <c r="Y383" s="1237">
        <f>IFERROR(IF(X383="",0,CEILING((X383/$H383),1)*$H383),"")</f>
        <v/>
      </c>
      <c r="Z383" s="41">
        <f>IFERROR(IF(Y383=0,"",ROUNDUP(Y383/H383,0)*0.00651),"")</f>
        <v/>
      </c>
      <c r="AA383" s="68" t="inlineStr"/>
      <c r="AB383" s="69" t="inlineStr"/>
      <c r="AC383" s="472" t="inlineStr">
        <is>
          <t>ЕАЭС N RU Д-RU.РА01.В.91379</t>
        </is>
      </c>
      <c r="AG383" s="78" t="n"/>
      <c r="AJ383" s="84" t="inlineStr"/>
      <c r="AK383" s="84" t="n">
        <v>0</v>
      </c>
      <c r="BB383" s="473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>
      <c r="A384" s="843" t="n"/>
      <c r="B384" s="1182" t="n"/>
      <c r="C384" s="1182" t="n"/>
      <c r="D384" s="1182" t="n"/>
      <c r="E384" s="1182" t="n"/>
      <c r="F384" s="1182" t="n"/>
      <c r="G384" s="1182" t="n"/>
      <c r="H384" s="1182" t="n"/>
      <c r="I384" s="1182" t="n"/>
      <c r="J384" s="1182" t="n"/>
      <c r="K384" s="1182" t="n"/>
      <c r="L384" s="1182" t="n"/>
      <c r="M384" s="1182" t="n"/>
      <c r="N384" s="1182" t="n"/>
      <c r="O384" s="1241" t="n"/>
      <c r="P384" s="1242" t="inlineStr">
        <is>
          <t>Итого</t>
        </is>
      </c>
      <c r="Q384" s="1201" t="n"/>
      <c r="R384" s="1201" t="n"/>
      <c r="S384" s="1201" t="n"/>
      <c r="T384" s="1201" t="n"/>
      <c r="U384" s="1201" t="n"/>
      <c r="V384" s="1202" t="n"/>
      <c r="W384" s="42" t="inlineStr">
        <is>
          <t>кор</t>
        </is>
      </c>
      <c r="X384" s="1243">
        <f>IFERROR(X380/H380,"0")+IFERROR(X381/H381,"0")+IFERROR(X382/H382,"0")+IFERROR(X383/H383,"0")</f>
        <v/>
      </c>
      <c r="Y384" s="1243">
        <f>IFERROR(Y380/H380,"0")+IFERROR(Y381/H381,"0")+IFERROR(Y382/H382,"0")+IFERROR(Y383/H383,"0")</f>
        <v/>
      </c>
      <c r="Z384" s="1243">
        <f>IFERROR(IF(Z380="",0,Z380),"0")+IFERROR(IF(Z381="",0,Z381),"0")+IFERROR(IF(Z382="",0,Z382),"0")+IFERROR(IF(Z383="",0,Z383),"0")</f>
        <v/>
      </c>
      <c r="AA384" s="1244" t="n"/>
      <c r="AB384" s="1244" t="n"/>
      <c r="AC384" s="1244" t="n"/>
    </row>
    <row r="385">
      <c r="A385" s="1182" t="n"/>
      <c r="B385" s="1182" t="n"/>
      <c r="C385" s="1182" t="n"/>
      <c r="D385" s="1182" t="n"/>
      <c r="E385" s="1182" t="n"/>
      <c r="F385" s="1182" t="n"/>
      <c r="G385" s="1182" t="n"/>
      <c r="H385" s="1182" t="n"/>
      <c r="I385" s="1182" t="n"/>
      <c r="J385" s="1182" t="n"/>
      <c r="K385" s="1182" t="n"/>
      <c r="L385" s="1182" t="n"/>
      <c r="M385" s="1182" t="n"/>
      <c r="N385" s="1182" t="n"/>
      <c r="O385" s="1241" t="n"/>
      <c r="P385" s="1242" t="inlineStr">
        <is>
          <t>Итого</t>
        </is>
      </c>
      <c r="Q385" s="1201" t="n"/>
      <c r="R385" s="1201" t="n"/>
      <c r="S385" s="1201" t="n"/>
      <c r="T385" s="1201" t="n"/>
      <c r="U385" s="1201" t="n"/>
      <c r="V385" s="1202" t="n"/>
      <c r="W385" s="42" t="inlineStr">
        <is>
          <t>кг</t>
        </is>
      </c>
      <c r="X385" s="1243">
        <f>IFERROR(SUM(X380:X383),"0")</f>
        <v/>
      </c>
      <c r="Y385" s="1243">
        <f>IFERROR(SUM(Y380:Y383),"0")</f>
        <v/>
      </c>
      <c r="Z385" s="42" t="n"/>
      <c r="AA385" s="1244" t="n"/>
      <c r="AB385" s="1244" t="n"/>
      <c r="AC385" s="1244" t="n"/>
    </row>
    <row r="386" ht="14.25" customHeight="1">
      <c r="A386" s="831" t="inlineStr">
        <is>
          <t>Паштеты</t>
        </is>
      </c>
      <c r="B386" s="1182" t="n"/>
      <c r="C386" s="1182" t="n"/>
      <c r="D386" s="1182" t="n"/>
      <c r="E386" s="1182" t="n"/>
      <c r="F386" s="1182" t="n"/>
      <c r="G386" s="1182" t="n"/>
      <c r="H386" s="1182" t="n"/>
      <c r="I386" s="1182" t="n"/>
      <c r="J386" s="1182" t="n"/>
      <c r="K386" s="1182" t="n"/>
      <c r="L386" s="1182" t="n"/>
      <c r="M386" s="1182" t="n"/>
      <c r="N386" s="1182" t="n"/>
      <c r="O386" s="1182" t="n"/>
      <c r="P386" s="1182" t="n"/>
      <c r="Q386" s="1182" t="n"/>
      <c r="R386" s="1182" t="n"/>
      <c r="S386" s="1182" t="n"/>
      <c r="T386" s="1182" t="n"/>
      <c r="U386" s="1182" t="n"/>
      <c r="V386" s="1182" t="n"/>
      <c r="W386" s="1182" t="n"/>
      <c r="X386" s="1182" t="n"/>
      <c r="Y386" s="1182" t="n"/>
      <c r="Z386" s="1182" t="n"/>
      <c r="AA386" s="831" t="n"/>
      <c r="AB386" s="831" t="n"/>
      <c r="AC386" s="831" t="n"/>
    </row>
    <row r="387" ht="16.5" customHeight="1">
      <c r="A387" s="63" t="inlineStr">
        <is>
          <t>SU002841</t>
        </is>
      </c>
      <c r="B387" s="63" t="inlineStr">
        <is>
          <t>P003253</t>
        </is>
      </c>
      <c r="C387" s="36" t="n">
        <v>4301180007</v>
      </c>
      <c r="D387" s="832" t="n">
        <v>4680115881808</v>
      </c>
      <c r="E387" s="1193" t="n"/>
      <c r="F387" s="1232" t="n">
        <v>0.1</v>
      </c>
      <c r="G387" s="37" t="n">
        <v>20</v>
      </c>
      <c r="H387" s="1232" t="n">
        <v>2</v>
      </c>
      <c r="I387" s="1232" t="n">
        <v>2.24</v>
      </c>
      <c r="J387" s="37" t="n">
        <v>238</v>
      </c>
      <c r="K387" s="37" t="inlineStr">
        <is>
          <t>14</t>
        </is>
      </c>
      <c r="L387" s="37" t="inlineStr"/>
      <c r="M387" s="38" t="inlineStr">
        <is>
          <t>РК</t>
        </is>
      </c>
      <c r="N387" s="38" t="n"/>
      <c r="O387" s="37" t="n">
        <v>730</v>
      </c>
      <c r="P387" s="14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87" s="1234" t="n"/>
      <c r="R387" s="1234" t="n"/>
      <c r="S387" s="1234" t="n"/>
      <c r="T387" s="1235" t="n"/>
      <c r="U387" s="39" t="inlineStr"/>
      <c r="V387" s="39" t="inlineStr"/>
      <c r="W387" s="40" t="inlineStr">
        <is>
          <t>кг</t>
        </is>
      </c>
      <c r="X387" s="1236" t="n">
        <v>0</v>
      </c>
      <c r="Y387" s="1237">
        <f>IFERROR(IF(X387="",0,CEILING((X387/$H387),1)*$H387),"")</f>
        <v/>
      </c>
      <c r="Z387" s="41">
        <f>IFERROR(IF(Y387=0,"",ROUNDUP(Y387/H387,0)*0.00474),"")</f>
        <v/>
      </c>
      <c r="AA387" s="68" t="inlineStr"/>
      <c r="AB387" s="69" t="inlineStr"/>
      <c r="AC387" s="474" t="inlineStr">
        <is>
          <t>ЕАЭС N RU Д-RU.РА04.В.53299/22</t>
        </is>
      </c>
      <c r="AG387" s="78" t="n"/>
      <c r="AJ387" s="84" t="inlineStr"/>
      <c r="AK387" s="84" t="n">
        <v>0</v>
      </c>
      <c r="BB387" s="475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 ht="27" customHeight="1">
      <c r="A388" s="63" t="inlineStr">
        <is>
          <t>SU002840</t>
        </is>
      </c>
      <c r="B388" s="63" t="inlineStr">
        <is>
          <t>P003252</t>
        </is>
      </c>
      <c r="C388" s="36" t="n">
        <v>4301180006</v>
      </c>
      <c r="D388" s="832" t="n">
        <v>4680115881822</v>
      </c>
      <c r="E388" s="1193" t="n"/>
      <c r="F388" s="1232" t="n">
        <v>0.1</v>
      </c>
      <c r="G388" s="37" t="n">
        <v>20</v>
      </c>
      <c r="H388" s="1232" t="n">
        <v>2</v>
      </c>
      <c r="I388" s="1232" t="n">
        <v>2.24</v>
      </c>
      <c r="J388" s="37" t="n">
        <v>238</v>
      </c>
      <c r="K388" s="37" t="inlineStr">
        <is>
          <t>14</t>
        </is>
      </c>
      <c r="L388" s="37" t="inlineStr"/>
      <c r="M388" s="38" t="inlineStr">
        <is>
          <t>РК</t>
        </is>
      </c>
      <c r="N388" s="38" t="n"/>
      <c r="O388" s="37" t="n">
        <v>730</v>
      </c>
      <c r="P388" s="14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88" s="1234" t="n"/>
      <c r="R388" s="1234" t="n"/>
      <c r="S388" s="1234" t="n"/>
      <c r="T388" s="1235" t="n"/>
      <c r="U388" s="39" t="inlineStr"/>
      <c r="V388" s="39" t="inlineStr"/>
      <c r="W388" s="40" t="inlineStr">
        <is>
          <t>кг</t>
        </is>
      </c>
      <c r="X388" s="1236" t="n">
        <v>0</v>
      </c>
      <c r="Y388" s="1237">
        <f>IFERROR(IF(X388="",0,CEILING((X388/$H388),1)*$H388),"")</f>
        <v/>
      </c>
      <c r="Z388" s="41">
        <f>IFERROR(IF(Y388=0,"",ROUNDUP(Y388/H388,0)*0.00474),"")</f>
        <v/>
      </c>
      <c r="AA388" s="68" t="inlineStr"/>
      <c r="AB388" s="69" t="inlineStr"/>
      <c r="AC388" s="476" t="inlineStr">
        <is>
          <t>ЕАЭС N RU Д-RU.РА04.В.53299/22</t>
        </is>
      </c>
      <c r="AG388" s="78" t="n"/>
      <c r="AJ388" s="84" t="inlineStr"/>
      <c r="AK388" s="84" t="n">
        <v>0</v>
      </c>
      <c r="BB388" s="477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27" customHeight="1">
      <c r="A389" s="63" t="inlineStr">
        <is>
          <t>SU002368</t>
        </is>
      </c>
      <c r="B389" s="63" t="inlineStr">
        <is>
          <t>P002648</t>
        </is>
      </c>
      <c r="C389" s="36" t="n">
        <v>4301180001</v>
      </c>
      <c r="D389" s="832" t="n">
        <v>4680115880016</v>
      </c>
      <c r="E389" s="1193" t="n"/>
      <c r="F389" s="1232" t="n">
        <v>0.1</v>
      </c>
      <c r="G389" s="37" t="n">
        <v>20</v>
      </c>
      <c r="H389" s="1232" t="n">
        <v>2</v>
      </c>
      <c r="I389" s="1232" t="n">
        <v>2.24</v>
      </c>
      <c r="J389" s="37" t="n">
        <v>238</v>
      </c>
      <c r="K389" s="37" t="inlineStr">
        <is>
          <t>14</t>
        </is>
      </c>
      <c r="L389" s="37" t="inlineStr"/>
      <c r="M389" s="38" t="inlineStr">
        <is>
          <t>РК</t>
        </is>
      </c>
      <c r="N389" s="38" t="n"/>
      <c r="O389" s="37" t="n">
        <v>730</v>
      </c>
      <c r="P389" s="14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89" s="1234" t="n"/>
      <c r="R389" s="1234" t="n"/>
      <c r="S389" s="1234" t="n"/>
      <c r="T389" s="1235" t="n"/>
      <c r="U389" s="39" t="inlineStr"/>
      <c r="V389" s="39" t="inlineStr"/>
      <c r="W389" s="40" t="inlineStr">
        <is>
          <t>кг</t>
        </is>
      </c>
      <c r="X389" s="1236" t="n">
        <v>0</v>
      </c>
      <c r="Y389" s="1237">
        <f>IFERROR(IF(X389="",0,CEILING((X389/$H389),1)*$H389),"")</f>
        <v/>
      </c>
      <c r="Z389" s="41">
        <f>IFERROR(IF(Y389=0,"",ROUNDUP(Y389/H389,0)*0.00474),"")</f>
        <v/>
      </c>
      <c r="AA389" s="68" t="inlineStr"/>
      <c r="AB389" s="69" t="inlineStr"/>
      <c r="AC389" s="478" t="inlineStr">
        <is>
          <t>ЕАЭС N RU Д-RU.РА04.В.53299/22</t>
        </is>
      </c>
      <c r="AG389" s="78" t="n"/>
      <c r="AJ389" s="84" t="inlineStr"/>
      <c r="AK389" s="84" t="n">
        <v>0</v>
      </c>
      <c r="BB389" s="479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>
      <c r="A390" s="843" t="n"/>
      <c r="B390" s="1182" t="n"/>
      <c r="C390" s="1182" t="n"/>
      <c r="D390" s="1182" t="n"/>
      <c r="E390" s="1182" t="n"/>
      <c r="F390" s="1182" t="n"/>
      <c r="G390" s="1182" t="n"/>
      <c r="H390" s="1182" t="n"/>
      <c r="I390" s="1182" t="n"/>
      <c r="J390" s="1182" t="n"/>
      <c r="K390" s="1182" t="n"/>
      <c r="L390" s="1182" t="n"/>
      <c r="M390" s="1182" t="n"/>
      <c r="N390" s="1182" t="n"/>
      <c r="O390" s="1241" t="n"/>
      <c r="P390" s="1242" t="inlineStr">
        <is>
          <t>Итого</t>
        </is>
      </c>
      <c r="Q390" s="1201" t="n"/>
      <c r="R390" s="1201" t="n"/>
      <c r="S390" s="1201" t="n"/>
      <c r="T390" s="1201" t="n"/>
      <c r="U390" s="1201" t="n"/>
      <c r="V390" s="1202" t="n"/>
      <c r="W390" s="42" t="inlineStr">
        <is>
          <t>кор</t>
        </is>
      </c>
      <c r="X390" s="1243">
        <f>IFERROR(X387/H387,"0")+IFERROR(X388/H388,"0")+IFERROR(X389/H389,"0")</f>
        <v/>
      </c>
      <c r="Y390" s="1243">
        <f>IFERROR(Y387/H387,"0")+IFERROR(Y388/H388,"0")+IFERROR(Y389/H389,"0")</f>
        <v/>
      </c>
      <c r="Z390" s="1243">
        <f>IFERROR(IF(Z387="",0,Z387),"0")+IFERROR(IF(Z388="",0,Z388),"0")+IFERROR(IF(Z389="",0,Z389),"0")</f>
        <v/>
      </c>
      <c r="AA390" s="1244" t="n"/>
      <c r="AB390" s="1244" t="n"/>
      <c r="AC390" s="1244" t="n"/>
    </row>
    <row r="391">
      <c r="A391" s="1182" t="n"/>
      <c r="B391" s="1182" t="n"/>
      <c r="C391" s="1182" t="n"/>
      <c r="D391" s="1182" t="n"/>
      <c r="E391" s="1182" t="n"/>
      <c r="F391" s="1182" t="n"/>
      <c r="G391" s="1182" t="n"/>
      <c r="H391" s="1182" t="n"/>
      <c r="I391" s="1182" t="n"/>
      <c r="J391" s="1182" t="n"/>
      <c r="K391" s="1182" t="n"/>
      <c r="L391" s="1182" t="n"/>
      <c r="M391" s="1182" t="n"/>
      <c r="N391" s="1182" t="n"/>
      <c r="O391" s="1241" t="n"/>
      <c r="P391" s="1242" t="inlineStr">
        <is>
          <t>Итого</t>
        </is>
      </c>
      <c r="Q391" s="1201" t="n"/>
      <c r="R391" s="1201" t="n"/>
      <c r="S391" s="1201" t="n"/>
      <c r="T391" s="1201" t="n"/>
      <c r="U391" s="1201" t="n"/>
      <c r="V391" s="1202" t="n"/>
      <c r="W391" s="42" t="inlineStr">
        <is>
          <t>кг</t>
        </is>
      </c>
      <c r="X391" s="1243">
        <f>IFERROR(SUM(X387:X389),"0")</f>
        <v/>
      </c>
      <c r="Y391" s="1243">
        <f>IFERROR(SUM(Y387:Y389),"0")</f>
        <v/>
      </c>
      <c r="Z391" s="42" t="n"/>
      <c r="AA391" s="1244" t="n"/>
      <c r="AB391" s="1244" t="n"/>
      <c r="AC391" s="1244" t="n"/>
    </row>
    <row r="392" ht="16.5" customHeight="1">
      <c r="A392" s="830" t="inlineStr">
        <is>
          <t>Бавария</t>
        </is>
      </c>
      <c r="B392" s="1182" t="n"/>
      <c r="C392" s="1182" t="n"/>
      <c r="D392" s="1182" t="n"/>
      <c r="E392" s="1182" t="n"/>
      <c r="F392" s="1182" t="n"/>
      <c r="G392" s="1182" t="n"/>
      <c r="H392" s="1182" t="n"/>
      <c r="I392" s="1182" t="n"/>
      <c r="J392" s="1182" t="n"/>
      <c r="K392" s="1182" t="n"/>
      <c r="L392" s="1182" t="n"/>
      <c r="M392" s="1182" t="n"/>
      <c r="N392" s="1182" t="n"/>
      <c r="O392" s="1182" t="n"/>
      <c r="P392" s="1182" t="n"/>
      <c r="Q392" s="1182" t="n"/>
      <c r="R392" s="1182" t="n"/>
      <c r="S392" s="1182" t="n"/>
      <c r="T392" s="1182" t="n"/>
      <c r="U392" s="1182" t="n"/>
      <c r="V392" s="1182" t="n"/>
      <c r="W392" s="1182" t="n"/>
      <c r="X392" s="1182" t="n"/>
      <c r="Y392" s="1182" t="n"/>
      <c r="Z392" s="1182" t="n"/>
      <c r="AA392" s="830" t="n"/>
      <c r="AB392" s="830" t="n"/>
      <c r="AC392" s="830" t="n"/>
    </row>
    <row r="393" ht="14.25" customHeight="1">
      <c r="A393" s="831" t="inlineStr">
        <is>
          <t>Копченые колбасы</t>
        </is>
      </c>
      <c r="B393" s="1182" t="n"/>
      <c r="C393" s="1182" t="n"/>
      <c r="D393" s="1182" t="n"/>
      <c r="E393" s="1182" t="n"/>
      <c r="F393" s="1182" t="n"/>
      <c r="G393" s="1182" t="n"/>
      <c r="H393" s="1182" t="n"/>
      <c r="I393" s="1182" t="n"/>
      <c r="J393" s="1182" t="n"/>
      <c r="K393" s="1182" t="n"/>
      <c r="L393" s="1182" t="n"/>
      <c r="M393" s="1182" t="n"/>
      <c r="N393" s="1182" t="n"/>
      <c r="O393" s="1182" t="n"/>
      <c r="P393" s="1182" t="n"/>
      <c r="Q393" s="1182" t="n"/>
      <c r="R393" s="1182" t="n"/>
      <c r="S393" s="1182" t="n"/>
      <c r="T393" s="1182" t="n"/>
      <c r="U393" s="1182" t="n"/>
      <c r="V393" s="1182" t="n"/>
      <c r="W393" s="1182" t="n"/>
      <c r="X393" s="1182" t="n"/>
      <c r="Y393" s="1182" t="n"/>
      <c r="Z393" s="1182" t="n"/>
      <c r="AA393" s="831" t="n"/>
      <c r="AB393" s="831" t="n"/>
      <c r="AC393" s="831" t="n"/>
    </row>
    <row r="394" ht="27" customHeight="1">
      <c r="A394" s="63" t="inlineStr">
        <is>
          <t>SU002252</t>
        </is>
      </c>
      <c r="B394" s="63" t="inlineStr">
        <is>
          <t>P002461</t>
        </is>
      </c>
      <c r="C394" s="36" t="n">
        <v>4301031066</v>
      </c>
      <c r="D394" s="832" t="n">
        <v>4607091383836</v>
      </c>
      <c r="E394" s="1193" t="n"/>
      <c r="F394" s="1232" t="n">
        <v>0.3</v>
      </c>
      <c r="G394" s="37" t="n">
        <v>6</v>
      </c>
      <c r="H394" s="1232" t="n">
        <v>1.8</v>
      </c>
      <c r="I394" s="1232" t="n">
        <v>2.028</v>
      </c>
      <c r="J394" s="37" t="n">
        <v>182</v>
      </c>
      <c r="K394" s="37" t="inlineStr">
        <is>
          <t>14</t>
        </is>
      </c>
      <c r="L394" s="37" t="inlineStr"/>
      <c r="M394" s="38" t="inlineStr">
        <is>
          <t>СК2</t>
        </is>
      </c>
      <c r="N394" s="38" t="n"/>
      <c r="O394" s="37" t="n">
        <v>40</v>
      </c>
      <c r="P394" s="14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94" s="1234" t="n"/>
      <c r="R394" s="1234" t="n"/>
      <c r="S394" s="1234" t="n"/>
      <c r="T394" s="1235" t="n"/>
      <c r="U394" s="39" t="inlineStr"/>
      <c r="V394" s="39" t="inlineStr"/>
      <c r="W394" s="40" t="inlineStr">
        <is>
          <t>кг</t>
        </is>
      </c>
      <c r="X394" s="1236" t="n">
        <v>12</v>
      </c>
      <c r="Y394" s="1237">
        <f>IFERROR(IF(X394="",0,CEILING((X394/$H394),1)*$H394),"")</f>
        <v/>
      </c>
      <c r="Z394" s="41">
        <f>IFERROR(IF(Y394=0,"",ROUNDUP(Y394/H394,0)*0.00651),"")</f>
        <v/>
      </c>
      <c r="AA394" s="68" t="inlineStr"/>
      <c r="AB394" s="69" t="inlineStr"/>
      <c r="AC394" s="480" t="inlineStr">
        <is>
          <t>ЕАЭС N RU Д-RU.PA01.B.88489/21</t>
        </is>
      </c>
      <c r="AG394" s="78" t="n"/>
      <c r="AJ394" s="84" t="inlineStr"/>
      <c r="AK394" s="84" t="n">
        <v>0</v>
      </c>
      <c r="BB394" s="48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>
      <c r="A395" s="843" t="n"/>
      <c r="B395" s="1182" t="n"/>
      <c r="C395" s="1182" t="n"/>
      <c r="D395" s="1182" t="n"/>
      <c r="E395" s="1182" t="n"/>
      <c r="F395" s="1182" t="n"/>
      <c r="G395" s="1182" t="n"/>
      <c r="H395" s="1182" t="n"/>
      <c r="I395" s="1182" t="n"/>
      <c r="J395" s="1182" t="n"/>
      <c r="K395" s="1182" t="n"/>
      <c r="L395" s="1182" t="n"/>
      <c r="M395" s="1182" t="n"/>
      <c r="N395" s="1182" t="n"/>
      <c r="O395" s="1241" t="n"/>
      <c r="P395" s="1242" t="inlineStr">
        <is>
          <t>Итого</t>
        </is>
      </c>
      <c r="Q395" s="1201" t="n"/>
      <c r="R395" s="1201" t="n"/>
      <c r="S395" s="1201" t="n"/>
      <c r="T395" s="1201" t="n"/>
      <c r="U395" s="1201" t="n"/>
      <c r="V395" s="1202" t="n"/>
      <c r="W395" s="42" t="inlineStr">
        <is>
          <t>кор</t>
        </is>
      </c>
      <c r="X395" s="1243">
        <f>IFERROR(X394/H394,"0")</f>
        <v/>
      </c>
      <c r="Y395" s="1243">
        <f>IFERROR(Y394/H394,"0")</f>
        <v/>
      </c>
      <c r="Z395" s="1243">
        <f>IFERROR(IF(Z394="",0,Z394),"0")</f>
        <v/>
      </c>
      <c r="AA395" s="1244" t="n"/>
      <c r="AB395" s="1244" t="n"/>
      <c r="AC395" s="1244" t="n"/>
    </row>
    <row r="396">
      <c r="A396" s="1182" t="n"/>
      <c r="B396" s="1182" t="n"/>
      <c r="C396" s="1182" t="n"/>
      <c r="D396" s="1182" t="n"/>
      <c r="E396" s="1182" t="n"/>
      <c r="F396" s="1182" t="n"/>
      <c r="G396" s="1182" t="n"/>
      <c r="H396" s="1182" t="n"/>
      <c r="I396" s="1182" t="n"/>
      <c r="J396" s="1182" t="n"/>
      <c r="K396" s="1182" t="n"/>
      <c r="L396" s="1182" t="n"/>
      <c r="M396" s="1182" t="n"/>
      <c r="N396" s="1182" t="n"/>
      <c r="O396" s="1241" t="n"/>
      <c r="P396" s="1242" t="inlineStr">
        <is>
          <t>Итого</t>
        </is>
      </c>
      <c r="Q396" s="1201" t="n"/>
      <c r="R396" s="1201" t="n"/>
      <c r="S396" s="1201" t="n"/>
      <c r="T396" s="1201" t="n"/>
      <c r="U396" s="1201" t="n"/>
      <c r="V396" s="1202" t="n"/>
      <c r="W396" s="42" t="inlineStr">
        <is>
          <t>кг</t>
        </is>
      </c>
      <c r="X396" s="1243">
        <f>IFERROR(SUM(X394:X394),"0")</f>
        <v/>
      </c>
      <c r="Y396" s="1243">
        <f>IFERROR(SUM(Y394:Y394),"0")</f>
        <v/>
      </c>
      <c r="Z396" s="42" t="n"/>
      <c r="AA396" s="1244" t="n"/>
      <c r="AB396" s="1244" t="n"/>
      <c r="AC396" s="1244" t="n"/>
    </row>
    <row r="397" ht="14.25" customHeight="1">
      <c r="A397" s="831" t="inlineStr">
        <is>
          <t>Сосиски</t>
        </is>
      </c>
      <c r="B397" s="1182" t="n"/>
      <c r="C397" s="1182" t="n"/>
      <c r="D397" s="1182" t="n"/>
      <c r="E397" s="1182" t="n"/>
      <c r="F397" s="1182" t="n"/>
      <c r="G397" s="1182" t="n"/>
      <c r="H397" s="1182" t="n"/>
      <c r="I397" s="1182" t="n"/>
      <c r="J397" s="1182" t="n"/>
      <c r="K397" s="1182" t="n"/>
      <c r="L397" s="1182" t="n"/>
      <c r="M397" s="1182" t="n"/>
      <c r="N397" s="1182" t="n"/>
      <c r="O397" s="1182" t="n"/>
      <c r="P397" s="1182" t="n"/>
      <c r="Q397" s="1182" t="n"/>
      <c r="R397" s="1182" t="n"/>
      <c r="S397" s="1182" t="n"/>
      <c r="T397" s="1182" t="n"/>
      <c r="U397" s="1182" t="n"/>
      <c r="V397" s="1182" t="n"/>
      <c r="W397" s="1182" t="n"/>
      <c r="X397" s="1182" t="n"/>
      <c r="Y397" s="1182" t="n"/>
      <c r="Z397" s="1182" t="n"/>
      <c r="AA397" s="831" t="n"/>
      <c r="AB397" s="831" t="n"/>
      <c r="AC397" s="831" t="n"/>
    </row>
    <row r="398" ht="37.5" customHeight="1">
      <c r="A398" s="63" t="inlineStr">
        <is>
          <t>SU001835</t>
        </is>
      </c>
      <c r="B398" s="63" t="inlineStr">
        <is>
          <t>P002202</t>
        </is>
      </c>
      <c r="C398" s="36" t="n">
        <v>4301051142</v>
      </c>
      <c r="D398" s="832" t="n">
        <v>4607091387919</v>
      </c>
      <c r="E398" s="1193" t="n"/>
      <c r="F398" s="1232" t="n">
        <v>1.35</v>
      </c>
      <c r="G398" s="37" t="n">
        <v>6</v>
      </c>
      <c r="H398" s="1232" t="n">
        <v>8.1</v>
      </c>
      <c r="I398" s="1232" t="n">
        <v>8.619</v>
      </c>
      <c r="J398" s="37" t="n">
        <v>64</v>
      </c>
      <c r="K398" s="37" t="inlineStr">
        <is>
          <t>8</t>
        </is>
      </c>
      <c r="L398" s="37" t="inlineStr"/>
      <c r="M398" s="38" t="inlineStr">
        <is>
          <t>СК2</t>
        </is>
      </c>
      <c r="N398" s="38" t="n"/>
      <c r="O398" s="37" t="n">
        <v>45</v>
      </c>
      <c r="P398" s="14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98" s="1234" t="n"/>
      <c r="R398" s="1234" t="n"/>
      <c r="S398" s="1234" t="n"/>
      <c r="T398" s="1235" t="n"/>
      <c r="U398" s="39" t="inlineStr"/>
      <c r="V398" s="39" t="inlineStr"/>
      <c r="W398" s="40" t="inlineStr">
        <is>
          <t>кг</t>
        </is>
      </c>
      <c r="X398" s="1236" t="n">
        <v>0</v>
      </c>
      <c r="Y398" s="1237">
        <f>IFERROR(IF(X398="",0,CEILING((X398/$H398),1)*$H398),"")</f>
        <v/>
      </c>
      <c r="Z398" s="41">
        <f>IFERROR(IF(Y398=0,"",ROUNDUP(Y398/H398,0)*0.01898),"")</f>
        <v/>
      </c>
      <c r="AA398" s="68" t="inlineStr"/>
      <c r="AB398" s="69" t="inlineStr"/>
      <c r="AC398" s="482" t="inlineStr">
        <is>
          <t>ЕАЭС N RU Д-RU.PA01.B.48690/21, ЕАЭС N RU Д-RU.РА04.В.57451/23, ЕАЭС № RU Д-RU.АБ75.В.01081/20</t>
        </is>
      </c>
      <c r="AG398" s="78" t="n"/>
      <c r="AJ398" s="84" t="inlineStr"/>
      <c r="AK398" s="84" t="n">
        <v>0</v>
      </c>
      <c r="BB398" s="483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37.5" customHeight="1">
      <c r="A399" s="63" t="inlineStr">
        <is>
          <t>SU003167</t>
        </is>
      </c>
      <c r="B399" s="63" t="inlineStr">
        <is>
          <t>P003363</t>
        </is>
      </c>
      <c r="C399" s="36" t="n">
        <v>4301051461</v>
      </c>
      <c r="D399" s="832" t="n">
        <v>4680115883604</v>
      </c>
      <c r="E399" s="1193" t="n"/>
      <c r="F399" s="1232" t="n">
        <v>0.35</v>
      </c>
      <c r="G399" s="37" t="n">
        <v>6</v>
      </c>
      <c r="H399" s="1232" t="n">
        <v>2.1</v>
      </c>
      <c r="I399" s="1232" t="n">
        <v>2.352</v>
      </c>
      <c r="J399" s="37" t="n">
        <v>182</v>
      </c>
      <c r="K399" s="37" t="inlineStr">
        <is>
          <t>14</t>
        </is>
      </c>
      <c r="L399" s="37" t="inlineStr"/>
      <c r="M399" s="38" t="inlineStr">
        <is>
          <t>СК3</t>
        </is>
      </c>
      <c r="N399" s="38" t="n"/>
      <c r="O399" s="37" t="n">
        <v>45</v>
      </c>
      <c r="P399" s="1440">
        <f>HYPERLINK("https://abi.ru/products/Охлажденные/Стародворье/Бавария/Сосиски/P003363/","Сосиски «Баварские» Фикс.вес 0,35 П/а ТМ «Стародворье»")</f>
        <v/>
      </c>
      <c r="Q399" s="1234" t="n"/>
      <c r="R399" s="1234" t="n"/>
      <c r="S399" s="1234" t="n"/>
      <c r="T399" s="1235" t="n"/>
      <c r="U399" s="39" t="inlineStr"/>
      <c r="V399" s="39" t="inlineStr"/>
      <c r="W399" s="40" t="inlineStr">
        <is>
          <t>кг</t>
        </is>
      </c>
      <c r="X399" s="1236" t="n">
        <v>420</v>
      </c>
      <c r="Y399" s="1237">
        <f>IFERROR(IF(X399="",0,CEILING((X399/$H399),1)*$H399),"")</f>
        <v/>
      </c>
      <c r="Z399" s="41">
        <f>IFERROR(IF(Y399=0,"",ROUNDUP(Y399/H399,0)*0.00651),"")</f>
        <v/>
      </c>
      <c r="AA399" s="68" t="inlineStr"/>
      <c r="AB399" s="69" t="inlineStr"/>
      <c r="AC399" s="484" t="inlineStr">
        <is>
          <t>ЕАЭС N RU Д-RU.РА05.В.42328/23, ЕАЭС N RU Д-RU.РА05.В.42404/23, ЕАЭС N RU Д-RU.РА05.В.42627/23</t>
        </is>
      </c>
      <c r="AG399" s="78" t="n"/>
      <c r="AJ399" s="84" t="inlineStr"/>
      <c r="AK399" s="84" t="n">
        <v>0</v>
      </c>
      <c r="BB399" s="485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 ht="27" customHeight="1">
      <c r="A400" s="63" t="inlineStr">
        <is>
          <t>SU003168</t>
        </is>
      </c>
      <c r="B400" s="63" t="inlineStr">
        <is>
          <t>P003364</t>
        </is>
      </c>
      <c r="C400" s="36" t="n">
        <v>4301051485</v>
      </c>
      <c r="D400" s="832" t="n">
        <v>4680115883567</v>
      </c>
      <c r="E400" s="1193" t="n"/>
      <c r="F400" s="1232" t="n">
        <v>0.35</v>
      </c>
      <c r="G400" s="37" t="n">
        <v>6</v>
      </c>
      <c r="H400" s="1232" t="n">
        <v>2.1</v>
      </c>
      <c r="I400" s="1232" t="n">
        <v>2.34</v>
      </c>
      <c r="J400" s="37" t="n">
        <v>182</v>
      </c>
      <c r="K400" s="37" t="inlineStr">
        <is>
          <t>14</t>
        </is>
      </c>
      <c r="L400" s="37" t="inlineStr"/>
      <c r="M400" s="38" t="inlineStr">
        <is>
          <t>СК2</t>
        </is>
      </c>
      <c r="N400" s="38" t="n"/>
      <c r="O400" s="37" t="n">
        <v>40</v>
      </c>
      <c r="P400" s="144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00" s="1234" t="n"/>
      <c r="R400" s="1234" t="n"/>
      <c r="S400" s="1234" t="n"/>
      <c r="T400" s="1235" t="n"/>
      <c r="U400" s="39" t="inlineStr"/>
      <c r="V400" s="39" t="inlineStr"/>
      <c r="W400" s="40" t="inlineStr">
        <is>
          <t>кг</t>
        </is>
      </c>
      <c r="X400" s="1236" t="n">
        <v>245</v>
      </c>
      <c r="Y400" s="1237">
        <f>IFERROR(IF(X400="",0,CEILING((X400/$H400),1)*$H400),"")</f>
        <v/>
      </c>
      <c r="Z400" s="41">
        <f>IFERROR(IF(Y400=0,"",ROUNDUP(Y400/H400,0)*0.00651),"")</f>
        <v/>
      </c>
      <c r="AA400" s="68" t="inlineStr"/>
      <c r="AB400" s="69" t="inlineStr"/>
      <c r="AC400" s="486" t="inlineStr">
        <is>
          <t>ЕАЭС N RU Д-RU.РА05.В.42849/23, ЕАЭС N RU Д-RU.РА05.В.42915/23</t>
        </is>
      </c>
      <c r="AG400" s="78" t="n"/>
      <c r="AJ400" s="84" t="inlineStr"/>
      <c r="AK400" s="84" t="n">
        <v>0</v>
      </c>
      <c r="BB400" s="487" t="inlineStr">
        <is>
          <t>КИ</t>
        </is>
      </c>
      <c r="BM400" s="78">
        <f>IFERROR(X400*I400/H400,"0")</f>
        <v/>
      </c>
      <c r="BN400" s="78">
        <f>IFERROR(Y400*I400/H400,"0")</f>
        <v/>
      </c>
      <c r="BO400" s="78">
        <f>IFERROR(1/J400*(X400/H400),"0")</f>
        <v/>
      </c>
      <c r="BP400" s="78">
        <f>IFERROR(1/J400*(Y400/H400),"0")</f>
        <v/>
      </c>
    </row>
    <row r="401">
      <c r="A401" s="843" t="n"/>
      <c r="B401" s="1182" t="n"/>
      <c r="C401" s="1182" t="n"/>
      <c r="D401" s="1182" t="n"/>
      <c r="E401" s="1182" t="n"/>
      <c r="F401" s="1182" t="n"/>
      <c r="G401" s="1182" t="n"/>
      <c r="H401" s="1182" t="n"/>
      <c r="I401" s="1182" t="n"/>
      <c r="J401" s="1182" t="n"/>
      <c r="K401" s="1182" t="n"/>
      <c r="L401" s="1182" t="n"/>
      <c r="M401" s="1182" t="n"/>
      <c r="N401" s="1182" t="n"/>
      <c r="O401" s="1241" t="n"/>
      <c r="P401" s="1242" t="inlineStr">
        <is>
          <t>Итого</t>
        </is>
      </c>
      <c r="Q401" s="1201" t="n"/>
      <c r="R401" s="1201" t="n"/>
      <c r="S401" s="1201" t="n"/>
      <c r="T401" s="1201" t="n"/>
      <c r="U401" s="1201" t="n"/>
      <c r="V401" s="1202" t="n"/>
      <c r="W401" s="42" t="inlineStr">
        <is>
          <t>кор</t>
        </is>
      </c>
      <c r="X401" s="1243">
        <f>IFERROR(X398/H398,"0")+IFERROR(X399/H399,"0")+IFERROR(X400/H400,"0")</f>
        <v/>
      </c>
      <c r="Y401" s="1243">
        <f>IFERROR(Y398/H398,"0")+IFERROR(Y399/H399,"0")+IFERROR(Y400/H400,"0")</f>
        <v/>
      </c>
      <c r="Z401" s="1243">
        <f>IFERROR(IF(Z398="",0,Z398),"0")+IFERROR(IF(Z399="",0,Z399),"0")+IFERROR(IF(Z400="",0,Z400),"0")</f>
        <v/>
      </c>
      <c r="AA401" s="1244" t="n"/>
      <c r="AB401" s="1244" t="n"/>
      <c r="AC401" s="1244" t="n"/>
    </row>
    <row r="402">
      <c r="A402" s="1182" t="n"/>
      <c r="B402" s="1182" t="n"/>
      <c r="C402" s="1182" t="n"/>
      <c r="D402" s="1182" t="n"/>
      <c r="E402" s="1182" t="n"/>
      <c r="F402" s="1182" t="n"/>
      <c r="G402" s="1182" t="n"/>
      <c r="H402" s="1182" t="n"/>
      <c r="I402" s="1182" t="n"/>
      <c r="J402" s="1182" t="n"/>
      <c r="K402" s="1182" t="n"/>
      <c r="L402" s="1182" t="n"/>
      <c r="M402" s="1182" t="n"/>
      <c r="N402" s="1182" t="n"/>
      <c r="O402" s="1241" t="n"/>
      <c r="P402" s="1242" t="inlineStr">
        <is>
          <t>Итого</t>
        </is>
      </c>
      <c r="Q402" s="1201" t="n"/>
      <c r="R402" s="1201" t="n"/>
      <c r="S402" s="1201" t="n"/>
      <c r="T402" s="1201" t="n"/>
      <c r="U402" s="1201" t="n"/>
      <c r="V402" s="1202" t="n"/>
      <c r="W402" s="42" t="inlineStr">
        <is>
          <t>кг</t>
        </is>
      </c>
      <c r="X402" s="1243">
        <f>IFERROR(SUM(X398:X400),"0")</f>
        <v/>
      </c>
      <c r="Y402" s="1243">
        <f>IFERROR(SUM(Y398:Y400),"0")</f>
        <v/>
      </c>
      <c r="Z402" s="42" t="n"/>
      <c r="AA402" s="1244" t="n"/>
      <c r="AB402" s="1244" t="n"/>
      <c r="AC402" s="1244" t="n"/>
    </row>
    <row r="403" ht="27.75" customHeight="1">
      <c r="A403" s="829" t="inlineStr">
        <is>
          <t>Особый рецепт</t>
        </is>
      </c>
      <c r="B403" s="1231" t="n"/>
      <c r="C403" s="1231" t="n"/>
      <c r="D403" s="1231" t="n"/>
      <c r="E403" s="1231" t="n"/>
      <c r="F403" s="1231" t="n"/>
      <c r="G403" s="1231" t="n"/>
      <c r="H403" s="1231" t="n"/>
      <c r="I403" s="1231" t="n"/>
      <c r="J403" s="1231" t="n"/>
      <c r="K403" s="1231" t="n"/>
      <c r="L403" s="1231" t="n"/>
      <c r="M403" s="1231" t="n"/>
      <c r="N403" s="1231" t="n"/>
      <c r="O403" s="1231" t="n"/>
      <c r="P403" s="1231" t="n"/>
      <c r="Q403" s="1231" t="n"/>
      <c r="R403" s="1231" t="n"/>
      <c r="S403" s="1231" t="n"/>
      <c r="T403" s="1231" t="n"/>
      <c r="U403" s="1231" t="n"/>
      <c r="V403" s="1231" t="n"/>
      <c r="W403" s="1231" t="n"/>
      <c r="X403" s="1231" t="n"/>
      <c r="Y403" s="1231" t="n"/>
      <c r="Z403" s="1231" t="n"/>
      <c r="AA403" s="54" t="n"/>
      <c r="AB403" s="54" t="n"/>
      <c r="AC403" s="54" t="n"/>
    </row>
    <row r="404" ht="16.5" customHeight="1">
      <c r="A404" s="830" t="inlineStr">
        <is>
          <t>Особая</t>
        </is>
      </c>
      <c r="B404" s="1182" t="n"/>
      <c r="C404" s="1182" t="n"/>
      <c r="D404" s="1182" t="n"/>
      <c r="E404" s="1182" t="n"/>
      <c r="F404" s="1182" t="n"/>
      <c r="G404" s="1182" t="n"/>
      <c r="H404" s="1182" t="n"/>
      <c r="I404" s="1182" t="n"/>
      <c r="J404" s="1182" t="n"/>
      <c r="K404" s="1182" t="n"/>
      <c r="L404" s="1182" t="n"/>
      <c r="M404" s="1182" t="n"/>
      <c r="N404" s="1182" t="n"/>
      <c r="O404" s="1182" t="n"/>
      <c r="P404" s="1182" t="n"/>
      <c r="Q404" s="1182" t="n"/>
      <c r="R404" s="1182" t="n"/>
      <c r="S404" s="1182" t="n"/>
      <c r="T404" s="1182" t="n"/>
      <c r="U404" s="1182" t="n"/>
      <c r="V404" s="1182" t="n"/>
      <c r="W404" s="1182" t="n"/>
      <c r="X404" s="1182" t="n"/>
      <c r="Y404" s="1182" t="n"/>
      <c r="Z404" s="1182" t="n"/>
      <c r="AA404" s="830" t="n"/>
      <c r="AB404" s="830" t="n"/>
      <c r="AC404" s="830" t="n"/>
    </row>
    <row r="405" ht="14.25" customHeight="1">
      <c r="A405" s="831" t="inlineStr">
        <is>
          <t>Вареные колбасы</t>
        </is>
      </c>
      <c r="B405" s="1182" t="n"/>
      <c r="C405" s="1182" t="n"/>
      <c r="D405" s="1182" t="n"/>
      <c r="E405" s="1182" t="n"/>
      <c r="F405" s="1182" t="n"/>
      <c r="G405" s="1182" t="n"/>
      <c r="H405" s="1182" t="n"/>
      <c r="I405" s="1182" t="n"/>
      <c r="J405" s="1182" t="n"/>
      <c r="K405" s="1182" t="n"/>
      <c r="L405" s="1182" t="n"/>
      <c r="M405" s="1182" t="n"/>
      <c r="N405" s="1182" t="n"/>
      <c r="O405" s="1182" t="n"/>
      <c r="P405" s="1182" t="n"/>
      <c r="Q405" s="1182" t="n"/>
      <c r="R405" s="1182" t="n"/>
      <c r="S405" s="1182" t="n"/>
      <c r="T405" s="1182" t="n"/>
      <c r="U405" s="1182" t="n"/>
      <c r="V405" s="1182" t="n"/>
      <c r="W405" s="1182" t="n"/>
      <c r="X405" s="1182" t="n"/>
      <c r="Y405" s="1182" t="n"/>
      <c r="Z405" s="1182" t="n"/>
      <c r="AA405" s="831" t="n"/>
      <c r="AB405" s="831" t="n"/>
      <c r="AC405" s="831" t="n"/>
    </row>
    <row r="406" ht="37.5" customHeight="1">
      <c r="A406" s="63" t="inlineStr">
        <is>
          <t>SU003422</t>
        </is>
      </c>
      <c r="B406" s="63" t="inlineStr">
        <is>
          <t>P004256</t>
        </is>
      </c>
      <c r="C406" s="36" t="n">
        <v>4301011869</v>
      </c>
      <c r="D406" s="832" t="n">
        <v>4680115884847</v>
      </c>
      <c r="E406" s="1193" t="n"/>
      <c r="F406" s="1232" t="n">
        <v>2.5</v>
      </c>
      <c r="G406" s="37" t="n">
        <v>6</v>
      </c>
      <c r="H406" s="1232" t="n">
        <v>15</v>
      </c>
      <c r="I406" s="1232" t="n">
        <v>15.48</v>
      </c>
      <c r="J406" s="37" t="n">
        <v>48</v>
      </c>
      <c r="K406" s="37" t="inlineStr">
        <is>
          <t>8</t>
        </is>
      </c>
      <c r="L406" s="37" t="inlineStr">
        <is>
          <t>Палетта, мин. 1</t>
        </is>
      </c>
      <c r="M406" s="38" t="inlineStr">
        <is>
          <t>СК2</t>
        </is>
      </c>
      <c r="N406" s="38" t="n"/>
      <c r="O406" s="37" t="n">
        <v>60</v>
      </c>
      <c r="P406" s="1442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06" s="1234" t="n"/>
      <c r="R406" s="1234" t="n"/>
      <c r="S406" s="1234" t="n"/>
      <c r="T406" s="1235" t="n"/>
      <c r="U406" s="39" t="inlineStr"/>
      <c r="V406" s="39" t="inlineStr"/>
      <c r="W406" s="40" t="inlineStr">
        <is>
          <t>кг</t>
        </is>
      </c>
      <c r="X406" s="1236" t="n">
        <v>1200</v>
      </c>
      <c r="Y406" s="1237">
        <f>IFERROR(IF(X406="",0,CEILING((X406/$H406),1)*$H406),"")</f>
        <v/>
      </c>
      <c r="Z406" s="41">
        <f>IFERROR(IF(Y406=0,"",ROUNDUP(Y406/H406,0)*0.02175),"")</f>
        <v/>
      </c>
      <c r="AA406" s="68" t="inlineStr"/>
      <c r="AB406" s="69" t="inlineStr"/>
      <c r="AC406" s="488" t="inlineStr">
        <is>
          <t>ЕАЭС N RU Д-RU.РА02.В.61644/24, ЕАЭС N RU Д-RU.РА09.В.97015/24, ЕАЭС N RU Д-RU.РА10.В.04696/24</t>
        </is>
      </c>
      <c r="AG406" s="78" t="n"/>
      <c r="AJ406" s="84" t="inlineStr">
        <is>
          <t>Палетта</t>
        </is>
      </c>
      <c r="AK406" s="84" t="n">
        <v>720</v>
      </c>
      <c r="BB406" s="489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27" customHeight="1">
      <c r="A407" s="63" t="inlineStr">
        <is>
          <t>SU003422</t>
        </is>
      </c>
      <c r="B407" s="63" t="inlineStr">
        <is>
          <t>P004303</t>
        </is>
      </c>
      <c r="C407" s="36" t="n">
        <v>4301011946</v>
      </c>
      <c r="D407" s="832" t="n">
        <v>4680115884847</v>
      </c>
      <c r="E407" s="1193" t="n"/>
      <c r="F407" s="1232" t="n">
        <v>2.5</v>
      </c>
      <c r="G407" s="37" t="n">
        <v>6</v>
      </c>
      <c r="H407" s="1232" t="n">
        <v>15</v>
      </c>
      <c r="I407" s="1232" t="n">
        <v>15.48</v>
      </c>
      <c r="J407" s="37" t="n">
        <v>48</v>
      </c>
      <c r="K407" s="37" t="inlineStr">
        <is>
          <t>8</t>
        </is>
      </c>
      <c r="L407" s="37" t="inlineStr"/>
      <c r="M407" s="38" t="inlineStr">
        <is>
          <t>ВЗ</t>
        </is>
      </c>
      <c r="N407" s="38" t="n"/>
      <c r="O407" s="37" t="n">
        <v>60</v>
      </c>
      <c r="P407" s="1443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07" s="1234" t="n"/>
      <c r="R407" s="1234" t="n"/>
      <c r="S407" s="1234" t="n"/>
      <c r="T407" s="1235" t="n"/>
      <c r="U407" s="39" t="inlineStr"/>
      <c r="V407" s="39" t="inlineStr"/>
      <c r="W407" s="40" t="inlineStr">
        <is>
          <t>кг</t>
        </is>
      </c>
      <c r="X407" s="1236" t="n">
        <v>0</v>
      </c>
      <c r="Y407" s="1237">
        <f>IFERROR(IF(X407="",0,CEILING((X407/$H407),1)*$H407),"")</f>
        <v/>
      </c>
      <c r="Z407" s="41">
        <f>IFERROR(IF(Y407=0,"",ROUNDUP(Y407/H407,0)*0.02039),"")</f>
        <v/>
      </c>
      <c r="AA407" s="68" t="inlineStr"/>
      <c r="AB407" s="69" t="inlineStr"/>
      <c r="AC407" s="490" t="inlineStr">
        <is>
          <t>ЕАЭС N RU Д-RU.РА02.В.44569/24</t>
        </is>
      </c>
      <c r="AG407" s="78" t="n"/>
      <c r="AJ407" s="84" t="inlineStr"/>
      <c r="AK407" s="84" t="n">
        <v>0</v>
      </c>
      <c r="BB407" s="491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 ht="27" customHeight="1">
      <c r="A408" s="63" t="inlineStr">
        <is>
          <t>SU003423</t>
        </is>
      </c>
      <c r="B408" s="63" t="inlineStr">
        <is>
          <t>P004257</t>
        </is>
      </c>
      <c r="C408" s="36" t="n">
        <v>4301011870</v>
      </c>
      <c r="D408" s="832" t="n">
        <v>4680115884854</v>
      </c>
      <c r="E408" s="1193" t="n"/>
      <c r="F408" s="1232" t="n">
        <v>2.5</v>
      </c>
      <c r="G408" s="37" t="n">
        <v>6</v>
      </c>
      <c r="H408" s="1232" t="n">
        <v>15</v>
      </c>
      <c r="I408" s="1232" t="n">
        <v>15.48</v>
      </c>
      <c r="J408" s="37" t="n">
        <v>48</v>
      </c>
      <c r="K408" s="37" t="inlineStr">
        <is>
          <t>8</t>
        </is>
      </c>
      <c r="L408" s="37" t="inlineStr">
        <is>
          <t>Палетта, мин. 1</t>
        </is>
      </c>
      <c r="M408" s="38" t="inlineStr">
        <is>
          <t>СК2</t>
        </is>
      </c>
      <c r="N408" s="38" t="n"/>
      <c r="O408" s="37" t="n">
        <v>60</v>
      </c>
      <c r="P408" s="144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08" s="1234" t="n"/>
      <c r="R408" s="1234" t="n"/>
      <c r="S408" s="1234" t="n"/>
      <c r="T408" s="1235" t="n"/>
      <c r="U408" s="39" t="inlineStr"/>
      <c r="V408" s="39" t="inlineStr"/>
      <c r="W408" s="40" t="inlineStr">
        <is>
          <t>кг</t>
        </is>
      </c>
      <c r="X408" s="1236" t="n">
        <v>1000</v>
      </c>
      <c r="Y408" s="1237">
        <f>IFERROR(IF(X408="",0,CEILING((X408/$H408),1)*$H408),"")</f>
        <v/>
      </c>
      <c r="Z408" s="41">
        <f>IFERROR(IF(Y408=0,"",ROUNDUP(Y408/H408,0)*0.02175),"")</f>
        <v/>
      </c>
      <c r="AA408" s="68" t="inlineStr"/>
      <c r="AB408" s="69" t="inlineStr"/>
      <c r="AC408" s="492" t="inlineStr">
        <is>
          <t>ЕАЭС N RU Д-RU.РА02.В.61635/24, ЕАЭС N RU Д-RU.РА09.В.95694/24</t>
        </is>
      </c>
      <c r="AG408" s="78" t="n"/>
      <c r="AJ408" s="84" t="inlineStr">
        <is>
          <t>Палетта</t>
        </is>
      </c>
      <c r="AK408" s="84" t="n">
        <v>720</v>
      </c>
      <c r="BB408" s="493" t="inlineStr">
        <is>
          <t>КИ</t>
        </is>
      </c>
      <c r="BM408" s="78">
        <f>IFERROR(X408*I408/H408,"0")</f>
        <v/>
      </c>
      <c r="BN408" s="78">
        <f>IFERROR(Y408*I408/H408,"0")</f>
        <v/>
      </c>
      <c r="BO408" s="78">
        <f>IFERROR(1/J408*(X408/H408),"0")</f>
        <v/>
      </c>
      <c r="BP408" s="78">
        <f>IFERROR(1/J408*(Y408/H408),"0")</f>
        <v/>
      </c>
    </row>
    <row r="409" ht="27" customHeight="1">
      <c r="A409" s="63" t="inlineStr">
        <is>
          <t>SU003423</t>
        </is>
      </c>
      <c r="B409" s="63" t="inlineStr">
        <is>
          <t>P004315</t>
        </is>
      </c>
      <c r="C409" s="36" t="n">
        <v>4301011947</v>
      </c>
      <c r="D409" s="832" t="n">
        <v>4680115884854</v>
      </c>
      <c r="E409" s="1193" t="n"/>
      <c r="F409" s="1232" t="n">
        <v>2.5</v>
      </c>
      <c r="G409" s="37" t="n">
        <v>6</v>
      </c>
      <c r="H409" s="1232" t="n">
        <v>15</v>
      </c>
      <c r="I409" s="1232" t="n">
        <v>15.48</v>
      </c>
      <c r="J409" s="37" t="n">
        <v>48</v>
      </c>
      <c r="K409" s="37" t="inlineStr">
        <is>
          <t>8</t>
        </is>
      </c>
      <c r="L409" s="37" t="inlineStr"/>
      <c r="M409" s="38" t="inlineStr">
        <is>
          <t>ВЗ</t>
        </is>
      </c>
      <c r="N409" s="38" t="n"/>
      <c r="O409" s="37" t="n">
        <v>60</v>
      </c>
      <c r="P409" s="1445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09" s="1234" t="n"/>
      <c r="R409" s="1234" t="n"/>
      <c r="S409" s="1234" t="n"/>
      <c r="T409" s="1235" t="n"/>
      <c r="U409" s="39" t="inlineStr"/>
      <c r="V409" s="39" t="inlineStr"/>
      <c r="W409" s="40" t="inlineStr">
        <is>
          <t>кг</t>
        </is>
      </c>
      <c r="X409" s="1236" t="n">
        <v>0</v>
      </c>
      <c r="Y409" s="1237">
        <f>IFERROR(IF(X409="",0,CEILING((X409/$H409),1)*$H409),"")</f>
        <v/>
      </c>
      <c r="Z409" s="41">
        <f>IFERROR(IF(Y409=0,"",ROUNDUP(Y409/H409,0)*0.02039),"")</f>
        <v/>
      </c>
      <c r="AA409" s="68" t="inlineStr"/>
      <c r="AB409" s="69" t="inlineStr"/>
      <c r="AC409" s="494" t="inlineStr">
        <is>
          <t>ЕАЭС N RU Д-RU.РА02.В.44569/24</t>
        </is>
      </c>
      <c r="AG409" s="78" t="n"/>
      <c r="AJ409" s="84" t="inlineStr"/>
      <c r="AK409" s="84" t="n">
        <v>0</v>
      </c>
      <c r="BB409" s="495" t="inlineStr">
        <is>
          <t>КИ</t>
        </is>
      </c>
      <c r="BM409" s="78">
        <f>IFERROR(X409*I409/H409,"0")</f>
        <v/>
      </c>
      <c r="BN409" s="78">
        <f>IFERROR(Y409*I409/H409,"0")</f>
        <v/>
      </c>
      <c r="BO409" s="78">
        <f>IFERROR(1/J409*(X409/H409),"0")</f>
        <v/>
      </c>
      <c r="BP409" s="78">
        <f>IFERROR(1/J409*(Y409/H409),"0")</f>
        <v/>
      </c>
    </row>
    <row r="410" ht="27" customHeight="1">
      <c r="A410" s="63" t="inlineStr">
        <is>
          <t>SU000251</t>
        </is>
      </c>
      <c r="B410" s="63" t="inlineStr">
        <is>
          <t>P002584</t>
        </is>
      </c>
      <c r="C410" s="36" t="n">
        <v>4301011339</v>
      </c>
      <c r="D410" s="832" t="n">
        <v>4607091383997</v>
      </c>
      <c r="E410" s="1193" t="n"/>
      <c r="F410" s="1232" t="n">
        <v>2.5</v>
      </c>
      <c r="G410" s="37" t="n">
        <v>6</v>
      </c>
      <c r="H410" s="1232" t="n">
        <v>15</v>
      </c>
      <c r="I410" s="1232" t="n">
        <v>15.48</v>
      </c>
      <c r="J410" s="37" t="n">
        <v>48</v>
      </c>
      <c r="K410" s="37" t="inlineStr">
        <is>
          <t>8</t>
        </is>
      </c>
      <c r="L410" s="37" t="inlineStr"/>
      <c r="M410" s="38" t="inlineStr">
        <is>
          <t>СК2</t>
        </is>
      </c>
      <c r="N410" s="38" t="n"/>
      <c r="O410" s="37" t="n">
        <v>60</v>
      </c>
      <c r="P410" s="14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10" s="1234" t="n"/>
      <c r="R410" s="1234" t="n"/>
      <c r="S410" s="1234" t="n"/>
      <c r="T410" s="1235" t="n"/>
      <c r="U410" s="39" t="inlineStr"/>
      <c r="V410" s="39" t="inlineStr"/>
      <c r="W410" s="40" t="inlineStr">
        <is>
          <t>кг</t>
        </is>
      </c>
      <c r="X410" s="1236" t="n">
        <v>300</v>
      </c>
      <c r="Y410" s="1237">
        <f>IFERROR(IF(X410="",0,CEILING((X410/$H410),1)*$H410),"")</f>
        <v/>
      </c>
      <c r="Z410" s="41">
        <f>IFERROR(IF(Y410=0,"",ROUNDUP(Y410/H410,0)*0.02175),"")</f>
        <v/>
      </c>
      <c r="AA410" s="68" t="inlineStr"/>
      <c r="AB410" s="69" t="inlineStr"/>
      <c r="AC410" s="496" t="inlineStr">
        <is>
          <t>ЕАЭС N RU Д-RU.РА09.В.35957/22, ЕАЭС № RU Д- RU.АБ75.В.00578/19</t>
        </is>
      </c>
      <c r="AG410" s="78" t="n"/>
      <c r="AJ410" s="84" t="inlineStr"/>
      <c r="AK410" s="84" t="n">
        <v>0</v>
      </c>
      <c r="BB410" s="497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 ht="27" customHeight="1">
      <c r="A411" s="63" t="inlineStr">
        <is>
          <t>SU003420</t>
        </is>
      </c>
      <c r="B411" s="63" t="inlineStr">
        <is>
          <t>P004293</t>
        </is>
      </c>
      <c r="C411" s="36" t="n">
        <v>4301011943</v>
      </c>
      <c r="D411" s="832" t="n">
        <v>4680115884830</v>
      </c>
      <c r="E411" s="1193" t="n"/>
      <c r="F411" s="1232" t="n">
        <v>2.5</v>
      </c>
      <c r="G411" s="37" t="n">
        <v>6</v>
      </c>
      <c r="H411" s="1232" t="n">
        <v>15</v>
      </c>
      <c r="I411" s="1232" t="n">
        <v>15.48</v>
      </c>
      <c r="J411" s="37" t="n">
        <v>48</v>
      </c>
      <c r="K411" s="37" t="inlineStr">
        <is>
          <t>8</t>
        </is>
      </c>
      <c r="L411" s="37" t="inlineStr"/>
      <c r="M411" s="38" t="inlineStr">
        <is>
          <t>ВЗ</t>
        </is>
      </c>
      <c r="N411" s="38" t="n"/>
      <c r="O411" s="37" t="n">
        <v>60</v>
      </c>
      <c r="P411" s="1447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11" s="1234" t="n"/>
      <c r="R411" s="1234" t="n"/>
      <c r="S411" s="1234" t="n"/>
      <c r="T411" s="1235" t="n"/>
      <c r="U411" s="39" t="inlineStr"/>
      <c r="V411" s="39" t="inlineStr"/>
      <c r="W411" s="40" t="inlineStr">
        <is>
          <t>кг</t>
        </is>
      </c>
      <c r="X411" s="1236" t="n">
        <v>0</v>
      </c>
      <c r="Y411" s="1237">
        <f>IFERROR(IF(X411="",0,CEILING((X411/$H411),1)*$H411),"")</f>
        <v/>
      </c>
      <c r="Z411" s="41">
        <f>IFERROR(IF(Y411=0,"",ROUNDUP(Y411/H411,0)*0.02039),"")</f>
        <v/>
      </c>
      <c r="AA411" s="68" t="inlineStr"/>
      <c r="AB411" s="69" t="inlineStr"/>
      <c r="AC411" s="498" t="inlineStr">
        <is>
          <t>ЕАЭС N RU Д-RU.РА02.В.44569/24</t>
        </is>
      </c>
      <c r="AG411" s="78" t="n"/>
      <c r="AJ411" s="84" t="inlineStr"/>
      <c r="AK411" s="84" t="n">
        <v>0</v>
      </c>
      <c r="BB411" s="499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 ht="37.5" customHeight="1">
      <c r="A412" s="63" t="inlineStr">
        <is>
          <t>SU003420</t>
        </is>
      </c>
      <c r="B412" s="63" t="inlineStr">
        <is>
          <t>P004252</t>
        </is>
      </c>
      <c r="C412" s="36" t="n">
        <v>4301011867</v>
      </c>
      <c r="D412" s="832" t="n">
        <v>4680115884830</v>
      </c>
      <c r="E412" s="1193" t="n"/>
      <c r="F412" s="1232" t="n">
        <v>2.5</v>
      </c>
      <c r="G412" s="37" t="n">
        <v>6</v>
      </c>
      <c r="H412" s="1232" t="n">
        <v>15</v>
      </c>
      <c r="I412" s="1232" t="n">
        <v>15.48</v>
      </c>
      <c r="J412" s="37" t="n">
        <v>48</v>
      </c>
      <c r="K412" s="37" t="inlineStr">
        <is>
          <t>8</t>
        </is>
      </c>
      <c r="L412" s="37" t="inlineStr">
        <is>
          <t>Палетта, мин. 1</t>
        </is>
      </c>
      <c r="M412" s="38" t="inlineStr">
        <is>
          <t>СК2</t>
        </is>
      </c>
      <c r="N412" s="38" t="n"/>
      <c r="O412" s="37" t="n">
        <v>60</v>
      </c>
      <c r="P412" s="144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12" s="1234" t="n"/>
      <c r="R412" s="1234" t="n"/>
      <c r="S412" s="1234" t="n"/>
      <c r="T412" s="1235" t="n"/>
      <c r="U412" s="39" t="inlineStr"/>
      <c r="V412" s="39" t="inlineStr"/>
      <c r="W412" s="40" t="inlineStr">
        <is>
          <t>кг</t>
        </is>
      </c>
      <c r="X412" s="1236" t="n">
        <v>3300</v>
      </c>
      <c r="Y412" s="1237">
        <f>IFERROR(IF(X412="",0,CEILING((X412/$H412),1)*$H412),"")</f>
        <v/>
      </c>
      <c r="Z412" s="41">
        <f>IFERROR(IF(Y412=0,"",ROUNDUP(Y412/H412,0)*0.02175),"")</f>
        <v/>
      </c>
      <c r="AA412" s="68" t="inlineStr"/>
      <c r="AB412" s="69" t="inlineStr"/>
      <c r="AC412" s="500" t="inlineStr">
        <is>
          <t>ЕАЭС N RU Д-RU.РА02.В.61660/24, ЕАЭС N RU Д-RU.РА10.В.85286/23, ЕАЭС N RU Д-RU.РА10.В.85449/23</t>
        </is>
      </c>
      <c r="AG412" s="78" t="n"/>
      <c r="AJ412" s="84" t="inlineStr">
        <is>
          <t>Палетта</t>
        </is>
      </c>
      <c r="AK412" s="84" t="n">
        <v>720</v>
      </c>
      <c r="BB412" s="501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 ht="27" customHeight="1">
      <c r="A413" s="63" t="inlineStr">
        <is>
          <t>SU002787</t>
        </is>
      </c>
      <c r="B413" s="63" t="inlineStr">
        <is>
          <t>P003189</t>
        </is>
      </c>
      <c r="C413" s="36" t="n">
        <v>4301011433</v>
      </c>
      <c r="D413" s="832" t="n">
        <v>4680115882638</v>
      </c>
      <c r="E413" s="1193" t="n"/>
      <c r="F413" s="1232" t="n">
        <v>0.4</v>
      </c>
      <c r="G413" s="37" t="n">
        <v>10</v>
      </c>
      <c r="H413" s="1232" t="n">
        <v>4</v>
      </c>
      <c r="I413" s="1232" t="n">
        <v>4.21</v>
      </c>
      <c r="J413" s="37" t="n">
        <v>132</v>
      </c>
      <c r="K413" s="37" t="inlineStr">
        <is>
          <t>12</t>
        </is>
      </c>
      <c r="L413" s="37" t="inlineStr"/>
      <c r="M413" s="38" t="inlineStr">
        <is>
          <t>СК1</t>
        </is>
      </c>
      <c r="N413" s="38" t="n"/>
      <c r="O413" s="37" t="n">
        <v>90</v>
      </c>
      <c r="P413" s="1449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13" s="1234" t="n"/>
      <c r="R413" s="1234" t="n"/>
      <c r="S413" s="1234" t="n"/>
      <c r="T413" s="1235" t="n"/>
      <c r="U413" s="39" t="inlineStr"/>
      <c r="V413" s="39" t="inlineStr"/>
      <c r="W413" s="40" t="inlineStr">
        <is>
          <t>кг</t>
        </is>
      </c>
      <c r="X413" s="1236" t="n">
        <v>0</v>
      </c>
      <c r="Y413" s="1237">
        <f>IFERROR(IF(X413="",0,CEILING((X413/$H413),1)*$H413),"")</f>
        <v/>
      </c>
      <c r="Z413" s="41">
        <f>IFERROR(IF(Y413=0,"",ROUNDUP(Y413/H413,0)*0.00902),"")</f>
        <v/>
      </c>
      <c r="AA413" s="68" t="inlineStr"/>
      <c r="AB413" s="69" t="inlineStr"/>
      <c r="AC413" s="502" t="inlineStr">
        <is>
          <t>ЕАЭС N RU Д-RU.РА05.В.17033/23, ЕАЭС N RU Д-RU.РА05.В.17083/23</t>
        </is>
      </c>
      <c r="AG413" s="78" t="n"/>
      <c r="AJ413" s="84" t="inlineStr"/>
      <c r="AK413" s="84" t="n">
        <v>0</v>
      </c>
      <c r="BB413" s="503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SU003432</t>
        </is>
      </c>
      <c r="B414" s="63" t="inlineStr">
        <is>
          <t>P004347</t>
        </is>
      </c>
      <c r="C414" s="36" t="n">
        <v>4301011952</v>
      </c>
      <c r="D414" s="832" t="n">
        <v>4680115884922</v>
      </c>
      <c r="E414" s="1193" t="n"/>
      <c r="F414" s="1232" t="n">
        <v>0.5</v>
      </c>
      <c r="G414" s="37" t="n">
        <v>10</v>
      </c>
      <c r="H414" s="1232" t="n">
        <v>5</v>
      </c>
      <c r="I414" s="1232" t="n">
        <v>5.21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СК2</t>
        </is>
      </c>
      <c r="N414" s="38" t="n"/>
      <c r="O414" s="37" t="n">
        <v>60</v>
      </c>
      <c r="P414" s="1450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14" s="1234" t="n"/>
      <c r="R414" s="1234" t="n"/>
      <c r="S414" s="1234" t="n"/>
      <c r="T414" s="1235" t="n"/>
      <c r="U414" s="39" t="inlineStr"/>
      <c r="V414" s="39" t="inlineStr"/>
      <c r="W414" s="40" t="inlineStr">
        <is>
          <t>кг</t>
        </is>
      </c>
      <c r="X414" s="1236" t="n">
        <v>0</v>
      </c>
      <c r="Y414" s="1237">
        <f>IFERROR(IF(X414="",0,CEILING((X414/$H414),1)*$H414),"")</f>
        <v/>
      </c>
      <c r="Z414" s="41">
        <f>IFERROR(IF(Y414=0,"",ROUNDUP(Y414/H414,0)*0.00902),"")</f>
        <v/>
      </c>
      <c r="AA414" s="68" t="inlineStr"/>
      <c r="AB414" s="69" t="inlineStr"/>
      <c r="AC414" s="504" t="inlineStr">
        <is>
          <t>ЕАЭС N RU Д-RU.РА02.В.61635/24, ЕАЭС N RU Д-RU.РА09.В.95694/24</t>
        </is>
      </c>
      <c r="AG414" s="78" t="n"/>
      <c r="AJ414" s="84" t="inlineStr"/>
      <c r="AK414" s="84" t="n">
        <v>0</v>
      </c>
      <c r="BB414" s="505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 ht="37.5" customHeight="1">
      <c r="A415" s="63" t="inlineStr">
        <is>
          <t>SU003421</t>
        </is>
      </c>
      <c r="B415" s="63" t="inlineStr">
        <is>
          <t>P004253</t>
        </is>
      </c>
      <c r="C415" s="36" t="n">
        <v>4301011868</v>
      </c>
      <c r="D415" s="832" t="n">
        <v>4680115884861</v>
      </c>
      <c r="E415" s="1193" t="n"/>
      <c r="F415" s="1232" t="n">
        <v>0.5</v>
      </c>
      <c r="G415" s="37" t="n">
        <v>10</v>
      </c>
      <c r="H415" s="1232" t="n">
        <v>5</v>
      </c>
      <c r="I415" s="1232" t="n">
        <v>5.21</v>
      </c>
      <c r="J415" s="37" t="n">
        <v>132</v>
      </c>
      <c r="K415" s="37" t="inlineStr">
        <is>
          <t>12</t>
        </is>
      </c>
      <c r="L415" s="37" t="inlineStr"/>
      <c r="M415" s="38" t="inlineStr">
        <is>
          <t>СК2</t>
        </is>
      </c>
      <c r="N415" s="38" t="n"/>
      <c r="O415" s="37" t="n">
        <v>60</v>
      </c>
      <c r="P415" s="145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15" s="1234" t="n"/>
      <c r="R415" s="1234" t="n"/>
      <c r="S415" s="1234" t="n"/>
      <c r="T415" s="1235" t="n"/>
      <c r="U415" s="39" t="inlineStr"/>
      <c r="V415" s="39" t="inlineStr"/>
      <c r="W415" s="40" t="inlineStr">
        <is>
          <t>кг</t>
        </is>
      </c>
      <c r="X415" s="1236" t="n">
        <v>15</v>
      </c>
      <c r="Y415" s="1237">
        <f>IFERROR(IF(X415="",0,CEILING((X415/$H415),1)*$H415),"")</f>
        <v/>
      </c>
      <c r="Z415" s="41">
        <f>IFERROR(IF(Y415=0,"",ROUNDUP(Y415/H415,0)*0.00902),"")</f>
        <v/>
      </c>
      <c r="AA415" s="68" t="inlineStr"/>
      <c r="AB415" s="69" t="inlineStr"/>
      <c r="AC415" s="506" t="inlineStr">
        <is>
          <t>ЕАЭС N RU Д-RU.РА02.В.61660/24, ЕАЭС N RU Д-RU.РА10.В.85286/23, ЕАЭС N RU Д-RU.РА10.В.85449/23</t>
        </is>
      </c>
      <c r="AG415" s="78" t="n"/>
      <c r="AJ415" s="84" t="inlineStr"/>
      <c r="AK415" s="84" t="n">
        <v>0</v>
      </c>
      <c r="BB415" s="507" t="inlineStr">
        <is>
          <t>КИ</t>
        </is>
      </c>
      <c r="BM415" s="78">
        <f>IFERROR(X415*I415/H415,"0")</f>
        <v/>
      </c>
      <c r="BN415" s="78">
        <f>IFERROR(Y415*I415/H415,"0")</f>
        <v/>
      </c>
      <c r="BO415" s="78">
        <f>IFERROR(1/J415*(X415/H415),"0")</f>
        <v/>
      </c>
      <c r="BP415" s="78">
        <f>IFERROR(1/J415*(Y415/H415),"0")</f>
        <v/>
      </c>
    </row>
    <row r="416">
      <c r="A416" s="843" t="n"/>
      <c r="B416" s="1182" t="n"/>
      <c r="C416" s="1182" t="n"/>
      <c r="D416" s="1182" t="n"/>
      <c r="E416" s="1182" t="n"/>
      <c r="F416" s="1182" t="n"/>
      <c r="G416" s="1182" t="n"/>
      <c r="H416" s="1182" t="n"/>
      <c r="I416" s="1182" t="n"/>
      <c r="J416" s="1182" t="n"/>
      <c r="K416" s="1182" t="n"/>
      <c r="L416" s="1182" t="n"/>
      <c r="M416" s="1182" t="n"/>
      <c r="N416" s="1182" t="n"/>
      <c r="O416" s="1241" t="n"/>
      <c r="P416" s="1242" t="inlineStr">
        <is>
          <t>Итого</t>
        </is>
      </c>
      <c r="Q416" s="1201" t="n"/>
      <c r="R416" s="1201" t="n"/>
      <c r="S416" s="1201" t="n"/>
      <c r="T416" s="1201" t="n"/>
      <c r="U416" s="1201" t="n"/>
      <c r="V416" s="1202" t="n"/>
      <c r="W416" s="42" t="inlineStr">
        <is>
          <t>кор</t>
        </is>
      </c>
      <c r="X416" s="1243">
        <f>IFERROR(X406/H406,"0")+IFERROR(X407/H407,"0")+IFERROR(X408/H408,"0")+IFERROR(X409/H409,"0")+IFERROR(X410/H410,"0")+IFERROR(X411/H411,"0")+IFERROR(X412/H412,"0")+IFERROR(X413/H413,"0")+IFERROR(X414/H414,"0")+IFERROR(X415/H415,"0")</f>
        <v/>
      </c>
      <c r="Y416" s="1243">
        <f>IFERROR(Y406/H406,"0")+IFERROR(Y407/H407,"0")+IFERROR(Y408/H408,"0")+IFERROR(Y409/H409,"0")+IFERROR(Y410/H410,"0")+IFERROR(Y411/H411,"0")+IFERROR(Y412/H412,"0")+IFERROR(Y413/H413,"0")+IFERROR(Y414/H414,"0")+IFERROR(Y415/H415,"0")</f>
        <v/>
      </c>
      <c r="Z416" s="12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/>
      </c>
      <c r="AA416" s="1244" t="n"/>
      <c r="AB416" s="1244" t="n"/>
      <c r="AC416" s="1244" t="n"/>
    </row>
    <row r="417">
      <c r="A417" s="1182" t="n"/>
      <c r="B417" s="1182" t="n"/>
      <c r="C417" s="1182" t="n"/>
      <c r="D417" s="1182" t="n"/>
      <c r="E417" s="1182" t="n"/>
      <c r="F417" s="1182" t="n"/>
      <c r="G417" s="1182" t="n"/>
      <c r="H417" s="1182" t="n"/>
      <c r="I417" s="1182" t="n"/>
      <c r="J417" s="1182" t="n"/>
      <c r="K417" s="1182" t="n"/>
      <c r="L417" s="1182" t="n"/>
      <c r="M417" s="1182" t="n"/>
      <c r="N417" s="1182" t="n"/>
      <c r="O417" s="1241" t="n"/>
      <c r="P417" s="1242" t="inlineStr">
        <is>
          <t>Итого</t>
        </is>
      </c>
      <c r="Q417" s="1201" t="n"/>
      <c r="R417" s="1201" t="n"/>
      <c r="S417" s="1201" t="n"/>
      <c r="T417" s="1201" t="n"/>
      <c r="U417" s="1201" t="n"/>
      <c r="V417" s="1202" t="n"/>
      <c r="W417" s="42" t="inlineStr">
        <is>
          <t>кг</t>
        </is>
      </c>
      <c r="X417" s="1243">
        <f>IFERROR(SUM(X406:X415),"0")</f>
        <v/>
      </c>
      <c r="Y417" s="1243">
        <f>IFERROR(SUM(Y406:Y415),"0")</f>
        <v/>
      </c>
      <c r="Z417" s="42" t="n"/>
      <c r="AA417" s="1244" t="n"/>
      <c r="AB417" s="1244" t="n"/>
      <c r="AC417" s="1244" t="n"/>
    </row>
    <row r="418" ht="14.25" customHeight="1">
      <c r="A418" s="831" t="inlineStr">
        <is>
          <t>Ветчины</t>
        </is>
      </c>
      <c r="B418" s="1182" t="n"/>
      <c r="C418" s="1182" t="n"/>
      <c r="D418" s="1182" t="n"/>
      <c r="E418" s="1182" t="n"/>
      <c r="F418" s="1182" t="n"/>
      <c r="G418" s="1182" t="n"/>
      <c r="H418" s="1182" t="n"/>
      <c r="I418" s="1182" t="n"/>
      <c r="J418" s="1182" t="n"/>
      <c r="K418" s="1182" t="n"/>
      <c r="L418" s="1182" t="n"/>
      <c r="M418" s="1182" t="n"/>
      <c r="N418" s="1182" t="n"/>
      <c r="O418" s="1182" t="n"/>
      <c r="P418" s="1182" t="n"/>
      <c r="Q418" s="1182" t="n"/>
      <c r="R418" s="1182" t="n"/>
      <c r="S418" s="1182" t="n"/>
      <c r="T418" s="1182" t="n"/>
      <c r="U418" s="1182" t="n"/>
      <c r="V418" s="1182" t="n"/>
      <c r="W418" s="1182" t="n"/>
      <c r="X418" s="1182" t="n"/>
      <c r="Y418" s="1182" t="n"/>
      <c r="Z418" s="1182" t="n"/>
      <c r="AA418" s="831" t="n"/>
      <c r="AB418" s="831" t="n"/>
      <c r="AC418" s="831" t="n"/>
    </row>
    <row r="419" ht="27" customHeight="1">
      <c r="A419" s="63" t="inlineStr">
        <is>
          <t>SU000126</t>
        </is>
      </c>
      <c r="B419" s="63" t="inlineStr">
        <is>
          <t>P002555</t>
        </is>
      </c>
      <c r="C419" s="36" t="n">
        <v>4301020178</v>
      </c>
      <c r="D419" s="832" t="n">
        <v>4607091383980</v>
      </c>
      <c r="E419" s="1193" t="n"/>
      <c r="F419" s="1232" t="n">
        <v>2.5</v>
      </c>
      <c r="G419" s="37" t="n">
        <v>6</v>
      </c>
      <c r="H419" s="1232" t="n">
        <v>15</v>
      </c>
      <c r="I419" s="1232" t="n">
        <v>15.48</v>
      </c>
      <c r="J419" s="37" t="n">
        <v>48</v>
      </c>
      <c r="K419" s="37" t="inlineStr">
        <is>
          <t>8</t>
        </is>
      </c>
      <c r="L419" s="37" t="inlineStr">
        <is>
          <t>Палетта, мин. 1</t>
        </is>
      </c>
      <c r="M419" s="38" t="inlineStr">
        <is>
          <t>СК1</t>
        </is>
      </c>
      <c r="N419" s="38" t="n"/>
      <c r="O419" s="37" t="n">
        <v>50</v>
      </c>
      <c r="P419" s="14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19" s="1234" t="n"/>
      <c r="R419" s="1234" t="n"/>
      <c r="S419" s="1234" t="n"/>
      <c r="T419" s="1235" t="n"/>
      <c r="U419" s="39" t="inlineStr"/>
      <c r="V419" s="39" t="inlineStr"/>
      <c r="W419" s="40" t="inlineStr">
        <is>
          <t>кг</t>
        </is>
      </c>
      <c r="X419" s="1236" t="n">
        <v>1700</v>
      </c>
      <c r="Y419" s="1237">
        <f>IFERROR(IF(X419="",0,CEILING((X419/$H419),1)*$H419),"")</f>
        <v/>
      </c>
      <c r="Z419" s="41">
        <f>IFERROR(IF(Y419=0,"",ROUNDUP(Y419/H419,0)*0.02175),"")</f>
        <v/>
      </c>
      <c r="AA419" s="68" t="inlineStr"/>
      <c r="AB419" s="69" t="inlineStr"/>
      <c r="AC419" s="508" t="inlineStr">
        <is>
          <t>ЕАЭС № RU Д- RU.АБ75.В.01032/20</t>
        </is>
      </c>
      <c r="AG419" s="78" t="n"/>
      <c r="AJ419" s="84" t="inlineStr">
        <is>
          <t>Палетта</t>
        </is>
      </c>
      <c r="AK419" s="84" t="n">
        <v>720</v>
      </c>
      <c r="BB419" s="509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SU002027</t>
        </is>
      </c>
      <c r="B420" s="63" t="inlineStr">
        <is>
          <t>P002556</t>
        </is>
      </c>
      <c r="C420" s="36" t="n">
        <v>4301020179</v>
      </c>
      <c r="D420" s="832" t="n">
        <v>4607091384178</v>
      </c>
      <c r="E420" s="1193" t="n"/>
      <c r="F420" s="1232" t="n">
        <v>0.4</v>
      </c>
      <c r="G420" s="37" t="n">
        <v>10</v>
      </c>
      <c r="H420" s="1232" t="n">
        <v>4</v>
      </c>
      <c r="I420" s="1232" t="n">
        <v>4.21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СК1</t>
        </is>
      </c>
      <c r="N420" s="38" t="n"/>
      <c r="O420" s="37" t="n">
        <v>50</v>
      </c>
      <c r="P420" s="14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20" s="1234" t="n"/>
      <c r="R420" s="1234" t="n"/>
      <c r="S420" s="1234" t="n"/>
      <c r="T420" s="1235" t="n"/>
      <c r="U420" s="39" t="inlineStr"/>
      <c r="V420" s="39" t="inlineStr"/>
      <c r="W420" s="40" t="inlineStr">
        <is>
          <t>кг</t>
        </is>
      </c>
      <c r="X420" s="1236" t="n">
        <v>4</v>
      </c>
      <c r="Y420" s="1237">
        <f>IFERROR(IF(X420="",0,CEILING((X420/$H420),1)*$H420),"")</f>
        <v/>
      </c>
      <c r="Z420" s="41">
        <f>IFERROR(IF(Y420=0,"",ROUNDUP(Y420/H420,0)*0.00902),"")</f>
        <v/>
      </c>
      <c r="AA420" s="68" t="inlineStr"/>
      <c r="AB420" s="69" t="inlineStr"/>
      <c r="AC420" s="510" t="inlineStr">
        <is>
          <t>ЕАЭС № RU Д- RU.АБ75.В.01032/20</t>
        </is>
      </c>
      <c r="AG420" s="78" t="n"/>
      <c r="AJ420" s="84" t="inlineStr"/>
      <c r="AK420" s="84" t="n">
        <v>0</v>
      </c>
      <c r="BB420" s="511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>
      <c r="A421" s="843" t="n"/>
      <c r="B421" s="1182" t="n"/>
      <c r="C421" s="1182" t="n"/>
      <c r="D421" s="1182" t="n"/>
      <c r="E421" s="1182" t="n"/>
      <c r="F421" s="1182" t="n"/>
      <c r="G421" s="1182" t="n"/>
      <c r="H421" s="1182" t="n"/>
      <c r="I421" s="1182" t="n"/>
      <c r="J421" s="1182" t="n"/>
      <c r="K421" s="1182" t="n"/>
      <c r="L421" s="1182" t="n"/>
      <c r="M421" s="1182" t="n"/>
      <c r="N421" s="1182" t="n"/>
      <c r="O421" s="1241" t="n"/>
      <c r="P421" s="1242" t="inlineStr">
        <is>
          <t>Итого</t>
        </is>
      </c>
      <c r="Q421" s="1201" t="n"/>
      <c r="R421" s="1201" t="n"/>
      <c r="S421" s="1201" t="n"/>
      <c r="T421" s="1201" t="n"/>
      <c r="U421" s="1201" t="n"/>
      <c r="V421" s="1202" t="n"/>
      <c r="W421" s="42" t="inlineStr">
        <is>
          <t>кор</t>
        </is>
      </c>
      <c r="X421" s="1243">
        <f>IFERROR(X419/H419,"0")+IFERROR(X420/H420,"0")</f>
        <v/>
      </c>
      <c r="Y421" s="1243">
        <f>IFERROR(Y419/H419,"0")+IFERROR(Y420/H420,"0")</f>
        <v/>
      </c>
      <c r="Z421" s="1243">
        <f>IFERROR(IF(Z419="",0,Z419),"0")+IFERROR(IF(Z420="",0,Z420),"0")</f>
        <v/>
      </c>
      <c r="AA421" s="1244" t="n"/>
      <c r="AB421" s="1244" t="n"/>
      <c r="AC421" s="1244" t="n"/>
    </row>
    <row r="422">
      <c r="A422" s="1182" t="n"/>
      <c r="B422" s="1182" t="n"/>
      <c r="C422" s="1182" t="n"/>
      <c r="D422" s="1182" t="n"/>
      <c r="E422" s="1182" t="n"/>
      <c r="F422" s="1182" t="n"/>
      <c r="G422" s="1182" t="n"/>
      <c r="H422" s="1182" t="n"/>
      <c r="I422" s="1182" t="n"/>
      <c r="J422" s="1182" t="n"/>
      <c r="K422" s="1182" t="n"/>
      <c r="L422" s="1182" t="n"/>
      <c r="M422" s="1182" t="n"/>
      <c r="N422" s="1182" t="n"/>
      <c r="O422" s="1241" t="n"/>
      <c r="P422" s="1242" t="inlineStr">
        <is>
          <t>Итого</t>
        </is>
      </c>
      <c r="Q422" s="1201" t="n"/>
      <c r="R422" s="1201" t="n"/>
      <c r="S422" s="1201" t="n"/>
      <c r="T422" s="1201" t="n"/>
      <c r="U422" s="1201" t="n"/>
      <c r="V422" s="1202" t="n"/>
      <c r="W422" s="42" t="inlineStr">
        <is>
          <t>кг</t>
        </is>
      </c>
      <c r="X422" s="1243">
        <f>IFERROR(SUM(X419:X420),"0")</f>
        <v/>
      </c>
      <c r="Y422" s="1243">
        <f>IFERROR(SUM(Y419:Y420),"0")</f>
        <v/>
      </c>
      <c r="Z422" s="42" t="n"/>
      <c r="AA422" s="1244" t="n"/>
      <c r="AB422" s="1244" t="n"/>
      <c r="AC422" s="1244" t="n"/>
    </row>
    <row r="423" ht="14.25" customHeight="1">
      <c r="A423" s="831" t="inlineStr">
        <is>
          <t>Сосиски</t>
        </is>
      </c>
      <c r="B423" s="1182" t="n"/>
      <c r="C423" s="1182" t="n"/>
      <c r="D423" s="1182" t="n"/>
      <c r="E423" s="1182" t="n"/>
      <c r="F423" s="1182" t="n"/>
      <c r="G423" s="1182" t="n"/>
      <c r="H423" s="1182" t="n"/>
      <c r="I423" s="1182" t="n"/>
      <c r="J423" s="1182" t="n"/>
      <c r="K423" s="1182" t="n"/>
      <c r="L423" s="1182" t="n"/>
      <c r="M423" s="1182" t="n"/>
      <c r="N423" s="1182" t="n"/>
      <c r="O423" s="1182" t="n"/>
      <c r="P423" s="1182" t="n"/>
      <c r="Q423" s="1182" t="n"/>
      <c r="R423" s="1182" t="n"/>
      <c r="S423" s="1182" t="n"/>
      <c r="T423" s="1182" t="n"/>
      <c r="U423" s="1182" t="n"/>
      <c r="V423" s="1182" t="n"/>
      <c r="W423" s="1182" t="n"/>
      <c r="X423" s="1182" t="n"/>
      <c r="Y423" s="1182" t="n"/>
      <c r="Z423" s="1182" t="n"/>
      <c r="AA423" s="831" t="n"/>
      <c r="AB423" s="831" t="n"/>
      <c r="AC423" s="831" t="n"/>
    </row>
    <row r="424" ht="27" customHeight="1">
      <c r="A424" s="63" t="inlineStr">
        <is>
          <t>SU003161</t>
        </is>
      </c>
      <c r="B424" s="63" t="inlineStr">
        <is>
          <t>P004847</t>
        </is>
      </c>
      <c r="C424" s="36" t="n">
        <v>4301051903</v>
      </c>
      <c r="D424" s="832" t="n">
        <v>4607091383928</v>
      </c>
      <c r="E424" s="1193" t="n"/>
      <c r="F424" s="1232" t="n">
        <v>1.5</v>
      </c>
      <c r="G424" s="37" t="n">
        <v>6</v>
      </c>
      <c r="H424" s="1232" t="n">
        <v>9</v>
      </c>
      <c r="I424" s="1232" t="n">
        <v>9.525</v>
      </c>
      <c r="J424" s="37" t="n">
        <v>64</v>
      </c>
      <c r="K424" s="37" t="inlineStr">
        <is>
          <t>8</t>
        </is>
      </c>
      <c r="L424" s="37" t="inlineStr"/>
      <c r="M424" s="38" t="inlineStr">
        <is>
          <t>СК3</t>
        </is>
      </c>
      <c r="N424" s="38" t="n"/>
      <c r="O424" s="37" t="n">
        <v>40</v>
      </c>
      <c r="P424" s="1454" t="inlineStr">
        <is>
          <t>Сосиски «Датские» Весовой п/а ТМ «Особый рецепт»</t>
        </is>
      </c>
      <c r="Q424" s="1234" t="n"/>
      <c r="R424" s="1234" t="n"/>
      <c r="S424" s="1234" t="n"/>
      <c r="T424" s="1235" t="n"/>
      <c r="U424" s="39" t="inlineStr"/>
      <c r="V424" s="39" t="inlineStr"/>
      <c r="W424" s="40" t="inlineStr">
        <is>
          <t>кг</t>
        </is>
      </c>
      <c r="X424" s="1236" t="n">
        <v>0</v>
      </c>
      <c r="Y424" s="1237">
        <f>IFERROR(IF(X424="",0,CEILING((X424/$H424),1)*$H424),"")</f>
        <v/>
      </c>
      <c r="Z424" s="41">
        <f>IFERROR(IF(Y424=0,"",ROUNDUP(Y424/H424,0)*0.01898),"")</f>
        <v/>
      </c>
      <c r="AA424" s="68" t="inlineStr"/>
      <c r="AB424" s="69" t="inlineStr"/>
      <c r="AC424" s="512" t="inlineStr">
        <is>
          <t>ЕАЭС N RU Д-RU.РА01.В.87343/24, ЕАЭС N RU Д-RU.РА01.В.87437/24</t>
        </is>
      </c>
      <c r="AG424" s="78" t="n"/>
      <c r="AJ424" s="84" t="inlineStr"/>
      <c r="AK424" s="84" t="n">
        <v>0</v>
      </c>
      <c r="BB424" s="513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SU000246</t>
        </is>
      </c>
      <c r="B425" s="63" t="inlineStr">
        <is>
          <t>P004843</t>
        </is>
      </c>
      <c r="C425" s="36" t="n">
        <v>4301051897</v>
      </c>
      <c r="D425" s="832" t="n">
        <v>4607091384260</v>
      </c>
      <c r="E425" s="1193" t="n"/>
      <c r="F425" s="1232" t="n">
        <v>1.5</v>
      </c>
      <c r="G425" s="37" t="n">
        <v>6</v>
      </c>
      <c r="H425" s="1232" t="n">
        <v>9</v>
      </c>
      <c r="I425" s="1232" t="n">
        <v>9.519</v>
      </c>
      <c r="J425" s="37" t="n">
        <v>64</v>
      </c>
      <c r="K425" s="37" t="inlineStr">
        <is>
          <t>8</t>
        </is>
      </c>
      <c r="L425" s="37" t="inlineStr"/>
      <c r="M425" s="38" t="inlineStr">
        <is>
          <t>СК3</t>
        </is>
      </c>
      <c r="N425" s="38" t="n"/>
      <c r="O425" s="37" t="n">
        <v>40</v>
      </c>
      <c r="P425" s="1455" t="inlineStr">
        <is>
          <t>Сосиски «Молочные оригинальные» Весовой п/а ТМ «Особый рецепт»</t>
        </is>
      </c>
      <c r="Q425" s="1234" t="n"/>
      <c r="R425" s="1234" t="n"/>
      <c r="S425" s="1234" t="n"/>
      <c r="T425" s="1235" t="n"/>
      <c r="U425" s="39" t="inlineStr"/>
      <c r="V425" s="39" t="inlineStr"/>
      <c r="W425" s="40" t="inlineStr">
        <is>
          <t>кг</t>
        </is>
      </c>
      <c r="X425" s="1236" t="n">
        <v>30</v>
      </c>
      <c r="Y425" s="1237">
        <f>IFERROR(IF(X425="",0,CEILING((X425/$H425),1)*$H425),"")</f>
        <v/>
      </c>
      <c r="Z425" s="41">
        <f>IFERROR(IF(Y425=0,"",ROUNDUP(Y425/H425,0)*0.01898),"")</f>
        <v/>
      </c>
      <c r="AA425" s="68" t="inlineStr"/>
      <c r="AB425" s="69" t="inlineStr"/>
      <c r="AC425" s="514" t="inlineStr">
        <is>
          <t>ЕАЭС N RU Д-RU.РА03.В.23071/24, ЕАЭС N RU Д-RU.РА03.В.25758/24</t>
        </is>
      </c>
      <c r="AG425" s="78" t="n"/>
      <c r="AJ425" s="84" t="inlineStr"/>
      <c r="AK425" s="84" t="n">
        <v>0</v>
      </c>
      <c r="BB425" s="515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>
      <c r="A426" s="843" t="n"/>
      <c r="B426" s="1182" t="n"/>
      <c r="C426" s="1182" t="n"/>
      <c r="D426" s="1182" t="n"/>
      <c r="E426" s="1182" t="n"/>
      <c r="F426" s="1182" t="n"/>
      <c r="G426" s="1182" t="n"/>
      <c r="H426" s="1182" t="n"/>
      <c r="I426" s="1182" t="n"/>
      <c r="J426" s="1182" t="n"/>
      <c r="K426" s="1182" t="n"/>
      <c r="L426" s="1182" t="n"/>
      <c r="M426" s="1182" t="n"/>
      <c r="N426" s="1182" t="n"/>
      <c r="O426" s="1241" t="n"/>
      <c r="P426" s="1242" t="inlineStr">
        <is>
          <t>Итого</t>
        </is>
      </c>
      <c r="Q426" s="1201" t="n"/>
      <c r="R426" s="1201" t="n"/>
      <c r="S426" s="1201" t="n"/>
      <c r="T426" s="1201" t="n"/>
      <c r="U426" s="1201" t="n"/>
      <c r="V426" s="1202" t="n"/>
      <c r="W426" s="42" t="inlineStr">
        <is>
          <t>кор</t>
        </is>
      </c>
      <c r="X426" s="1243">
        <f>IFERROR(X424/H424,"0")+IFERROR(X425/H425,"0")</f>
        <v/>
      </c>
      <c r="Y426" s="1243">
        <f>IFERROR(Y424/H424,"0")+IFERROR(Y425/H425,"0")</f>
        <v/>
      </c>
      <c r="Z426" s="1243">
        <f>IFERROR(IF(Z424="",0,Z424),"0")+IFERROR(IF(Z425="",0,Z425),"0")</f>
        <v/>
      </c>
      <c r="AA426" s="1244" t="n"/>
      <c r="AB426" s="1244" t="n"/>
      <c r="AC426" s="1244" t="n"/>
    </row>
    <row r="427">
      <c r="A427" s="1182" t="n"/>
      <c r="B427" s="1182" t="n"/>
      <c r="C427" s="1182" t="n"/>
      <c r="D427" s="1182" t="n"/>
      <c r="E427" s="1182" t="n"/>
      <c r="F427" s="1182" t="n"/>
      <c r="G427" s="1182" t="n"/>
      <c r="H427" s="1182" t="n"/>
      <c r="I427" s="1182" t="n"/>
      <c r="J427" s="1182" t="n"/>
      <c r="K427" s="1182" t="n"/>
      <c r="L427" s="1182" t="n"/>
      <c r="M427" s="1182" t="n"/>
      <c r="N427" s="1182" t="n"/>
      <c r="O427" s="1241" t="n"/>
      <c r="P427" s="1242" t="inlineStr">
        <is>
          <t>Итого</t>
        </is>
      </c>
      <c r="Q427" s="1201" t="n"/>
      <c r="R427" s="1201" t="n"/>
      <c r="S427" s="1201" t="n"/>
      <c r="T427" s="1201" t="n"/>
      <c r="U427" s="1201" t="n"/>
      <c r="V427" s="1202" t="n"/>
      <c r="W427" s="42" t="inlineStr">
        <is>
          <t>кг</t>
        </is>
      </c>
      <c r="X427" s="1243">
        <f>IFERROR(SUM(X424:X425),"0")</f>
        <v/>
      </c>
      <c r="Y427" s="1243">
        <f>IFERROR(SUM(Y424:Y425),"0")</f>
        <v/>
      </c>
      <c r="Z427" s="42" t="n"/>
      <c r="AA427" s="1244" t="n"/>
      <c r="AB427" s="1244" t="n"/>
      <c r="AC427" s="1244" t="n"/>
    </row>
    <row r="428" ht="14.25" customHeight="1">
      <c r="A428" s="831" t="inlineStr">
        <is>
          <t>Сардельки</t>
        </is>
      </c>
      <c r="B428" s="1182" t="n"/>
      <c r="C428" s="1182" t="n"/>
      <c r="D428" s="1182" t="n"/>
      <c r="E428" s="1182" t="n"/>
      <c r="F428" s="1182" t="n"/>
      <c r="G428" s="1182" t="n"/>
      <c r="H428" s="1182" t="n"/>
      <c r="I428" s="1182" t="n"/>
      <c r="J428" s="1182" t="n"/>
      <c r="K428" s="1182" t="n"/>
      <c r="L428" s="1182" t="n"/>
      <c r="M428" s="1182" t="n"/>
      <c r="N428" s="1182" t="n"/>
      <c r="O428" s="1182" t="n"/>
      <c r="P428" s="1182" t="n"/>
      <c r="Q428" s="1182" t="n"/>
      <c r="R428" s="1182" t="n"/>
      <c r="S428" s="1182" t="n"/>
      <c r="T428" s="1182" t="n"/>
      <c r="U428" s="1182" t="n"/>
      <c r="V428" s="1182" t="n"/>
      <c r="W428" s="1182" t="n"/>
      <c r="X428" s="1182" t="n"/>
      <c r="Y428" s="1182" t="n"/>
      <c r="Z428" s="1182" t="n"/>
      <c r="AA428" s="831" t="n"/>
      <c r="AB428" s="831" t="n"/>
      <c r="AC428" s="831" t="n"/>
    </row>
    <row r="429" ht="27" customHeight="1">
      <c r="A429" s="63" t="inlineStr">
        <is>
          <t>SU002287</t>
        </is>
      </c>
      <c r="B429" s="63" t="inlineStr">
        <is>
          <t>P004845</t>
        </is>
      </c>
      <c r="C429" s="36" t="n">
        <v>4301060439</v>
      </c>
      <c r="D429" s="832" t="n">
        <v>4607091384673</v>
      </c>
      <c r="E429" s="1193" t="n"/>
      <c r="F429" s="1232" t="n">
        <v>1.5</v>
      </c>
      <c r="G429" s="37" t="n">
        <v>6</v>
      </c>
      <c r="H429" s="1232" t="n">
        <v>9</v>
      </c>
      <c r="I429" s="1232" t="n">
        <v>9.519</v>
      </c>
      <c r="J429" s="37" t="n">
        <v>64</v>
      </c>
      <c r="K429" s="37" t="inlineStr">
        <is>
          <t>8</t>
        </is>
      </c>
      <c r="L429" s="37" t="inlineStr"/>
      <c r="M429" s="38" t="inlineStr">
        <is>
          <t>СК3</t>
        </is>
      </c>
      <c r="N429" s="38" t="n"/>
      <c r="O429" s="37" t="n">
        <v>30</v>
      </c>
      <c r="P429" s="1456" t="inlineStr">
        <is>
          <t>Сардельки «Сочные» Весовой п/а ТМ «Особый рецепт»</t>
        </is>
      </c>
      <c r="Q429" s="1234" t="n"/>
      <c r="R429" s="1234" t="n"/>
      <c r="S429" s="1234" t="n"/>
      <c r="T429" s="1235" t="n"/>
      <c r="U429" s="39" t="inlineStr"/>
      <c r="V429" s="39" t="inlineStr"/>
      <c r="W429" s="40" t="inlineStr">
        <is>
          <t>кг</t>
        </is>
      </c>
      <c r="X429" s="1236" t="n">
        <v>30</v>
      </c>
      <c r="Y429" s="1237">
        <f>IFERROR(IF(X429="",0,CEILING((X429/$H429),1)*$H429),"")</f>
        <v/>
      </c>
      <c r="Z429" s="41">
        <f>IFERROR(IF(Y429=0,"",ROUNDUP(Y429/H429,0)*0.01898),"")</f>
        <v/>
      </c>
      <c r="AA429" s="68" t="inlineStr"/>
      <c r="AB429" s="69" t="inlineStr"/>
      <c r="AC429" s="516" t="inlineStr">
        <is>
          <t>ЕАЭС N RU Д-RU.РА01.В.87692/24, ЕАЭС N RU Д-RU.РА01.В.87698/24</t>
        </is>
      </c>
      <c r="AG429" s="78" t="n"/>
      <c r="AJ429" s="84" t="inlineStr"/>
      <c r="AK429" s="84" t="n">
        <v>0</v>
      </c>
      <c r="BB429" s="517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>
      <c r="A430" s="843" t="n"/>
      <c r="B430" s="1182" t="n"/>
      <c r="C430" s="1182" t="n"/>
      <c r="D430" s="1182" t="n"/>
      <c r="E430" s="1182" t="n"/>
      <c r="F430" s="1182" t="n"/>
      <c r="G430" s="1182" t="n"/>
      <c r="H430" s="1182" t="n"/>
      <c r="I430" s="1182" t="n"/>
      <c r="J430" s="1182" t="n"/>
      <c r="K430" s="1182" t="n"/>
      <c r="L430" s="1182" t="n"/>
      <c r="M430" s="1182" t="n"/>
      <c r="N430" s="1182" t="n"/>
      <c r="O430" s="1241" t="n"/>
      <c r="P430" s="1242" t="inlineStr">
        <is>
          <t>Итого</t>
        </is>
      </c>
      <c r="Q430" s="1201" t="n"/>
      <c r="R430" s="1201" t="n"/>
      <c r="S430" s="1201" t="n"/>
      <c r="T430" s="1201" t="n"/>
      <c r="U430" s="1201" t="n"/>
      <c r="V430" s="1202" t="n"/>
      <c r="W430" s="42" t="inlineStr">
        <is>
          <t>кор</t>
        </is>
      </c>
      <c r="X430" s="1243">
        <f>IFERROR(X429/H429,"0")</f>
        <v/>
      </c>
      <c r="Y430" s="1243">
        <f>IFERROR(Y429/H429,"0")</f>
        <v/>
      </c>
      <c r="Z430" s="1243">
        <f>IFERROR(IF(Z429="",0,Z429),"0")</f>
        <v/>
      </c>
      <c r="AA430" s="1244" t="n"/>
      <c r="AB430" s="1244" t="n"/>
      <c r="AC430" s="1244" t="n"/>
    </row>
    <row r="431">
      <c r="A431" s="1182" t="n"/>
      <c r="B431" s="1182" t="n"/>
      <c r="C431" s="1182" t="n"/>
      <c r="D431" s="1182" t="n"/>
      <c r="E431" s="1182" t="n"/>
      <c r="F431" s="1182" t="n"/>
      <c r="G431" s="1182" t="n"/>
      <c r="H431" s="1182" t="n"/>
      <c r="I431" s="1182" t="n"/>
      <c r="J431" s="1182" t="n"/>
      <c r="K431" s="1182" t="n"/>
      <c r="L431" s="1182" t="n"/>
      <c r="M431" s="1182" t="n"/>
      <c r="N431" s="1182" t="n"/>
      <c r="O431" s="1241" t="n"/>
      <c r="P431" s="1242" t="inlineStr">
        <is>
          <t>Итого</t>
        </is>
      </c>
      <c r="Q431" s="1201" t="n"/>
      <c r="R431" s="1201" t="n"/>
      <c r="S431" s="1201" t="n"/>
      <c r="T431" s="1201" t="n"/>
      <c r="U431" s="1201" t="n"/>
      <c r="V431" s="1202" t="n"/>
      <c r="W431" s="42" t="inlineStr">
        <is>
          <t>кг</t>
        </is>
      </c>
      <c r="X431" s="1243">
        <f>IFERROR(SUM(X429:X429),"0")</f>
        <v/>
      </c>
      <c r="Y431" s="1243">
        <f>IFERROR(SUM(Y429:Y429),"0")</f>
        <v/>
      </c>
      <c r="Z431" s="42" t="n"/>
      <c r="AA431" s="1244" t="n"/>
      <c r="AB431" s="1244" t="n"/>
      <c r="AC431" s="1244" t="n"/>
    </row>
    <row r="432" ht="16.5" customHeight="1">
      <c r="A432" s="830" t="inlineStr">
        <is>
          <t>Особая Без свинины</t>
        </is>
      </c>
      <c r="B432" s="1182" t="n"/>
      <c r="C432" s="1182" t="n"/>
      <c r="D432" s="1182" t="n"/>
      <c r="E432" s="1182" t="n"/>
      <c r="F432" s="1182" t="n"/>
      <c r="G432" s="1182" t="n"/>
      <c r="H432" s="1182" t="n"/>
      <c r="I432" s="1182" t="n"/>
      <c r="J432" s="1182" t="n"/>
      <c r="K432" s="1182" t="n"/>
      <c r="L432" s="1182" t="n"/>
      <c r="M432" s="1182" t="n"/>
      <c r="N432" s="1182" t="n"/>
      <c r="O432" s="1182" t="n"/>
      <c r="P432" s="1182" t="n"/>
      <c r="Q432" s="1182" t="n"/>
      <c r="R432" s="1182" t="n"/>
      <c r="S432" s="1182" t="n"/>
      <c r="T432" s="1182" t="n"/>
      <c r="U432" s="1182" t="n"/>
      <c r="V432" s="1182" t="n"/>
      <c r="W432" s="1182" t="n"/>
      <c r="X432" s="1182" t="n"/>
      <c r="Y432" s="1182" t="n"/>
      <c r="Z432" s="1182" t="n"/>
      <c r="AA432" s="830" t="n"/>
      <c r="AB432" s="830" t="n"/>
      <c r="AC432" s="830" t="n"/>
    </row>
    <row r="433" ht="14.25" customHeight="1">
      <c r="A433" s="831" t="inlineStr">
        <is>
          <t>Вареные колбасы</t>
        </is>
      </c>
      <c r="B433" s="1182" t="n"/>
      <c r="C433" s="1182" t="n"/>
      <c r="D433" s="1182" t="n"/>
      <c r="E433" s="1182" t="n"/>
      <c r="F433" s="1182" t="n"/>
      <c r="G433" s="1182" t="n"/>
      <c r="H433" s="1182" t="n"/>
      <c r="I433" s="1182" t="n"/>
      <c r="J433" s="1182" t="n"/>
      <c r="K433" s="1182" t="n"/>
      <c r="L433" s="1182" t="n"/>
      <c r="M433" s="1182" t="n"/>
      <c r="N433" s="1182" t="n"/>
      <c r="O433" s="1182" t="n"/>
      <c r="P433" s="1182" t="n"/>
      <c r="Q433" s="1182" t="n"/>
      <c r="R433" s="1182" t="n"/>
      <c r="S433" s="1182" t="n"/>
      <c r="T433" s="1182" t="n"/>
      <c r="U433" s="1182" t="n"/>
      <c r="V433" s="1182" t="n"/>
      <c r="W433" s="1182" t="n"/>
      <c r="X433" s="1182" t="n"/>
      <c r="Y433" s="1182" t="n"/>
      <c r="Z433" s="1182" t="n"/>
      <c r="AA433" s="831" t="n"/>
      <c r="AB433" s="831" t="n"/>
      <c r="AC433" s="831" t="n"/>
    </row>
    <row r="434" ht="37.5" customHeight="1">
      <c r="A434" s="63" t="inlineStr">
        <is>
          <t>SU002899</t>
        </is>
      </c>
      <c r="B434" s="63" t="inlineStr">
        <is>
          <t>P004261</t>
        </is>
      </c>
      <c r="C434" s="36" t="n">
        <v>4301011873</v>
      </c>
      <c r="D434" s="832" t="n">
        <v>4680115881907</v>
      </c>
      <c r="E434" s="1193" t="n"/>
      <c r="F434" s="1232" t="n">
        <v>1.8</v>
      </c>
      <c r="G434" s="37" t="n">
        <v>6</v>
      </c>
      <c r="H434" s="1232" t="n">
        <v>10.8</v>
      </c>
      <c r="I434" s="1232" t="n">
        <v>11.235</v>
      </c>
      <c r="J434" s="37" t="n">
        <v>64</v>
      </c>
      <c r="K434" s="37" t="inlineStr">
        <is>
          <t>8</t>
        </is>
      </c>
      <c r="L434" s="37" t="inlineStr"/>
      <c r="M434" s="38" t="inlineStr">
        <is>
          <t>СК2</t>
        </is>
      </c>
      <c r="N434" s="38" t="n"/>
      <c r="O434" s="37" t="n">
        <v>60</v>
      </c>
      <c r="P434" s="145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34" s="1234" t="n"/>
      <c r="R434" s="1234" t="n"/>
      <c r="S434" s="1234" t="n"/>
      <c r="T434" s="1235" t="n"/>
      <c r="U434" s="39" t="inlineStr"/>
      <c r="V434" s="39" t="inlineStr"/>
      <c r="W434" s="40" t="inlineStr">
        <is>
          <t>кг</t>
        </is>
      </c>
      <c r="X434" s="1236" t="n">
        <v>0</v>
      </c>
      <c r="Y434" s="1237">
        <f>IFERROR(IF(X434="",0,CEILING((X434/$H434),1)*$H434),"")</f>
        <v/>
      </c>
      <c r="Z434" s="41">
        <f>IFERROR(IF(Y434=0,"",ROUNDUP(Y434/H434,0)*0.01898),"")</f>
        <v/>
      </c>
      <c r="AA434" s="68" t="inlineStr"/>
      <c r="AB434" s="69" t="inlineStr"/>
      <c r="AC434" s="518" t="inlineStr">
        <is>
          <t>ЕАЭС N RU Д-RU.РА01.В.47907/24, ЕАЭС N RU Д-RU.РА09.В.95878/24, ЕАЭС N RU Д-RU.РА10.В.10927/24</t>
        </is>
      </c>
      <c r="AG434" s="78" t="n"/>
      <c r="AJ434" s="84" t="inlineStr"/>
      <c r="AK434" s="84" t="n">
        <v>0</v>
      </c>
      <c r="BB434" s="519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 ht="27" customHeight="1">
      <c r="A435" s="63" t="inlineStr">
        <is>
          <t>SU002899</t>
        </is>
      </c>
      <c r="B435" s="63" t="inlineStr">
        <is>
          <t>P003323</t>
        </is>
      </c>
      <c r="C435" s="36" t="n">
        <v>4301011483</v>
      </c>
      <c r="D435" s="832" t="n">
        <v>4680115881907</v>
      </c>
      <c r="E435" s="1193" t="n"/>
      <c r="F435" s="1232" t="n">
        <v>1.8</v>
      </c>
      <c r="G435" s="37" t="n">
        <v>6</v>
      </c>
      <c r="H435" s="1232" t="n">
        <v>10.8</v>
      </c>
      <c r="I435" s="1232" t="n">
        <v>11.235</v>
      </c>
      <c r="J435" s="37" t="n">
        <v>64</v>
      </c>
      <c r="K435" s="37" t="inlineStr">
        <is>
          <t>8</t>
        </is>
      </c>
      <c r="L435" s="37" t="inlineStr"/>
      <c r="M435" s="38" t="inlineStr">
        <is>
          <t>СК2</t>
        </is>
      </c>
      <c r="N435" s="38" t="n"/>
      <c r="O435" s="37" t="n">
        <v>60</v>
      </c>
      <c r="P435" s="14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35" s="1234" t="n"/>
      <c r="R435" s="1234" t="n"/>
      <c r="S435" s="1234" t="n"/>
      <c r="T435" s="1235" t="n"/>
      <c r="U435" s="39" t="inlineStr"/>
      <c r="V435" s="39" t="inlineStr"/>
      <c r="W435" s="40" t="inlineStr">
        <is>
          <t>кг</t>
        </is>
      </c>
      <c r="X435" s="1236" t="n">
        <v>0</v>
      </c>
      <c r="Y435" s="1237">
        <f>IFERROR(IF(X435="",0,CEILING((X435/$H435),1)*$H435),"")</f>
        <v/>
      </c>
      <c r="Z435" s="41">
        <f>IFERROR(IF(Y435=0,"",ROUNDUP(Y435/H435,0)*0.01898),"")</f>
        <v/>
      </c>
      <c r="AA435" s="68" t="inlineStr"/>
      <c r="AB435" s="69" t="inlineStr"/>
      <c r="AC435" s="520" t="inlineStr">
        <is>
          <t>ЕАЭС N RU Д-RU.РА03.В.86680/22</t>
        </is>
      </c>
      <c r="AG435" s="78" t="n"/>
      <c r="AJ435" s="84" t="inlineStr"/>
      <c r="AK435" s="84" t="n">
        <v>0</v>
      </c>
      <c r="BB435" s="521" t="inlineStr">
        <is>
          <t>КИ</t>
        </is>
      </c>
      <c r="BM435" s="78">
        <f>IFERROR(X435*I435/H435,"0")</f>
        <v/>
      </c>
      <c r="BN435" s="78">
        <f>IFERROR(Y435*I435/H435,"0")</f>
        <v/>
      </c>
      <c r="BO435" s="78">
        <f>IFERROR(1/J435*(X435/H435),"0")</f>
        <v/>
      </c>
      <c r="BP435" s="78">
        <f>IFERROR(1/J435*(Y435/H435),"0")</f>
        <v/>
      </c>
    </row>
    <row r="436" ht="37.5" customHeight="1">
      <c r="A436" s="63" t="inlineStr">
        <is>
          <t>SU003226</t>
        </is>
      </c>
      <c r="B436" s="63" t="inlineStr">
        <is>
          <t>P004260</t>
        </is>
      </c>
      <c r="C436" s="36" t="n">
        <v>4301011872</v>
      </c>
      <c r="D436" s="832" t="n">
        <v>4680115883925</v>
      </c>
      <c r="E436" s="1193" t="n"/>
      <c r="F436" s="1232" t="n">
        <v>2.5</v>
      </c>
      <c r="G436" s="37" t="n">
        <v>6</v>
      </c>
      <c r="H436" s="1232" t="n">
        <v>15</v>
      </c>
      <c r="I436" s="1232" t="n">
        <v>15.48</v>
      </c>
      <c r="J436" s="37" t="n">
        <v>48</v>
      </c>
      <c r="K436" s="37" t="inlineStr">
        <is>
          <t>8</t>
        </is>
      </c>
      <c r="L436" s="37" t="inlineStr"/>
      <c r="M436" s="38" t="inlineStr">
        <is>
          <t>СК2</t>
        </is>
      </c>
      <c r="N436" s="38" t="n"/>
      <c r="O436" s="37" t="n">
        <v>60</v>
      </c>
      <c r="P436" s="1459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36" s="1234" t="n"/>
      <c r="R436" s="1234" t="n"/>
      <c r="S436" s="1234" t="n"/>
      <c r="T436" s="1235" t="n"/>
      <c r="U436" s="39" t="inlineStr"/>
      <c r="V436" s="39" t="inlineStr"/>
      <c r="W436" s="40" t="inlineStr">
        <is>
          <t>кг</t>
        </is>
      </c>
      <c r="X436" s="1236" t="n">
        <v>0</v>
      </c>
      <c r="Y436" s="1237">
        <f>IFERROR(IF(X436="",0,CEILING((X436/$H436),1)*$H436),"")</f>
        <v/>
      </c>
      <c r="Z436" s="41">
        <f>IFERROR(IF(Y436=0,"",ROUNDUP(Y436/H436,0)*0.02175),"")</f>
        <v/>
      </c>
      <c r="AA436" s="68" t="inlineStr"/>
      <c r="AB436" s="69" t="inlineStr"/>
      <c r="AC436" s="522" t="inlineStr">
        <is>
          <t>ЕАЭС N RU Д-RU.РА01.В.47907/24, ЕАЭС N RU Д-RU.РА09.В.95878/24, ЕАЭС N RU Д-RU.РА10.В.10927/24</t>
        </is>
      </c>
      <c r="AG436" s="78" t="n"/>
      <c r="AJ436" s="84" t="inlineStr"/>
      <c r="AK436" s="84" t="n">
        <v>0</v>
      </c>
      <c r="BB436" s="523" t="inlineStr">
        <is>
          <t>КИ</t>
        </is>
      </c>
      <c r="BM436" s="78">
        <f>IFERROR(X436*I436/H436,"0")</f>
        <v/>
      </c>
      <c r="BN436" s="78">
        <f>IFERROR(Y436*I436/H436,"0")</f>
        <v/>
      </c>
      <c r="BO436" s="78">
        <f>IFERROR(1/J436*(X436/H436),"0")</f>
        <v/>
      </c>
      <c r="BP436" s="78">
        <f>IFERROR(1/J436*(Y436/H436),"0")</f>
        <v/>
      </c>
    </row>
    <row r="437" ht="27" customHeight="1">
      <c r="A437" s="63" t="inlineStr">
        <is>
          <t>SU003226</t>
        </is>
      </c>
      <c r="B437" s="63" t="inlineStr">
        <is>
          <t>P003844</t>
        </is>
      </c>
      <c r="C437" s="36" t="n">
        <v>4301011655</v>
      </c>
      <c r="D437" s="832" t="n">
        <v>4680115883925</v>
      </c>
      <c r="E437" s="1193" t="n"/>
      <c r="F437" s="1232" t="n">
        <v>2.5</v>
      </c>
      <c r="G437" s="37" t="n">
        <v>6</v>
      </c>
      <c r="H437" s="1232" t="n">
        <v>15</v>
      </c>
      <c r="I437" s="1232" t="n">
        <v>15.48</v>
      </c>
      <c r="J437" s="37" t="n">
        <v>48</v>
      </c>
      <c r="K437" s="37" t="inlineStr">
        <is>
          <t>8</t>
        </is>
      </c>
      <c r="L437" s="37" t="inlineStr"/>
      <c r="M437" s="38" t="inlineStr">
        <is>
          <t>СК2</t>
        </is>
      </c>
      <c r="N437" s="38" t="n"/>
      <c r="O437" s="37" t="n">
        <v>60</v>
      </c>
      <c r="P437" s="146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37" s="1234" t="n"/>
      <c r="R437" s="1234" t="n"/>
      <c r="S437" s="1234" t="n"/>
      <c r="T437" s="1235" t="n"/>
      <c r="U437" s="39" t="inlineStr"/>
      <c r="V437" s="39" t="inlineStr"/>
      <c r="W437" s="40" t="inlineStr">
        <is>
          <t>кг</t>
        </is>
      </c>
      <c r="X437" s="1236" t="n">
        <v>0</v>
      </c>
      <c r="Y437" s="1237">
        <f>IFERROR(IF(X437="",0,CEILING((X437/$H437),1)*$H437),"")</f>
        <v/>
      </c>
      <c r="Z437" s="41">
        <f>IFERROR(IF(Y437=0,"",ROUNDUP(Y437/H437,0)*0.02175),"")</f>
        <v/>
      </c>
      <c r="AA437" s="68" t="inlineStr"/>
      <c r="AB437" s="69" t="inlineStr"/>
      <c r="AC437" s="524" t="inlineStr">
        <is>
          <t>ЕАЭС N RU Д-RU.РА03.В.86680/22</t>
        </is>
      </c>
      <c r="AG437" s="78" t="n"/>
      <c r="AJ437" s="84" t="inlineStr"/>
      <c r="AK437" s="84" t="n">
        <v>0</v>
      </c>
      <c r="BB437" s="525" t="inlineStr">
        <is>
          <t>КИ</t>
        </is>
      </c>
      <c r="BM437" s="78">
        <f>IFERROR(X437*I437/H437,"0")</f>
        <v/>
      </c>
      <c r="BN437" s="78">
        <f>IFERROR(Y437*I437/H437,"0")</f>
        <v/>
      </c>
      <c r="BO437" s="78">
        <f>IFERROR(1/J437*(X437/H437),"0")</f>
        <v/>
      </c>
      <c r="BP437" s="78">
        <f>IFERROR(1/J437*(Y437/H437),"0")</f>
        <v/>
      </c>
    </row>
    <row r="438" ht="37.5" customHeight="1">
      <c r="A438" s="63" t="inlineStr">
        <is>
          <t>SU002187</t>
        </is>
      </c>
      <c r="B438" s="63" t="inlineStr">
        <is>
          <t>P002559</t>
        </is>
      </c>
      <c r="C438" s="36" t="n">
        <v>4301011312</v>
      </c>
      <c r="D438" s="832" t="n">
        <v>4607091384192</v>
      </c>
      <c r="E438" s="1193" t="n"/>
      <c r="F438" s="1232" t="n">
        <v>1.8</v>
      </c>
      <c r="G438" s="37" t="n">
        <v>6</v>
      </c>
      <c r="H438" s="1232" t="n">
        <v>10.8</v>
      </c>
      <c r="I438" s="1232" t="n">
        <v>11.235</v>
      </c>
      <c r="J438" s="37" t="n">
        <v>64</v>
      </c>
      <c r="K438" s="37" t="inlineStr">
        <is>
          <t>8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4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38" s="1234" t="n"/>
      <c r="R438" s="1234" t="n"/>
      <c r="S438" s="1234" t="n"/>
      <c r="T438" s="1235" t="n"/>
      <c r="U438" s="39" t="inlineStr"/>
      <c r="V438" s="39" t="inlineStr"/>
      <c r="W438" s="40" t="inlineStr">
        <is>
          <t>кг</t>
        </is>
      </c>
      <c r="X438" s="1236" t="n">
        <v>0</v>
      </c>
      <c r="Y438" s="1237">
        <f>IFERROR(IF(X438="",0,CEILING((X438/$H438),1)*$H438),"")</f>
        <v/>
      </c>
      <c r="Z438" s="41">
        <f>IFERROR(IF(Y438=0,"",ROUNDUP(Y438/H438,0)*0.01898),"")</f>
        <v/>
      </c>
      <c r="AA438" s="68" t="inlineStr"/>
      <c r="AB438" s="69" t="inlineStr"/>
      <c r="AC438" s="526" t="inlineStr">
        <is>
          <t>ЕАЭС N RU Д-RU.РА01.В.58959/20, ЕАЭС N RU Д-RU.РА01.В.58970/20, ЕАЭС N RU Д-RU.РА09.В.43414/22</t>
        </is>
      </c>
      <c r="AG438" s="78" t="n"/>
      <c r="AJ438" s="84" t="inlineStr"/>
      <c r="AK438" s="84" t="n">
        <v>0</v>
      </c>
      <c r="BB438" s="527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37.5" customHeight="1">
      <c r="A439" s="63" t="inlineStr">
        <is>
          <t>SU003424</t>
        </is>
      </c>
      <c r="B439" s="63" t="inlineStr">
        <is>
          <t>P004259</t>
        </is>
      </c>
      <c r="C439" s="36" t="n">
        <v>4301011874</v>
      </c>
      <c r="D439" s="832" t="n">
        <v>4680115884892</v>
      </c>
      <c r="E439" s="1193" t="n"/>
      <c r="F439" s="1232" t="n">
        <v>1.8</v>
      </c>
      <c r="G439" s="37" t="n">
        <v>6</v>
      </c>
      <c r="H439" s="1232" t="n">
        <v>10.8</v>
      </c>
      <c r="I439" s="1232" t="n">
        <v>11.235</v>
      </c>
      <c r="J439" s="37" t="n">
        <v>64</v>
      </c>
      <c r="K439" s="37" t="inlineStr">
        <is>
          <t>8</t>
        </is>
      </c>
      <c r="L439" s="37" t="inlineStr"/>
      <c r="M439" s="38" t="inlineStr">
        <is>
          <t>СК2</t>
        </is>
      </c>
      <c r="N439" s="38" t="n"/>
      <c r="O439" s="37" t="n">
        <v>60</v>
      </c>
      <c r="P439" s="1462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39" s="1234" t="n"/>
      <c r="R439" s="1234" t="n"/>
      <c r="S439" s="1234" t="n"/>
      <c r="T439" s="1235" t="n"/>
      <c r="U439" s="39" t="inlineStr"/>
      <c r="V439" s="39" t="inlineStr"/>
      <c r="W439" s="40" t="inlineStr">
        <is>
          <t>кг</t>
        </is>
      </c>
      <c r="X439" s="1236" t="n">
        <v>0</v>
      </c>
      <c r="Y439" s="1237">
        <f>IFERROR(IF(X439="",0,CEILING((X439/$H439),1)*$H439),"")</f>
        <v/>
      </c>
      <c r="Z439" s="41">
        <f>IFERROR(IF(Y439=0,"",ROUNDUP(Y439/H439,0)*0.01898),"")</f>
        <v/>
      </c>
      <c r="AA439" s="68" t="inlineStr"/>
      <c r="AB439" s="69" t="inlineStr"/>
      <c r="AC439" s="528" t="inlineStr">
        <is>
          <t>ЕАЭС N RU Д-RU.РА03.В.31251/24, ЕАЭС N RU Д-RU.РА09.В.96881/24, ЕАЭС N RU Д-RU.РА10.В.04488/24</t>
        </is>
      </c>
      <c r="AG439" s="78" t="n"/>
      <c r="AJ439" s="84" t="inlineStr"/>
      <c r="AK439" s="84" t="n">
        <v>0</v>
      </c>
      <c r="BB439" s="529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 ht="37.5" customHeight="1">
      <c r="A440" s="63" t="inlineStr">
        <is>
          <t>SU003425</t>
        </is>
      </c>
      <c r="B440" s="63" t="inlineStr">
        <is>
          <t>P004273</t>
        </is>
      </c>
      <c r="C440" s="36" t="n">
        <v>4301011875</v>
      </c>
      <c r="D440" s="832" t="n">
        <v>4680115884885</v>
      </c>
      <c r="E440" s="1193" t="n"/>
      <c r="F440" s="1232" t="n">
        <v>0.8</v>
      </c>
      <c r="G440" s="37" t="n">
        <v>15</v>
      </c>
      <c r="H440" s="1232" t="n">
        <v>12</v>
      </c>
      <c r="I440" s="1232" t="n">
        <v>12.435</v>
      </c>
      <c r="J440" s="37" t="n">
        <v>64</v>
      </c>
      <c r="K440" s="37" t="inlineStr">
        <is>
          <t>8</t>
        </is>
      </c>
      <c r="L440" s="37" t="inlineStr"/>
      <c r="M440" s="38" t="inlineStr">
        <is>
          <t>СК2</t>
        </is>
      </c>
      <c r="N440" s="38" t="n"/>
      <c r="O440" s="37" t="n">
        <v>60</v>
      </c>
      <c r="P440" s="1463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40" s="1234" t="n"/>
      <c r="R440" s="1234" t="n"/>
      <c r="S440" s="1234" t="n"/>
      <c r="T440" s="1235" t="n"/>
      <c r="U440" s="39" t="inlineStr"/>
      <c r="V440" s="39" t="inlineStr"/>
      <c r="W440" s="40" t="inlineStr">
        <is>
          <t>кг</t>
        </is>
      </c>
      <c r="X440" s="1236" t="n">
        <v>80</v>
      </c>
      <c r="Y440" s="1237">
        <f>IFERROR(IF(X440="",0,CEILING((X440/$H440),1)*$H440),"")</f>
        <v/>
      </c>
      <c r="Z440" s="41">
        <f>IFERROR(IF(Y440=0,"",ROUNDUP(Y440/H440,0)*0.01898),"")</f>
        <v/>
      </c>
      <c r="AA440" s="68" t="inlineStr"/>
      <c r="AB440" s="69" t="inlineStr"/>
      <c r="AC440" s="530" t="inlineStr">
        <is>
          <t>ЕАЭС N RU Д-RU.РА03.В.31251/24, ЕАЭС N RU Д-RU.РА09.В.96881/24, ЕАЭС N RU Д-RU.РА10.В.04488/24</t>
        </is>
      </c>
      <c r="AG440" s="78" t="n"/>
      <c r="AJ440" s="84" t="inlineStr"/>
      <c r="AK440" s="84" t="n">
        <v>0</v>
      </c>
      <c r="BB440" s="531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37.5" customHeight="1">
      <c r="A441" s="63" t="inlineStr">
        <is>
          <t>SU003426</t>
        </is>
      </c>
      <c r="B441" s="63" t="inlineStr">
        <is>
          <t>P004258</t>
        </is>
      </c>
      <c r="C441" s="36" t="n">
        <v>4301011871</v>
      </c>
      <c r="D441" s="832" t="n">
        <v>4680115884908</v>
      </c>
      <c r="E441" s="1193" t="n"/>
      <c r="F441" s="1232" t="n">
        <v>0.4</v>
      </c>
      <c r="G441" s="37" t="n">
        <v>10</v>
      </c>
      <c r="H441" s="1232" t="n">
        <v>4</v>
      </c>
      <c r="I441" s="1232" t="n">
        <v>4.21</v>
      </c>
      <c r="J441" s="37" t="n">
        <v>132</v>
      </c>
      <c r="K441" s="37" t="inlineStr">
        <is>
          <t>12</t>
        </is>
      </c>
      <c r="L441" s="37" t="inlineStr"/>
      <c r="M441" s="38" t="inlineStr">
        <is>
          <t>СК2</t>
        </is>
      </c>
      <c r="N441" s="38" t="n"/>
      <c r="O441" s="37" t="n">
        <v>60</v>
      </c>
      <c r="P441" s="1464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41" s="1234" t="n"/>
      <c r="R441" s="1234" t="n"/>
      <c r="S441" s="1234" t="n"/>
      <c r="T441" s="1235" t="n"/>
      <c r="U441" s="39" t="inlineStr"/>
      <c r="V441" s="39" t="inlineStr"/>
      <c r="W441" s="40" t="inlineStr">
        <is>
          <t>кг</t>
        </is>
      </c>
      <c r="X441" s="1236" t="n">
        <v>0</v>
      </c>
      <c r="Y441" s="1237">
        <f>IFERROR(IF(X441="",0,CEILING((X441/$H441),1)*$H441),"")</f>
        <v/>
      </c>
      <c r="Z441" s="41">
        <f>IFERROR(IF(Y441=0,"",ROUNDUP(Y441/H441,0)*0.00902),"")</f>
        <v/>
      </c>
      <c r="AA441" s="68" t="inlineStr"/>
      <c r="AB441" s="69" t="inlineStr"/>
      <c r="AC441" s="532" t="inlineStr">
        <is>
          <t>ЕАЭС N RU Д-RU.РА03.В.31251/24, ЕАЭС N RU Д-RU.РА09.В.96881/24, ЕАЭС N RU Д-RU.РА10.В.04488/24</t>
        </is>
      </c>
      <c r="AG441" s="78" t="n"/>
      <c r="AJ441" s="84" t="inlineStr"/>
      <c r="AK441" s="84" t="n">
        <v>0</v>
      </c>
      <c r="BB441" s="533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>
      <c r="A442" s="843" t="n"/>
      <c r="B442" s="1182" t="n"/>
      <c r="C442" s="1182" t="n"/>
      <c r="D442" s="1182" t="n"/>
      <c r="E442" s="1182" t="n"/>
      <c r="F442" s="1182" t="n"/>
      <c r="G442" s="1182" t="n"/>
      <c r="H442" s="1182" t="n"/>
      <c r="I442" s="1182" t="n"/>
      <c r="J442" s="1182" t="n"/>
      <c r="K442" s="1182" t="n"/>
      <c r="L442" s="1182" t="n"/>
      <c r="M442" s="1182" t="n"/>
      <c r="N442" s="1182" t="n"/>
      <c r="O442" s="1241" t="n"/>
      <c r="P442" s="1242" t="inlineStr">
        <is>
          <t>Итого</t>
        </is>
      </c>
      <c r="Q442" s="1201" t="n"/>
      <c r="R442" s="1201" t="n"/>
      <c r="S442" s="1201" t="n"/>
      <c r="T442" s="1201" t="n"/>
      <c r="U442" s="1201" t="n"/>
      <c r="V442" s="1202" t="n"/>
      <c r="W442" s="42" t="inlineStr">
        <is>
          <t>кор</t>
        </is>
      </c>
      <c r="X442" s="1243">
        <f>IFERROR(X434/H434,"0")+IFERROR(X435/H435,"0")+IFERROR(X436/H436,"0")+IFERROR(X437/H437,"0")+IFERROR(X438/H438,"0")+IFERROR(X439/H439,"0")+IFERROR(X440/H440,"0")+IFERROR(X441/H441,"0")</f>
        <v/>
      </c>
      <c r="Y442" s="1243">
        <f>IFERROR(Y434/H434,"0")+IFERROR(Y435/H435,"0")+IFERROR(Y436/H436,"0")+IFERROR(Y437/H437,"0")+IFERROR(Y438/H438,"0")+IFERROR(Y439/H439,"0")+IFERROR(Y440/H440,"0")+IFERROR(Y441/H441,"0")</f>
        <v/>
      </c>
      <c r="Z442" s="12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/>
      </c>
      <c r="AA442" s="1244" t="n"/>
      <c r="AB442" s="1244" t="n"/>
      <c r="AC442" s="1244" t="n"/>
    </row>
    <row r="443">
      <c r="A443" s="1182" t="n"/>
      <c r="B443" s="1182" t="n"/>
      <c r="C443" s="1182" t="n"/>
      <c r="D443" s="1182" t="n"/>
      <c r="E443" s="1182" t="n"/>
      <c r="F443" s="1182" t="n"/>
      <c r="G443" s="1182" t="n"/>
      <c r="H443" s="1182" t="n"/>
      <c r="I443" s="1182" t="n"/>
      <c r="J443" s="1182" t="n"/>
      <c r="K443" s="1182" t="n"/>
      <c r="L443" s="1182" t="n"/>
      <c r="M443" s="1182" t="n"/>
      <c r="N443" s="1182" t="n"/>
      <c r="O443" s="1241" t="n"/>
      <c r="P443" s="1242" t="inlineStr">
        <is>
          <t>Итого</t>
        </is>
      </c>
      <c r="Q443" s="1201" t="n"/>
      <c r="R443" s="1201" t="n"/>
      <c r="S443" s="1201" t="n"/>
      <c r="T443" s="1201" t="n"/>
      <c r="U443" s="1201" t="n"/>
      <c r="V443" s="1202" t="n"/>
      <c r="W443" s="42" t="inlineStr">
        <is>
          <t>кг</t>
        </is>
      </c>
      <c r="X443" s="1243">
        <f>IFERROR(SUM(X434:X441),"0")</f>
        <v/>
      </c>
      <c r="Y443" s="1243">
        <f>IFERROR(SUM(Y434:Y441),"0")</f>
        <v/>
      </c>
      <c r="Z443" s="42" t="n"/>
      <c r="AA443" s="1244" t="n"/>
      <c r="AB443" s="1244" t="n"/>
      <c r="AC443" s="1244" t="n"/>
    </row>
    <row r="444" ht="14.25" customHeight="1">
      <c r="A444" s="831" t="inlineStr">
        <is>
          <t>Копченые колбасы</t>
        </is>
      </c>
      <c r="B444" s="1182" t="n"/>
      <c r="C444" s="1182" t="n"/>
      <c r="D444" s="1182" t="n"/>
      <c r="E444" s="1182" t="n"/>
      <c r="F444" s="1182" t="n"/>
      <c r="G444" s="1182" t="n"/>
      <c r="H444" s="1182" t="n"/>
      <c r="I444" s="1182" t="n"/>
      <c r="J444" s="1182" t="n"/>
      <c r="K444" s="1182" t="n"/>
      <c r="L444" s="1182" t="n"/>
      <c r="M444" s="1182" t="n"/>
      <c r="N444" s="1182" t="n"/>
      <c r="O444" s="1182" t="n"/>
      <c r="P444" s="1182" t="n"/>
      <c r="Q444" s="1182" t="n"/>
      <c r="R444" s="1182" t="n"/>
      <c r="S444" s="1182" t="n"/>
      <c r="T444" s="1182" t="n"/>
      <c r="U444" s="1182" t="n"/>
      <c r="V444" s="1182" t="n"/>
      <c r="W444" s="1182" t="n"/>
      <c r="X444" s="1182" t="n"/>
      <c r="Y444" s="1182" t="n"/>
      <c r="Z444" s="1182" t="n"/>
      <c r="AA444" s="831" t="n"/>
      <c r="AB444" s="831" t="n"/>
      <c r="AC444" s="831" t="n"/>
    </row>
    <row r="445" ht="27" customHeight="1">
      <c r="A445" s="63" t="inlineStr">
        <is>
          <t>SU002360</t>
        </is>
      </c>
      <c r="B445" s="63" t="inlineStr">
        <is>
          <t>P004227</t>
        </is>
      </c>
      <c r="C445" s="36" t="n">
        <v>4301031303</v>
      </c>
      <c r="D445" s="832" t="n">
        <v>4607091384802</v>
      </c>
      <c r="E445" s="1193" t="n"/>
      <c r="F445" s="1232" t="n">
        <v>0.73</v>
      </c>
      <c r="G445" s="37" t="n">
        <v>6</v>
      </c>
      <c r="H445" s="1232" t="n">
        <v>4.38</v>
      </c>
      <c r="I445" s="1232" t="n">
        <v>4.65</v>
      </c>
      <c r="J445" s="37" t="n">
        <v>132</v>
      </c>
      <c r="K445" s="37" t="inlineStr">
        <is>
          <t>12</t>
        </is>
      </c>
      <c r="L445" s="37" t="inlineStr"/>
      <c r="M445" s="38" t="inlineStr">
        <is>
          <t>СК2</t>
        </is>
      </c>
      <c r="N445" s="38" t="n"/>
      <c r="O445" s="37" t="n">
        <v>35</v>
      </c>
      <c r="P445" s="146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45" s="1234" t="n"/>
      <c r="R445" s="1234" t="n"/>
      <c r="S445" s="1234" t="n"/>
      <c r="T445" s="1235" t="n"/>
      <c r="U445" s="39" t="inlineStr"/>
      <c r="V445" s="39" t="inlineStr"/>
      <c r="W445" s="40" t="inlineStr">
        <is>
          <t>кг</t>
        </is>
      </c>
      <c r="X445" s="1236" t="n">
        <v>0</v>
      </c>
      <c r="Y445" s="1237">
        <f>IFERROR(IF(X445="",0,CEILING((X445/$H445),1)*$H445),"")</f>
        <v/>
      </c>
      <c r="Z445" s="41">
        <f>IFERROR(IF(Y445=0,"",ROUNDUP(Y445/H445,0)*0.00902),"")</f>
        <v/>
      </c>
      <c r="AA445" s="68" t="inlineStr"/>
      <c r="AB445" s="69" t="inlineStr"/>
      <c r="AC445" s="534" t="inlineStr">
        <is>
          <t>ЕАЭС N RU Д-RU.РА02.В.61652/24</t>
        </is>
      </c>
      <c r="AG445" s="78" t="n"/>
      <c r="AJ445" s="84" t="inlineStr"/>
      <c r="AK445" s="84" t="n">
        <v>0</v>
      </c>
      <c r="BB445" s="535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SU002361</t>
        </is>
      </c>
      <c r="B446" s="63" t="inlineStr">
        <is>
          <t>P004228</t>
        </is>
      </c>
      <c r="C446" s="36" t="n">
        <v>4301031304</v>
      </c>
      <c r="D446" s="832" t="n">
        <v>4607091384826</v>
      </c>
      <c r="E446" s="1193" t="n"/>
      <c r="F446" s="1232" t="n">
        <v>0.35</v>
      </c>
      <c r="G446" s="37" t="n">
        <v>8</v>
      </c>
      <c r="H446" s="1232" t="n">
        <v>2.8</v>
      </c>
      <c r="I446" s="1232" t="n">
        <v>2.98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35</v>
      </c>
      <c r="P446" s="1466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46" s="1234" t="n"/>
      <c r="R446" s="1234" t="n"/>
      <c r="S446" s="1234" t="n"/>
      <c r="T446" s="1235" t="n"/>
      <c r="U446" s="39" t="inlineStr"/>
      <c r="V446" s="39" t="inlineStr"/>
      <c r="W446" s="40" t="inlineStr">
        <is>
          <t>кг</t>
        </is>
      </c>
      <c r="X446" s="1236" t="n">
        <v>0</v>
      </c>
      <c r="Y446" s="1237">
        <f>IFERROR(IF(X446="",0,CEILING((X446/$H446),1)*$H446),"")</f>
        <v/>
      </c>
      <c r="Z446" s="41">
        <f>IFERROR(IF(Y446=0,"",ROUNDUP(Y446/H446,0)*0.00502),"")</f>
        <v/>
      </c>
      <c r="AA446" s="68" t="inlineStr"/>
      <c r="AB446" s="69" t="inlineStr"/>
      <c r="AC446" s="536" t="inlineStr">
        <is>
          <t>ЕАЭС N RU Д-RU.РА02.В.61652/24</t>
        </is>
      </c>
      <c r="AG446" s="78" t="n"/>
      <c r="AJ446" s="84" t="inlineStr"/>
      <c r="AK446" s="84" t="n">
        <v>0</v>
      </c>
      <c r="BB446" s="537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843" t="n"/>
      <c r="B447" s="1182" t="n"/>
      <c r="C447" s="1182" t="n"/>
      <c r="D447" s="1182" t="n"/>
      <c r="E447" s="1182" t="n"/>
      <c r="F447" s="1182" t="n"/>
      <c r="G447" s="1182" t="n"/>
      <c r="H447" s="1182" t="n"/>
      <c r="I447" s="1182" t="n"/>
      <c r="J447" s="1182" t="n"/>
      <c r="K447" s="1182" t="n"/>
      <c r="L447" s="1182" t="n"/>
      <c r="M447" s="1182" t="n"/>
      <c r="N447" s="1182" t="n"/>
      <c r="O447" s="1241" t="n"/>
      <c r="P447" s="1242" t="inlineStr">
        <is>
          <t>Итого</t>
        </is>
      </c>
      <c r="Q447" s="1201" t="n"/>
      <c r="R447" s="1201" t="n"/>
      <c r="S447" s="1201" t="n"/>
      <c r="T447" s="1201" t="n"/>
      <c r="U447" s="1201" t="n"/>
      <c r="V447" s="1202" t="n"/>
      <c r="W447" s="42" t="inlineStr">
        <is>
          <t>кор</t>
        </is>
      </c>
      <c r="X447" s="1243">
        <f>IFERROR(X445/H445,"0")+IFERROR(X446/H446,"0")</f>
        <v/>
      </c>
      <c r="Y447" s="1243">
        <f>IFERROR(Y445/H445,"0")+IFERROR(Y446/H446,"0")</f>
        <v/>
      </c>
      <c r="Z447" s="1243">
        <f>IFERROR(IF(Z445="",0,Z445),"0")+IFERROR(IF(Z446="",0,Z446),"0")</f>
        <v/>
      </c>
      <c r="AA447" s="1244" t="n"/>
      <c r="AB447" s="1244" t="n"/>
      <c r="AC447" s="1244" t="n"/>
    </row>
    <row r="448">
      <c r="A448" s="1182" t="n"/>
      <c r="B448" s="1182" t="n"/>
      <c r="C448" s="1182" t="n"/>
      <c r="D448" s="1182" t="n"/>
      <c r="E448" s="1182" t="n"/>
      <c r="F448" s="1182" t="n"/>
      <c r="G448" s="1182" t="n"/>
      <c r="H448" s="1182" t="n"/>
      <c r="I448" s="1182" t="n"/>
      <c r="J448" s="1182" t="n"/>
      <c r="K448" s="1182" t="n"/>
      <c r="L448" s="1182" t="n"/>
      <c r="M448" s="1182" t="n"/>
      <c r="N448" s="1182" t="n"/>
      <c r="O448" s="1241" t="n"/>
      <c r="P448" s="1242" t="inlineStr">
        <is>
          <t>Итого</t>
        </is>
      </c>
      <c r="Q448" s="1201" t="n"/>
      <c r="R448" s="1201" t="n"/>
      <c r="S448" s="1201" t="n"/>
      <c r="T448" s="1201" t="n"/>
      <c r="U448" s="1201" t="n"/>
      <c r="V448" s="1202" t="n"/>
      <c r="W448" s="42" t="inlineStr">
        <is>
          <t>кг</t>
        </is>
      </c>
      <c r="X448" s="1243">
        <f>IFERROR(SUM(X445:X446),"0")</f>
        <v/>
      </c>
      <c r="Y448" s="1243">
        <f>IFERROR(SUM(Y445:Y446),"0")</f>
        <v/>
      </c>
      <c r="Z448" s="42" t="n"/>
      <c r="AA448" s="1244" t="n"/>
      <c r="AB448" s="1244" t="n"/>
      <c r="AC448" s="1244" t="n"/>
    </row>
    <row r="449" ht="14.25" customHeight="1">
      <c r="A449" s="831" t="inlineStr">
        <is>
          <t>Сосиски</t>
        </is>
      </c>
      <c r="B449" s="1182" t="n"/>
      <c r="C449" s="1182" t="n"/>
      <c r="D449" s="1182" t="n"/>
      <c r="E449" s="1182" t="n"/>
      <c r="F449" s="1182" t="n"/>
      <c r="G449" s="1182" t="n"/>
      <c r="H449" s="1182" t="n"/>
      <c r="I449" s="1182" t="n"/>
      <c r="J449" s="1182" t="n"/>
      <c r="K449" s="1182" t="n"/>
      <c r="L449" s="1182" t="n"/>
      <c r="M449" s="1182" t="n"/>
      <c r="N449" s="1182" t="n"/>
      <c r="O449" s="1182" t="n"/>
      <c r="P449" s="1182" t="n"/>
      <c r="Q449" s="1182" t="n"/>
      <c r="R449" s="1182" t="n"/>
      <c r="S449" s="1182" t="n"/>
      <c r="T449" s="1182" t="n"/>
      <c r="U449" s="1182" t="n"/>
      <c r="V449" s="1182" t="n"/>
      <c r="W449" s="1182" t="n"/>
      <c r="X449" s="1182" t="n"/>
      <c r="Y449" s="1182" t="n"/>
      <c r="Z449" s="1182" t="n"/>
      <c r="AA449" s="831" t="n"/>
      <c r="AB449" s="831" t="n"/>
      <c r="AC449" s="831" t="n"/>
    </row>
    <row r="450" ht="27" customHeight="1">
      <c r="A450" s="63" t="inlineStr">
        <is>
          <t>SU002074</t>
        </is>
      </c>
      <c r="B450" s="63" t="inlineStr">
        <is>
          <t>P004844</t>
        </is>
      </c>
      <c r="C450" s="36" t="n">
        <v>4301051899</v>
      </c>
      <c r="D450" s="832" t="n">
        <v>4607091384246</v>
      </c>
      <c r="E450" s="1193" t="n"/>
      <c r="F450" s="1232" t="n">
        <v>1.5</v>
      </c>
      <c r="G450" s="37" t="n">
        <v>6</v>
      </c>
      <c r="H450" s="1232" t="n">
        <v>9</v>
      </c>
      <c r="I450" s="1232" t="n">
        <v>9.519</v>
      </c>
      <c r="J450" s="37" t="n">
        <v>64</v>
      </c>
      <c r="K450" s="37" t="inlineStr">
        <is>
          <t>8</t>
        </is>
      </c>
      <c r="L450" s="37" t="inlineStr"/>
      <c r="M450" s="38" t="inlineStr">
        <is>
          <t>СК3</t>
        </is>
      </c>
      <c r="N450" s="38" t="n"/>
      <c r="O450" s="37" t="n">
        <v>40</v>
      </c>
      <c r="P450" s="1467" t="inlineStr">
        <is>
          <t>Сосиски «Молочные для завтрака» Весовой п/а ТМ «Особый рецепт»</t>
        </is>
      </c>
      <c r="Q450" s="1234" t="n"/>
      <c r="R450" s="1234" t="n"/>
      <c r="S450" s="1234" t="n"/>
      <c r="T450" s="1235" t="n"/>
      <c r="U450" s="39" t="inlineStr"/>
      <c r="V450" s="39" t="inlineStr"/>
      <c r="W450" s="40" t="inlineStr">
        <is>
          <t>кг</t>
        </is>
      </c>
      <c r="X450" s="1236" t="n">
        <v>0</v>
      </c>
      <c r="Y450" s="1237">
        <f>IFERROR(IF(X450="",0,CEILING((X450/$H450),1)*$H450),"")</f>
        <v/>
      </c>
      <c r="Z450" s="41">
        <f>IFERROR(IF(Y450=0,"",ROUNDUP(Y450/H450,0)*0.01898),"")</f>
        <v/>
      </c>
      <c r="AA450" s="68" t="inlineStr"/>
      <c r="AB450" s="69" t="inlineStr"/>
      <c r="AC450" s="538" t="inlineStr">
        <is>
          <t>ЕАЭС N RU Д-RU.РА03.В.21982/24, ЕАЭС N RU Д-RU.РА03.В.22955/24</t>
        </is>
      </c>
      <c r="AG450" s="78" t="n"/>
      <c r="AJ450" s="84" t="inlineStr"/>
      <c r="AK450" s="84" t="n">
        <v>0</v>
      </c>
      <c r="BB450" s="539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37.5" customHeight="1">
      <c r="A451" s="63" t="inlineStr">
        <is>
          <t>SU002896</t>
        </is>
      </c>
      <c r="B451" s="63" t="inlineStr">
        <is>
          <t>P004848</t>
        </is>
      </c>
      <c r="C451" s="36" t="n">
        <v>4301051901</v>
      </c>
      <c r="D451" s="832" t="n">
        <v>4680115881976</v>
      </c>
      <c r="E451" s="1193" t="n"/>
      <c r="F451" s="1232" t="n">
        <v>1.5</v>
      </c>
      <c r="G451" s="37" t="n">
        <v>6</v>
      </c>
      <c r="H451" s="1232" t="n">
        <v>9</v>
      </c>
      <c r="I451" s="1232" t="n">
        <v>9.435</v>
      </c>
      <c r="J451" s="37" t="n">
        <v>64</v>
      </c>
      <c r="K451" s="37" t="inlineStr">
        <is>
          <t>8</t>
        </is>
      </c>
      <c r="L451" s="37" t="inlineStr"/>
      <c r="M451" s="38" t="inlineStr">
        <is>
          <t>СК3</t>
        </is>
      </c>
      <c r="N451" s="38" t="n"/>
      <c r="O451" s="37" t="n">
        <v>40</v>
      </c>
      <c r="P451" s="1468" t="inlineStr">
        <is>
          <t>Сосиски «Сочные без свинины» Весовой п/а ТМ «Особый рецепт»</t>
        </is>
      </c>
      <c r="Q451" s="1234" t="n"/>
      <c r="R451" s="1234" t="n"/>
      <c r="S451" s="1234" t="n"/>
      <c r="T451" s="1235" t="n"/>
      <c r="U451" s="39" t="inlineStr"/>
      <c r="V451" s="39" t="inlineStr"/>
      <c r="W451" s="40" t="inlineStr">
        <is>
          <t>кг</t>
        </is>
      </c>
      <c r="X451" s="1236" t="n">
        <v>0</v>
      </c>
      <c r="Y451" s="1237">
        <f>IFERROR(IF(X451="",0,CEILING((X451/$H451),1)*$H451),"")</f>
        <v/>
      </c>
      <c r="Z451" s="41">
        <f>IFERROR(IF(Y451=0,"",ROUNDUP(Y451/H451,0)*0.01898),"")</f>
        <v/>
      </c>
      <c r="AA451" s="68" t="inlineStr"/>
      <c r="AB451" s="69" t="inlineStr"/>
      <c r="AC451" s="540" t="inlineStr">
        <is>
          <t>ЕАЭС N RU Д-RU.РА03.В.99662/23, ЕАЭС N RU Д-RU.РА03.В.99705/23, ЕАЭС N RU Д-RU.РА10.В.84789/23</t>
        </is>
      </c>
      <c r="AG451" s="78" t="n"/>
      <c r="AJ451" s="84" t="inlineStr"/>
      <c r="AK451" s="84" t="n">
        <v>0</v>
      </c>
      <c r="BB451" s="541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SU002205</t>
        </is>
      </c>
      <c r="B452" s="63" t="inlineStr">
        <is>
          <t>P002694</t>
        </is>
      </c>
      <c r="C452" s="36" t="n">
        <v>4301051297</v>
      </c>
      <c r="D452" s="832" t="n">
        <v>4607091384253</v>
      </c>
      <c r="E452" s="1193" t="n"/>
      <c r="F452" s="1232" t="n">
        <v>0.4</v>
      </c>
      <c r="G452" s="37" t="n">
        <v>6</v>
      </c>
      <c r="H452" s="1232" t="n">
        <v>2.4</v>
      </c>
      <c r="I452" s="1232" t="n">
        <v>2.664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СК2</t>
        </is>
      </c>
      <c r="N452" s="38" t="n"/>
      <c r="O452" s="37" t="n">
        <v>40</v>
      </c>
      <c r="P452" s="14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52" s="1234" t="n"/>
      <c r="R452" s="1234" t="n"/>
      <c r="S452" s="1234" t="n"/>
      <c r="T452" s="1235" t="n"/>
      <c r="U452" s="39" t="inlineStr"/>
      <c r="V452" s="39" t="inlineStr"/>
      <c r="W452" s="40" t="inlineStr">
        <is>
          <t>кг</t>
        </is>
      </c>
      <c r="X452" s="1236" t="n">
        <v>0</v>
      </c>
      <c r="Y452" s="1237">
        <f>IFERROR(IF(X452="",0,CEILING((X452/$H452),1)*$H452),"")</f>
        <v/>
      </c>
      <c r="Z452" s="41">
        <f>IFERROR(IF(Y452=0,"",ROUNDUP(Y452/H452,0)*0.00651),"")</f>
        <v/>
      </c>
      <c r="AA452" s="68" t="inlineStr"/>
      <c r="AB452" s="69" t="inlineStr"/>
      <c r="AC452" s="542" t="inlineStr">
        <is>
          <t>ЕАЭС N RU Д-RU.РА01.В.58934/20</t>
        </is>
      </c>
      <c r="AG452" s="78" t="n"/>
      <c r="AJ452" s="84" t="inlineStr"/>
      <c r="AK452" s="84" t="n">
        <v>0</v>
      </c>
      <c r="BB452" s="543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 ht="37.5" customHeight="1">
      <c r="A453" s="63" t="inlineStr">
        <is>
          <t>SU002205</t>
        </is>
      </c>
      <c r="B453" s="63" t="inlineStr">
        <is>
          <t>P003969</t>
        </is>
      </c>
      <c r="C453" s="36" t="n">
        <v>4301051634</v>
      </c>
      <c r="D453" s="832" t="n">
        <v>4607091384253</v>
      </c>
      <c r="E453" s="1193" t="n"/>
      <c r="F453" s="1232" t="n">
        <v>0.4</v>
      </c>
      <c r="G453" s="37" t="n">
        <v>6</v>
      </c>
      <c r="H453" s="1232" t="n">
        <v>2.4</v>
      </c>
      <c r="I453" s="1232" t="n">
        <v>2.664</v>
      </c>
      <c r="J453" s="37" t="n">
        <v>182</v>
      </c>
      <c r="K453" s="37" t="inlineStr">
        <is>
          <t>14</t>
        </is>
      </c>
      <c r="L453" s="37" t="inlineStr"/>
      <c r="M453" s="38" t="inlineStr">
        <is>
          <t>СК2</t>
        </is>
      </c>
      <c r="N453" s="38" t="n"/>
      <c r="O453" s="37" t="n">
        <v>40</v>
      </c>
      <c r="P453" s="1470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53" s="1234" t="n"/>
      <c r="R453" s="1234" t="n"/>
      <c r="S453" s="1234" t="n"/>
      <c r="T453" s="1235" t="n"/>
      <c r="U453" s="39" t="inlineStr"/>
      <c r="V453" s="39" t="inlineStr"/>
      <c r="W453" s="40" t="inlineStr">
        <is>
          <t>кг</t>
        </is>
      </c>
      <c r="X453" s="1236" t="n">
        <v>0</v>
      </c>
      <c r="Y453" s="1237">
        <f>IFERROR(IF(X453="",0,CEILING((X453/$H453),1)*$H453),"")</f>
        <v/>
      </c>
      <c r="Z453" s="41">
        <f>IFERROR(IF(Y453=0,"",ROUNDUP(Y453/H453,0)*0.00651),"")</f>
        <v/>
      </c>
      <c r="AA453" s="68" t="inlineStr"/>
      <c r="AB453" s="69" t="inlineStr"/>
      <c r="AC453" s="544" t="inlineStr">
        <is>
          <t>ЕАЭС N RU Д-RU.РА03.В.21982/24, ЕАЭС N RU Д-RU.РА03.В.22876/24, ЕАЭС N RU Д-RU.РА03.В.22955/24</t>
        </is>
      </c>
      <c r="AG453" s="78" t="n"/>
      <c r="AJ453" s="84" t="inlineStr"/>
      <c r="AK453" s="84" t="n">
        <v>0</v>
      </c>
      <c r="BB453" s="545" t="inlineStr">
        <is>
          <t>КИ</t>
        </is>
      </c>
      <c r="BM453" s="78">
        <f>IFERROR(X453*I453/H453,"0")</f>
        <v/>
      </c>
      <c r="BN453" s="78">
        <f>IFERROR(Y453*I453/H453,"0")</f>
        <v/>
      </c>
      <c r="BO453" s="78">
        <f>IFERROR(1/J453*(X453/H453),"0")</f>
        <v/>
      </c>
      <c r="BP453" s="78">
        <f>IFERROR(1/J453*(Y453/H453),"0")</f>
        <v/>
      </c>
    </row>
    <row r="454" ht="27" customHeight="1">
      <c r="A454" s="63" t="inlineStr">
        <is>
          <t>SU002895</t>
        </is>
      </c>
      <c r="B454" s="63" t="inlineStr">
        <is>
          <t>P003329</t>
        </is>
      </c>
      <c r="C454" s="36" t="n">
        <v>4301051444</v>
      </c>
      <c r="D454" s="832" t="n">
        <v>4680115881969</v>
      </c>
      <c r="E454" s="1193" t="n"/>
      <c r="F454" s="1232" t="n">
        <v>0.4</v>
      </c>
      <c r="G454" s="37" t="n">
        <v>6</v>
      </c>
      <c r="H454" s="1232" t="n">
        <v>2.4</v>
      </c>
      <c r="I454" s="1232" t="n">
        <v>2.58</v>
      </c>
      <c r="J454" s="37" t="n">
        <v>182</v>
      </c>
      <c r="K454" s="37" t="inlineStr">
        <is>
          <t>14</t>
        </is>
      </c>
      <c r="L454" s="37" t="inlineStr"/>
      <c r="M454" s="38" t="inlineStr">
        <is>
          <t>СК2</t>
        </is>
      </c>
      <c r="N454" s="38" t="n"/>
      <c r="O454" s="37" t="n">
        <v>40</v>
      </c>
      <c r="P454" s="14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54" s="1234" t="n"/>
      <c r="R454" s="1234" t="n"/>
      <c r="S454" s="1234" t="n"/>
      <c r="T454" s="1235" t="n"/>
      <c r="U454" s="39" t="inlineStr"/>
      <c r="V454" s="39" t="inlineStr"/>
      <c r="W454" s="40" t="inlineStr">
        <is>
          <t>кг</t>
        </is>
      </c>
      <c r="X454" s="1236" t="n">
        <v>0</v>
      </c>
      <c r="Y454" s="1237">
        <f>IFERROR(IF(X454="",0,CEILING((X454/$H454),1)*$H454),"")</f>
        <v/>
      </c>
      <c r="Z454" s="41">
        <f>IFERROR(IF(Y454=0,"",ROUNDUP(Y454/H454,0)*0.00651),"")</f>
        <v/>
      </c>
      <c r="AA454" s="68" t="inlineStr"/>
      <c r="AB454" s="69" t="inlineStr"/>
      <c r="AC454" s="546" t="inlineStr">
        <is>
          <t>ЕАЭС N RU Д-RU.РА03.В.99662/23, ЕАЭС N RU Д-RU.РА03.В.99695/23</t>
        </is>
      </c>
      <c r="AG454" s="78" t="n"/>
      <c r="AJ454" s="84" t="inlineStr"/>
      <c r="AK454" s="84" t="n">
        <v>0</v>
      </c>
      <c r="BB454" s="547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>
      <c r="A455" s="843" t="n"/>
      <c r="B455" s="1182" t="n"/>
      <c r="C455" s="1182" t="n"/>
      <c r="D455" s="1182" t="n"/>
      <c r="E455" s="1182" t="n"/>
      <c r="F455" s="1182" t="n"/>
      <c r="G455" s="1182" t="n"/>
      <c r="H455" s="1182" t="n"/>
      <c r="I455" s="1182" t="n"/>
      <c r="J455" s="1182" t="n"/>
      <c r="K455" s="1182" t="n"/>
      <c r="L455" s="1182" t="n"/>
      <c r="M455" s="1182" t="n"/>
      <c r="N455" s="1182" t="n"/>
      <c r="O455" s="1241" t="n"/>
      <c r="P455" s="1242" t="inlineStr">
        <is>
          <t>Итого</t>
        </is>
      </c>
      <c r="Q455" s="1201" t="n"/>
      <c r="R455" s="1201" t="n"/>
      <c r="S455" s="1201" t="n"/>
      <c r="T455" s="1201" t="n"/>
      <c r="U455" s="1201" t="n"/>
      <c r="V455" s="1202" t="n"/>
      <c r="W455" s="42" t="inlineStr">
        <is>
          <t>кор</t>
        </is>
      </c>
      <c r="X455" s="1243">
        <f>IFERROR(X450/H450,"0")+IFERROR(X451/H451,"0")+IFERROR(X452/H452,"0")+IFERROR(X453/H453,"0")+IFERROR(X454/H454,"0")</f>
        <v/>
      </c>
      <c r="Y455" s="1243">
        <f>IFERROR(Y450/H450,"0")+IFERROR(Y451/H451,"0")+IFERROR(Y452/H452,"0")+IFERROR(Y453/H453,"0")+IFERROR(Y454/H454,"0")</f>
        <v/>
      </c>
      <c r="Z455" s="1243">
        <f>IFERROR(IF(Z450="",0,Z450),"0")+IFERROR(IF(Z451="",0,Z451),"0")+IFERROR(IF(Z452="",0,Z452),"0")+IFERROR(IF(Z453="",0,Z453),"0")+IFERROR(IF(Z454="",0,Z454),"0")</f>
        <v/>
      </c>
      <c r="AA455" s="1244" t="n"/>
      <c r="AB455" s="1244" t="n"/>
      <c r="AC455" s="1244" t="n"/>
    </row>
    <row r="456">
      <c r="A456" s="1182" t="n"/>
      <c r="B456" s="1182" t="n"/>
      <c r="C456" s="1182" t="n"/>
      <c r="D456" s="1182" t="n"/>
      <c r="E456" s="1182" t="n"/>
      <c r="F456" s="1182" t="n"/>
      <c r="G456" s="1182" t="n"/>
      <c r="H456" s="1182" t="n"/>
      <c r="I456" s="1182" t="n"/>
      <c r="J456" s="1182" t="n"/>
      <c r="K456" s="1182" t="n"/>
      <c r="L456" s="1182" t="n"/>
      <c r="M456" s="1182" t="n"/>
      <c r="N456" s="1182" t="n"/>
      <c r="O456" s="1241" t="n"/>
      <c r="P456" s="1242" t="inlineStr">
        <is>
          <t>Итого</t>
        </is>
      </c>
      <c r="Q456" s="1201" t="n"/>
      <c r="R456" s="1201" t="n"/>
      <c r="S456" s="1201" t="n"/>
      <c r="T456" s="1201" t="n"/>
      <c r="U456" s="1201" t="n"/>
      <c r="V456" s="1202" t="n"/>
      <c r="W456" s="42" t="inlineStr">
        <is>
          <t>кг</t>
        </is>
      </c>
      <c r="X456" s="1243">
        <f>IFERROR(SUM(X450:X454),"0")</f>
        <v/>
      </c>
      <c r="Y456" s="1243">
        <f>IFERROR(SUM(Y450:Y454),"0")</f>
        <v/>
      </c>
      <c r="Z456" s="42" t="n"/>
      <c r="AA456" s="1244" t="n"/>
      <c r="AB456" s="1244" t="n"/>
      <c r="AC456" s="1244" t="n"/>
    </row>
    <row r="457" ht="14.25" customHeight="1">
      <c r="A457" s="831" t="inlineStr">
        <is>
          <t>Сардельки</t>
        </is>
      </c>
      <c r="B457" s="1182" t="n"/>
      <c r="C457" s="1182" t="n"/>
      <c r="D457" s="1182" t="n"/>
      <c r="E457" s="1182" t="n"/>
      <c r="F457" s="1182" t="n"/>
      <c r="G457" s="1182" t="n"/>
      <c r="H457" s="1182" t="n"/>
      <c r="I457" s="1182" t="n"/>
      <c r="J457" s="1182" t="n"/>
      <c r="K457" s="1182" t="n"/>
      <c r="L457" s="1182" t="n"/>
      <c r="M457" s="1182" t="n"/>
      <c r="N457" s="1182" t="n"/>
      <c r="O457" s="1182" t="n"/>
      <c r="P457" s="1182" t="n"/>
      <c r="Q457" s="1182" t="n"/>
      <c r="R457" s="1182" t="n"/>
      <c r="S457" s="1182" t="n"/>
      <c r="T457" s="1182" t="n"/>
      <c r="U457" s="1182" t="n"/>
      <c r="V457" s="1182" t="n"/>
      <c r="W457" s="1182" t="n"/>
      <c r="X457" s="1182" t="n"/>
      <c r="Y457" s="1182" t="n"/>
      <c r="Z457" s="1182" t="n"/>
      <c r="AA457" s="831" t="n"/>
      <c r="AB457" s="831" t="n"/>
      <c r="AC457" s="831" t="n"/>
    </row>
    <row r="458" ht="27" customHeight="1">
      <c r="A458" s="63" t="inlineStr">
        <is>
          <t>SU002472</t>
        </is>
      </c>
      <c r="B458" s="63" t="inlineStr">
        <is>
          <t>P004846</t>
        </is>
      </c>
      <c r="C458" s="36" t="n">
        <v>4301060441</v>
      </c>
      <c r="D458" s="832" t="n">
        <v>4607091389357</v>
      </c>
      <c r="E458" s="1193" t="n"/>
      <c r="F458" s="1232" t="n">
        <v>1.5</v>
      </c>
      <c r="G458" s="37" t="n">
        <v>6</v>
      </c>
      <c r="H458" s="1232" t="n">
        <v>9</v>
      </c>
      <c r="I458" s="1232" t="n">
        <v>9.435</v>
      </c>
      <c r="J458" s="37" t="n">
        <v>64</v>
      </c>
      <c r="K458" s="37" t="inlineStr">
        <is>
          <t>8</t>
        </is>
      </c>
      <c r="L458" s="37" t="inlineStr"/>
      <c r="M458" s="38" t="inlineStr">
        <is>
          <t>СК3</t>
        </is>
      </c>
      <c r="N458" s="38" t="n"/>
      <c r="O458" s="37" t="n">
        <v>40</v>
      </c>
      <c r="P458" s="1472" t="inlineStr">
        <is>
          <t>Сардельки «Левантские» Весовой п/а ТМ «Особый рецепт»</t>
        </is>
      </c>
      <c r="Q458" s="1234" t="n"/>
      <c r="R458" s="1234" t="n"/>
      <c r="S458" s="1234" t="n"/>
      <c r="T458" s="1235" t="n"/>
      <c r="U458" s="39" t="inlineStr"/>
      <c r="V458" s="39" t="inlineStr"/>
      <c r="W458" s="40" t="inlineStr">
        <is>
          <t>кг</t>
        </is>
      </c>
      <c r="X458" s="1236" t="n">
        <v>0</v>
      </c>
      <c r="Y458" s="1237">
        <f>IFERROR(IF(X458="",0,CEILING((X458/$H458),1)*$H458),"")</f>
        <v/>
      </c>
      <c r="Z458" s="41">
        <f>IFERROR(IF(Y458=0,"",ROUNDUP(Y458/H458,0)*0.01898),"")</f>
        <v/>
      </c>
      <c r="AA458" s="68" t="inlineStr"/>
      <c r="AB458" s="69" t="inlineStr"/>
      <c r="AC458" s="548" t="inlineStr">
        <is>
          <t>ЕАЭС N RU Д-RU.РА01.В.99587/24, ЕАЭС N RU Д-RU.РА01.В.99708/24</t>
        </is>
      </c>
      <c r="AG458" s="78" t="n"/>
      <c r="AJ458" s="84" t="inlineStr"/>
      <c r="AK458" s="84" t="n">
        <v>0</v>
      </c>
      <c r="BB458" s="549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>
      <c r="A459" s="843" t="n"/>
      <c r="B459" s="1182" t="n"/>
      <c r="C459" s="1182" t="n"/>
      <c r="D459" s="1182" t="n"/>
      <c r="E459" s="1182" t="n"/>
      <c r="F459" s="1182" t="n"/>
      <c r="G459" s="1182" t="n"/>
      <c r="H459" s="1182" t="n"/>
      <c r="I459" s="1182" t="n"/>
      <c r="J459" s="1182" t="n"/>
      <c r="K459" s="1182" t="n"/>
      <c r="L459" s="1182" t="n"/>
      <c r="M459" s="1182" t="n"/>
      <c r="N459" s="1182" t="n"/>
      <c r="O459" s="1241" t="n"/>
      <c r="P459" s="1242" t="inlineStr">
        <is>
          <t>Итого</t>
        </is>
      </c>
      <c r="Q459" s="1201" t="n"/>
      <c r="R459" s="1201" t="n"/>
      <c r="S459" s="1201" t="n"/>
      <c r="T459" s="1201" t="n"/>
      <c r="U459" s="1201" t="n"/>
      <c r="V459" s="1202" t="n"/>
      <c r="W459" s="42" t="inlineStr">
        <is>
          <t>кор</t>
        </is>
      </c>
      <c r="X459" s="1243">
        <f>IFERROR(X458/H458,"0")</f>
        <v/>
      </c>
      <c r="Y459" s="1243">
        <f>IFERROR(Y458/H458,"0")</f>
        <v/>
      </c>
      <c r="Z459" s="1243">
        <f>IFERROR(IF(Z458="",0,Z458),"0")</f>
        <v/>
      </c>
      <c r="AA459" s="1244" t="n"/>
      <c r="AB459" s="1244" t="n"/>
      <c r="AC459" s="1244" t="n"/>
    </row>
    <row r="460">
      <c r="A460" s="1182" t="n"/>
      <c r="B460" s="1182" t="n"/>
      <c r="C460" s="1182" t="n"/>
      <c r="D460" s="1182" t="n"/>
      <c r="E460" s="1182" t="n"/>
      <c r="F460" s="1182" t="n"/>
      <c r="G460" s="1182" t="n"/>
      <c r="H460" s="1182" t="n"/>
      <c r="I460" s="1182" t="n"/>
      <c r="J460" s="1182" t="n"/>
      <c r="K460" s="1182" t="n"/>
      <c r="L460" s="1182" t="n"/>
      <c r="M460" s="1182" t="n"/>
      <c r="N460" s="1182" t="n"/>
      <c r="O460" s="1241" t="n"/>
      <c r="P460" s="1242" t="inlineStr">
        <is>
          <t>Итого</t>
        </is>
      </c>
      <c r="Q460" s="1201" t="n"/>
      <c r="R460" s="1201" t="n"/>
      <c r="S460" s="1201" t="n"/>
      <c r="T460" s="1201" t="n"/>
      <c r="U460" s="1201" t="n"/>
      <c r="V460" s="1202" t="n"/>
      <c r="W460" s="42" t="inlineStr">
        <is>
          <t>кг</t>
        </is>
      </c>
      <c r="X460" s="1243">
        <f>IFERROR(SUM(X458:X458),"0")</f>
        <v/>
      </c>
      <c r="Y460" s="1243">
        <f>IFERROR(SUM(Y458:Y458),"0")</f>
        <v/>
      </c>
      <c r="Z460" s="42" t="n"/>
      <c r="AA460" s="1244" t="n"/>
      <c r="AB460" s="1244" t="n"/>
      <c r="AC460" s="1244" t="n"/>
    </row>
    <row r="461" ht="27.75" customHeight="1">
      <c r="A461" s="829" t="inlineStr">
        <is>
          <t>Баварушка</t>
        </is>
      </c>
      <c r="B461" s="1231" t="n"/>
      <c r="C461" s="1231" t="n"/>
      <c r="D461" s="1231" t="n"/>
      <c r="E461" s="1231" t="n"/>
      <c r="F461" s="1231" t="n"/>
      <c r="G461" s="1231" t="n"/>
      <c r="H461" s="1231" t="n"/>
      <c r="I461" s="1231" t="n"/>
      <c r="J461" s="1231" t="n"/>
      <c r="K461" s="1231" t="n"/>
      <c r="L461" s="1231" t="n"/>
      <c r="M461" s="1231" t="n"/>
      <c r="N461" s="1231" t="n"/>
      <c r="O461" s="1231" t="n"/>
      <c r="P461" s="1231" t="n"/>
      <c r="Q461" s="1231" t="n"/>
      <c r="R461" s="1231" t="n"/>
      <c r="S461" s="1231" t="n"/>
      <c r="T461" s="1231" t="n"/>
      <c r="U461" s="1231" t="n"/>
      <c r="V461" s="1231" t="n"/>
      <c r="W461" s="1231" t="n"/>
      <c r="X461" s="1231" t="n"/>
      <c r="Y461" s="1231" t="n"/>
      <c r="Z461" s="1231" t="n"/>
      <c r="AA461" s="54" t="n"/>
      <c r="AB461" s="54" t="n"/>
      <c r="AC461" s="54" t="n"/>
    </row>
    <row r="462" ht="16.5" customHeight="1">
      <c r="A462" s="830" t="inlineStr">
        <is>
          <t>Филейбургская</t>
        </is>
      </c>
      <c r="B462" s="1182" t="n"/>
      <c r="C462" s="1182" t="n"/>
      <c r="D462" s="1182" t="n"/>
      <c r="E462" s="1182" t="n"/>
      <c r="F462" s="1182" t="n"/>
      <c r="G462" s="1182" t="n"/>
      <c r="H462" s="1182" t="n"/>
      <c r="I462" s="1182" t="n"/>
      <c r="J462" s="1182" t="n"/>
      <c r="K462" s="1182" t="n"/>
      <c r="L462" s="1182" t="n"/>
      <c r="M462" s="1182" t="n"/>
      <c r="N462" s="1182" t="n"/>
      <c r="O462" s="1182" t="n"/>
      <c r="P462" s="1182" t="n"/>
      <c r="Q462" s="1182" t="n"/>
      <c r="R462" s="1182" t="n"/>
      <c r="S462" s="1182" t="n"/>
      <c r="T462" s="1182" t="n"/>
      <c r="U462" s="1182" t="n"/>
      <c r="V462" s="1182" t="n"/>
      <c r="W462" s="1182" t="n"/>
      <c r="X462" s="1182" t="n"/>
      <c r="Y462" s="1182" t="n"/>
      <c r="Z462" s="1182" t="n"/>
      <c r="AA462" s="830" t="n"/>
      <c r="AB462" s="830" t="n"/>
      <c r="AC462" s="830" t="n"/>
    </row>
    <row r="463" ht="14.25" customHeight="1">
      <c r="A463" s="831" t="inlineStr">
        <is>
          <t>Копченые колбасы</t>
        </is>
      </c>
      <c r="B463" s="1182" t="n"/>
      <c r="C463" s="1182" t="n"/>
      <c r="D463" s="1182" t="n"/>
      <c r="E463" s="1182" t="n"/>
      <c r="F463" s="1182" t="n"/>
      <c r="G463" s="1182" t="n"/>
      <c r="H463" s="1182" t="n"/>
      <c r="I463" s="1182" t="n"/>
      <c r="J463" s="1182" t="n"/>
      <c r="K463" s="1182" t="n"/>
      <c r="L463" s="1182" t="n"/>
      <c r="M463" s="1182" t="n"/>
      <c r="N463" s="1182" t="n"/>
      <c r="O463" s="1182" t="n"/>
      <c r="P463" s="1182" t="n"/>
      <c r="Q463" s="1182" t="n"/>
      <c r="R463" s="1182" t="n"/>
      <c r="S463" s="1182" t="n"/>
      <c r="T463" s="1182" t="n"/>
      <c r="U463" s="1182" t="n"/>
      <c r="V463" s="1182" t="n"/>
      <c r="W463" s="1182" t="n"/>
      <c r="X463" s="1182" t="n"/>
      <c r="Y463" s="1182" t="n"/>
      <c r="Z463" s="1182" t="n"/>
      <c r="AA463" s="831" t="n"/>
      <c r="AB463" s="831" t="n"/>
      <c r="AC463" s="831" t="n"/>
    </row>
    <row r="464" ht="27" customHeight="1">
      <c r="A464" s="63" t="inlineStr">
        <is>
          <t>SU002614</t>
        </is>
      </c>
      <c r="B464" s="63" t="inlineStr">
        <is>
          <t>P004898</t>
        </is>
      </c>
      <c r="C464" s="36" t="n">
        <v>4301031405</v>
      </c>
      <c r="D464" s="832" t="n">
        <v>4680115886100</v>
      </c>
      <c r="E464" s="1193" t="n"/>
      <c r="F464" s="1232" t="n">
        <v>0.9</v>
      </c>
      <c r="G464" s="37" t="n">
        <v>6</v>
      </c>
      <c r="H464" s="1232" t="n">
        <v>5.4</v>
      </c>
      <c r="I464" s="1232" t="n">
        <v>5.61</v>
      </c>
      <c r="J464" s="37" t="n">
        <v>132</v>
      </c>
      <c r="K464" s="37" t="inlineStr">
        <is>
          <t>12</t>
        </is>
      </c>
      <c r="L464" s="37" t="inlineStr"/>
      <c r="M464" s="38" t="inlineStr">
        <is>
          <t>СК2</t>
        </is>
      </c>
      <c r="N464" s="38" t="n"/>
      <c r="O464" s="37" t="n">
        <v>50</v>
      </c>
      <c r="P464" s="1473" t="inlineStr">
        <is>
          <t>Копченые колбасы «Салями Филейбургская зернистая» Весовой фиброуз ТМ «Баварушка»</t>
        </is>
      </c>
      <c r="Q464" s="1234" t="n"/>
      <c r="R464" s="1234" t="n"/>
      <c r="S464" s="1234" t="n"/>
      <c r="T464" s="1235" t="n"/>
      <c r="U464" s="39" t="inlineStr"/>
      <c r="V464" s="39" t="inlineStr"/>
      <c r="W464" s="40" t="inlineStr">
        <is>
          <t>кг</t>
        </is>
      </c>
      <c r="X464" s="1236" t="n">
        <v>10</v>
      </c>
      <c r="Y464" s="1237">
        <f>IFERROR(IF(X464="",0,CEILING((X464/$H464),1)*$H464),"")</f>
        <v/>
      </c>
      <c r="Z464" s="41">
        <f>IFERROR(IF(Y464=0,"",ROUNDUP(Y464/H464,0)*0.00902),"")</f>
        <v/>
      </c>
      <c r="AA464" s="68" t="inlineStr"/>
      <c r="AB464" s="69" t="inlineStr"/>
      <c r="AC464" s="550" t="inlineStr">
        <is>
          <t>ЕАЭС N RU Д-RU.РА02.В.65596/23</t>
        </is>
      </c>
      <c r="AG464" s="78" t="n"/>
      <c r="AJ464" s="84" t="inlineStr"/>
      <c r="AK464" s="84" t="n">
        <v>0</v>
      </c>
      <c r="BB464" s="551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27" customHeight="1">
      <c r="A465" s="63" t="inlineStr">
        <is>
          <t>SU002615</t>
        </is>
      </c>
      <c r="B465" s="63" t="inlineStr">
        <is>
          <t>P004687</t>
        </is>
      </c>
      <c r="C465" s="36" t="n">
        <v>4301031382</v>
      </c>
      <c r="D465" s="832" t="n">
        <v>4680115886117</v>
      </c>
      <c r="E465" s="1193" t="n"/>
      <c r="F465" s="1232" t="n">
        <v>0.9</v>
      </c>
      <c r="G465" s="37" t="n">
        <v>6</v>
      </c>
      <c r="H465" s="1232" t="n">
        <v>5.4</v>
      </c>
      <c r="I465" s="1232" t="n">
        <v>5.61</v>
      </c>
      <c r="J465" s="37" t="n">
        <v>120</v>
      </c>
      <c r="K465" s="37" t="inlineStr">
        <is>
          <t>12</t>
        </is>
      </c>
      <c r="L465" s="37" t="inlineStr"/>
      <c r="M465" s="38" t="inlineStr">
        <is>
          <t>СК2</t>
        </is>
      </c>
      <c r="N465" s="38" t="n"/>
      <c r="O465" s="37" t="n">
        <v>50</v>
      </c>
      <c r="P465" s="1474" t="inlineStr">
        <is>
          <t>Копченые колбасы «Филейбургская с душистым чесноком» Весовой фиброуз ТМ «Баварушка»</t>
        </is>
      </c>
      <c r="Q465" s="1234" t="n"/>
      <c r="R465" s="1234" t="n"/>
      <c r="S465" s="1234" t="n"/>
      <c r="T465" s="1235" t="n"/>
      <c r="U465" s="39" t="inlineStr"/>
      <c r="V465" s="39" t="inlineStr"/>
      <c r="W465" s="40" t="inlineStr">
        <is>
          <t>кг</t>
        </is>
      </c>
      <c r="X465" s="1236" t="n">
        <v>0</v>
      </c>
      <c r="Y465" s="1237">
        <f>IFERROR(IF(X465="",0,CEILING((X465/$H465),1)*$H465),"")</f>
        <v/>
      </c>
      <c r="Z465" s="41">
        <f>IFERROR(IF(Y465=0,"",ROUNDUP(Y465/H465,0)*0.00937),"")</f>
        <v/>
      </c>
      <c r="AA465" s="68" t="inlineStr"/>
      <c r="AB465" s="69" t="inlineStr"/>
      <c r="AC465" s="552" t="inlineStr">
        <is>
          <t>ЕАЭС N RU Д-RU.РА02.В.66942/23</t>
        </is>
      </c>
      <c r="AG465" s="78" t="n"/>
      <c r="AJ465" s="84" t="inlineStr"/>
      <c r="AK465" s="84" t="n">
        <v>0</v>
      </c>
      <c r="BB465" s="553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SU002615</t>
        </is>
      </c>
      <c r="B466" s="63" t="inlineStr">
        <is>
          <t>P004899</t>
        </is>
      </c>
      <c r="C466" s="36" t="n">
        <v>4301031406</v>
      </c>
      <c r="D466" s="832" t="n">
        <v>4680115886117</v>
      </c>
      <c r="E466" s="1193" t="n"/>
      <c r="F466" s="1232" t="n">
        <v>0.9</v>
      </c>
      <c r="G466" s="37" t="n">
        <v>6</v>
      </c>
      <c r="H466" s="1232" t="n">
        <v>5.4</v>
      </c>
      <c r="I466" s="1232" t="n">
        <v>5.61</v>
      </c>
      <c r="J466" s="37" t="n">
        <v>132</v>
      </c>
      <c r="K466" s="37" t="inlineStr">
        <is>
          <t>12</t>
        </is>
      </c>
      <c r="L466" s="37" t="inlineStr"/>
      <c r="M466" s="38" t="inlineStr">
        <is>
          <t>СК2</t>
        </is>
      </c>
      <c r="N466" s="38" t="n"/>
      <c r="O466" s="37" t="n">
        <v>50</v>
      </c>
      <c r="P466" s="1475" t="inlineStr">
        <is>
          <t>Копченые колбасы «Филейбургская с душистым чесноком» Весовой фиброуз ТМ «Баварушка»</t>
        </is>
      </c>
      <c r="Q466" s="1234" t="n"/>
      <c r="R466" s="1234" t="n"/>
      <c r="S466" s="1234" t="n"/>
      <c r="T466" s="1235" t="n"/>
      <c r="U466" s="39" t="inlineStr"/>
      <c r="V466" s="39" t="inlineStr"/>
      <c r="W466" s="40" t="inlineStr">
        <is>
          <t>кг</t>
        </is>
      </c>
      <c r="X466" s="1236" t="n">
        <v>0</v>
      </c>
      <c r="Y466" s="1237">
        <f>IFERROR(IF(X466="",0,CEILING((X466/$H466),1)*$H466),"")</f>
        <v/>
      </c>
      <c r="Z466" s="41">
        <f>IFERROR(IF(Y466=0,"",ROUNDUP(Y466/H466,0)*0.00902),"")</f>
        <v/>
      </c>
      <c r="AA466" s="68" t="inlineStr"/>
      <c r="AB466" s="69" t="inlineStr"/>
      <c r="AC466" s="554" t="inlineStr">
        <is>
          <t>ЕАЭС N RU Д-RU.РА02.В.66942/23</t>
        </is>
      </c>
      <c r="AG466" s="78" t="n"/>
      <c r="AJ466" s="84" t="inlineStr"/>
      <c r="AK466" s="84" t="n">
        <v>0</v>
      </c>
      <c r="BB466" s="555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27" customHeight="1">
      <c r="A467" s="63" t="inlineStr">
        <is>
          <t>SU003083</t>
        </is>
      </c>
      <c r="B467" s="63" t="inlineStr">
        <is>
          <t>P004353</t>
        </is>
      </c>
      <c r="C467" s="36" t="n">
        <v>4301031335</v>
      </c>
      <c r="D467" s="832" t="n">
        <v>4680115883147</v>
      </c>
      <c r="E467" s="1193" t="n"/>
      <c r="F467" s="1232" t="n">
        <v>0.28</v>
      </c>
      <c r="G467" s="37" t="n">
        <v>6</v>
      </c>
      <c r="H467" s="1232" t="n">
        <v>1.68</v>
      </c>
      <c r="I467" s="1232" t="n">
        <v>1.81</v>
      </c>
      <c r="J467" s="37" t="n">
        <v>234</v>
      </c>
      <c r="K467" s="37" t="inlineStr">
        <is>
          <t>18</t>
        </is>
      </c>
      <c r="L467" s="37" t="inlineStr"/>
      <c r="M467" s="38" t="inlineStr">
        <is>
          <t>СК2</t>
        </is>
      </c>
      <c r="N467" s="38" t="n"/>
      <c r="O467" s="37" t="n">
        <v>50</v>
      </c>
      <c r="P467" s="147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67" s="1234" t="n"/>
      <c r="R467" s="1234" t="n"/>
      <c r="S467" s="1234" t="n"/>
      <c r="T467" s="1235" t="n"/>
      <c r="U467" s="39" t="inlineStr"/>
      <c r="V467" s="39" t="inlineStr"/>
      <c r="W467" s="40" t="inlineStr">
        <is>
          <t>кг</t>
        </is>
      </c>
      <c r="X467" s="1236" t="n">
        <v>0</v>
      </c>
      <c r="Y467" s="1237">
        <f>IFERROR(IF(X467="",0,CEILING((X467/$H467),1)*$H467),"")</f>
        <v/>
      </c>
      <c r="Z467" s="41">
        <f>IFERROR(IF(Y467=0,"",ROUNDUP(Y467/H467,0)*0.00502),"")</f>
        <v/>
      </c>
      <c r="AA467" s="68" t="inlineStr"/>
      <c r="AB467" s="69" t="inlineStr"/>
      <c r="AC467" s="556" t="inlineStr">
        <is>
          <t>ЕАЭС N RU Д-RU.РА02.В.65596/23</t>
        </is>
      </c>
      <c r="AG467" s="78" t="n"/>
      <c r="AJ467" s="84" t="inlineStr"/>
      <c r="AK467" s="84" t="n">
        <v>0</v>
      </c>
      <c r="BB467" s="557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SU003083</t>
        </is>
      </c>
      <c r="B468" s="63" t="inlineStr">
        <is>
          <t>P004543</t>
        </is>
      </c>
      <c r="C468" s="36" t="n">
        <v>4301031366</v>
      </c>
      <c r="D468" s="832" t="n">
        <v>4680115883147</v>
      </c>
      <c r="E468" s="1193" t="n"/>
      <c r="F468" s="1232" t="n">
        <v>0.28</v>
      </c>
      <c r="G468" s="37" t="n">
        <v>6</v>
      </c>
      <c r="H468" s="1232" t="n">
        <v>1.68</v>
      </c>
      <c r="I468" s="1232" t="n">
        <v>1.81</v>
      </c>
      <c r="J468" s="37" t="n">
        <v>234</v>
      </c>
      <c r="K468" s="37" t="inlineStr">
        <is>
          <t>18</t>
        </is>
      </c>
      <c r="L468" s="37" t="inlineStr"/>
      <c r="M468" s="38" t="inlineStr">
        <is>
          <t>СК2</t>
        </is>
      </c>
      <c r="N468" s="38" t="n"/>
      <c r="O468" s="37" t="n">
        <v>50</v>
      </c>
      <c r="P468" s="1477" t="inlineStr">
        <is>
          <t>В/к колбасы «Салями Филейбургская зернистая» срез Фикс.вес 0,28 фиброуз ТМ «Баварушка»</t>
        </is>
      </c>
      <c r="Q468" s="1234" t="n"/>
      <c r="R468" s="1234" t="n"/>
      <c r="S468" s="1234" t="n"/>
      <c r="T468" s="1235" t="n"/>
      <c r="U468" s="39" t="inlineStr"/>
      <c r="V468" s="39" t="inlineStr"/>
      <c r="W468" s="40" t="inlineStr">
        <is>
          <t>кг</t>
        </is>
      </c>
      <c r="X468" s="1236" t="n">
        <v>0</v>
      </c>
      <c r="Y468" s="1237">
        <f>IFERROR(IF(X468="",0,CEILING((X468/$H468),1)*$H468),"")</f>
        <v/>
      </c>
      <c r="Z468" s="41">
        <f>IFERROR(IF(Y468=0,"",ROUNDUP(Y468/H468,0)*0.00502),"")</f>
        <v/>
      </c>
      <c r="AA468" s="68" t="inlineStr"/>
      <c r="AB468" s="69" t="inlineStr"/>
      <c r="AC468" s="558" t="inlineStr">
        <is>
          <t>ЕАЭС N RU Д-RU.РА02.В.65596/23</t>
        </is>
      </c>
      <c r="AG468" s="78" t="n"/>
      <c r="AJ468" s="84" t="inlineStr"/>
      <c r="AK468" s="84" t="n">
        <v>0</v>
      </c>
      <c r="BB468" s="559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SU002538</t>
        </is>
      </c>
      <c r="B469" s="63" t="inlineStr">
        <is>
          <t>P004517</t>
        </is>
      </c>
      <c r="C469" s="36" t="n">
        <v>4301031362</v>
      </c>
      <c r="D469" s="832" t="n">
        <v>4607091384338</v>
      </c>
      <c r="E469" s="1193" t="n"/>
      <c r="F469" s="1232" t="n">
        <v>0.35</v>
      </c>
      <c r="G469" s="37" t="n">
        <v>6</v>
      </c>
      <c r="H469" s="1232" t="n">
        <v>2.1</v>
      </c>
      <c r="I469" s="1232" t="n">
        <v>2.23</v>
      </c>
      <c r="J469" s="37" t="n">
        <v>234</v>
      </c>
      <c r="K469" s="37" t="inlineStr">
        <is>
          <t>18</t>
        </is>
      </c>
      <c r="L469" s="37" t="inlineStr"/>
      <c r="M469" s="38" t="inlineStr">
        <is>
          <t>СК2</t>
        </is>
      </c>
      <c r="N469" s="38" t="n"/>
      <c r="O469" s="37" t="n">
        <v>50</v>
      </c>
      <c r="P469" s="147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69" s="1234" t="n"/>
      <c r="R469" s="1234" t="n"/>
      <c r="S469" s="1234" t="n"/>
      <c r="T469" s="1235" t="n"/>
      <c r="U469" s="39" t="inlineStr"/>
      <c r="V469" s="39" t="inlineStr"/>
      <c r="W469" s="40" t="inlineStr">
        <is>
          <t>кг</t>
        </is>
      </c>
      <c r="X469" s="1236" t="n">
        <v>52.5</v>
      </c>
      <c r="Y469" s="1237">
        <f>IFERROR(IF(X469="",0,CEILING((X469/$H469),1)*$H469),"")</f>
        <v/>
      </c>
      <c r="Z469" s="41">
        <f>IFERROR(IF(Y469=0,"",ROUNDUP(Y469/H469,0)*0.00502),"")</f>
        <v/>
      </c>
      <c r="AA469" s="68" t="inlineStr"/>
      <c r="AB469" s="69" t="inlineStr"/>
      <c r="AC469" s="560" t="inlineStr">
        <is>
          <t>ЕАЭС N RU Д-RU.РА02.В.65596/23</t>
        </is>
      </c>
      <c r="AG469" s="78" t="n"/>
      <c r="AJ469" s="84" t="inlineStr"/>
      <c r="AK469" s="84" t="n">
        <v>0</v>
      </c>
      <c r="BB469" s="561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37.5" customHeight="1">
      <c r="A470" s="63" t="inlineStr">
        <is>
          <t>SU003079</t>
        </is>
      </c>
      <c r="B470" s="63" t="inlineStr">
        <is>
          <t>P004354</t>
        </is>
      </c>
      <c r="C470" s="36" t="n">
        <v>4301031336</v>
      </c>
      <c r="D470" s="832" t="n">
        <v>4680115883154</v>
      </c>
      <c r="E470" s="1193" t="n"/>
      <c r="F470" s="1232" t="n">
        <v>0.28</v>
      </c>
      <c r="G470" s="37" t="n">
        <v>6</v>
      </c>
      <c r="H470" s="1232" t="n">
        <v>1.68</v>
      </c>
      <c r="I470" s="1232" t="n">
        <v>1.81</v>
      </c>
      <c r="J470" s="37" t="n">
        <v>234</v>
      </c>
      <c r="K470" s="37" t="inlineStr">
        <is>
          <t>18</t>
        </is>
      </c>
      <c r="L470" s="37" t="inlineStr"/>
      <c r="M470" s="38" t="inlineStr">
        <is>
          <t>СК2</t>
        </is>
      </c>
      <c r="N470" s="38" t="n"/>
      <c r="O470" s="37" t="n">
        <v>50</v>
      </c>
      <c r="P470" s="1479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70" s="1234" t="n"/>
      <c r="R470" s="1234" t="n"/>
      <c r="S470" s="1234" t="n"/>
      <c r="T470" s="1235" t="n"/>
      <c r="U470" s="39" t="inlineStr"/>
      <c r="V470" s="39" t="inlineStr"/>
      <c r="W470" s="40" t="inlineStr">
        <is>
          <t>кг</t>
        </is>
      </c>
      <c r="X470" s="1236" t="n">
        <v>0</v>
      </c>
      <c r="Y470" s="1237">
        <f>IFERROR(IF(X470="",0,CEILING((X470/$H470),1)*$H470),"")</f>
        <v/>
      </c>
      <c r="Z470" s="41">
        <f>IFERROR(IF(Y470=0,"",ROUNDUP(Y470/H470,0)*0.00502),"")</f>
        <v/>
      </c>
      <c r="AA470" s="68" t="inlineStr"/>
      <c r="AB470" s="69" t="inlineStr"/>
      <c r="AC470" s="562" t="inlineStr">
        <is>
          <t>ЕАЭС N RU Д-RU.РА02.В.65693/23</t>
        </is>
      </c>
      <c r="AG470" s="78" t="n"/>
      <c r="AJ470" s="84" t="inlineStr"/>
      <c r="AK470" s="84" t="n">
        <v>0</v>
      </c>
      <c r="BB470" s="563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37.5" customHeight="1">
      <c r="A471" s="63" t="inlineStr">
        <is>
          <t>SU003079</t>
        </is>
      </c>
      <c r="B471" s="63" t="inlineStr">
        <is>
          <t>P004547</t>
        </is>
      </c>
      <c r="C471" s="36" t="n">
        <v>4301031374</v>
      </c>
      <c r="D471" s="832" t="n">
        <v>4680115883154</v>
      </c>
      <c r="E471" s="1193" t="n"/>
      <c r="F471" s="1232" t="n">
        <v>0.28</v>
      </c>
      <c r="G471" s="37" t="n">
        <v>6</v>
      </c>
      <c r="H471" s="1232" t="n">
        <v>1.68</v>
      </c>
      <c r="I471" s="1232" t="n">
        <v>1.81</v>
      </c>
      <c r="J471" s="37" t="n">
        <v>234</v>
      </c>
      <c r="K471" s="37" t="inlineStr">
        <is>
          <t>18</t>
        </is>
      </c>
      <c r="L471" s="37" t="inlineStr"/>
      <c r="M471" s="38" t="inlineStr">
        <is>
          <t>СК2</t>
        </is>
      </c>
      <c r="N471" s="38" t="n"/>
      <c r="O471" s="37" t="n">
        <v>50</v>
      </c>
      <c r="P471" s="1480" t="inlineStr">
        <is>
          <t>В/к колбасы «Сервелат Филейбургский с ароматными пряностями» срез Фикс.вес 0,28 фиброуз ТМ «Баварушка»</t>
        </is>
      </c>
      <c r="Q471" s="1234" t="n"/>
      <c r="R471" s="1234" t="n"/>
      <c r="S471" s="1234" t="n"/>
      <c r="T471" s="1235" t="n"/>
      <c r="U471" s="39" t="inlineStr"/>
      <c r="V471" s="39" t="inlineStr"/>
      <c r="W471" s="40" t="inlineStr">
        <is>
          <t>кг</t>
        </is>
      </c>
      <c r="X471" s="1236" t="n">
        <v>0</v>
      </c>
      <c r="Y471" s="1237">
        <f>IFERROR(IF(X471="",0,CEILING((X471/$H471),1)*$H471),"")</f>
        <v/>
      </c>
      <c r="Z471" s="41">
        <f>IFERROR(IF(Y471=0,"",ROUNDUP(Y471/H471,0)*0.00502),"")</f>
        <v/>
      </c>
      <c r="AA471" s="68" t="inlineStr"/>
      <c r="AB471" s="69" t="inlineStr"/>
      <c r="AC471" s="564" t="inlineStr">
        <is>
          <t>ЕАЭС N RU Д-RU.РА02.В.65693/23</t>
        </is>
      </c>
      <c r="AG471" s="78" t="n"/>
      <c r="AJ471" s="84" t="inlineStr"/>
      <c r="AK471" s="84" t="n">
        <v>0</v>
      </c>
      <c r="BB471" s="565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37.5" customHeight="1">
      <c r="A472" s="63" t="inlineStr">
        <is>
          <t>SU002602</t>
        </is>
      </c>
      <c r="B472" s="63" t="inlineStr">
        <is>
          <t>P004344</t>
        </is>
      </c>
      <c r="C472" s="36" t="n">
        <v>4301031331</v>
      </c>
      <c r="D472" s="832" t="n">
        <v>4607091389524</v>
      </c>
      <c r="E472" s="1193" t="n"/>
      <c r="F472" s="1232" t="n">
        <v>0.35</v>
      </c>
      <c r="G472" s="37" t="n">
        <v>6</v>
      </c>
      <c r="H472" s="1232" t="n">
        <v>2.1</v>
      </c>
      <c r="I472" s="1232" t="n">
        <v>2.23</v>
      </c>
      <c r="J472" s="37" t="n">
        <v>234</v>
      </c>
      <c r="K472" s="37" t="inlineStr">
        <is>
          <t>18</t>
        </is>
      </c>
      <c r="L472" s="37" t="inlineStr"/>
      <c r="M472" s="38" t="inlineStr">
        <is>
          <t>СК2</t>
        </is>
      </c>
      <c r="N472" s="38" t="n"/>
      <c r="O472" s="37" t="n">
        <v>50</v>
      </c>
      <c r="P472" s="1481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72" s="1234" t="n"/>
      <c r="R472" s="1234" t="n"/>
      <c r="S472" s="1234" t="n"/>
      <c r="T472" s="1235" t="n"/>
      <c r="U472" s="39" t="inlineStr"/>
      <c r="V472" s="39" t="inlineStr"/>
      <c r="W472" s="40" t="inlineStr">
        <is>
          <t>кг</t>
        </is>
      </c>
      <c r="X472" s="1236" t="n">
        <v>0</v>
      </c>
      <c r="Y472" s="1237">
        <f>IFERROR(IF(X472="",0,CEILING((X472/$H472),1)*$H472),"")</f>
        <v/>
      </c>
      <c r="Z472" s="41">
        <f>IFERROR(IF(Y472=0,"",ROUNDUP(Y472/H472,0)*0.00502),"")</f>
        <v/>
      </c>
      <c r="AA472" s="68" t="inlineStr"/>
      <c r="AB472" s="69" t="inlineStr"/>
      <c r="AC472" s="566" t="inlineStr">
        <is>
          <t>ЕАЭС N RU Д-RU.РА02.В.65693/23</t>
        </is>
      </c>
      <c r="AG472" s="78" t="n"/>
      <c r="AJ472" s="84" t="inlineStr"/>
      <c r="AK472" s="84" t="n">
        <v>0</v>
      </c>
      <c r="BB472" s="567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37.5" customHeight="1">
      <c r="A473" s="63" t="inlineStr">
        <is>
          <t>SU002602</t>
        </is>
      </c>
      <c r="B473" s="63" t="inlineStr">
        <is>
          <t>P004518</t>
        </is>
      </c>
      <c r="C473" s="36" t="n">
        <v>4301031361</v>
      </c>
      <c r="D473" s="832" t="n">
        <v>4607091389524</v>
      </c>
      <c r="E473" s="1193" t="n"/>
      <c r="F473" s="1232" t="n">
        <v>0.35</v>
      </c>
      <c r="G473" s="37" t="n">
        <v>6</v>
      </c>
      <c r="H473" s="1232" t="n">
        <v>2.1</v>
      </c>
      <c r="I473" s="1232" t="n">
        <v>2.23</v>
      </c>
      <c r="J473" s="37" t="n">
        <v>234</v>
      </c>
      <c r="K473" s="37" t="inlineStr">
        <is>
          <t>18</t>
        </is>
      </c>
      <c r="L473" s="37" t="inlineStr"/>
      <c r="M473" s="38" t="inlineStr">
        <is>
          <t>СК2</t>
        </is>
      </c>
      <c r="N473" s="38" t="n"/>
      <c r="O473" s="37" t="n">
        <v>50</v>
      </c>
      <c r="P473" s="1482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73" s="1234" t="n"/>
      <c r="R473" s="1234" t="n"/>
      <c r="S473" s="1234" t="n"/>
      <c r="T473" s="1235" t="n"/>
      <c r="U473" s="39" t="inlineStr"/>
      <c r="V473" s="39" t="inlineStr"/>
      <c r="W473" s="40" t="inlineStr">
        <is>
          <t>кг</t>
        </is>
      </c>
      <c r="X473" s="1236" t="n">
        <v>0</v>
      </c>
      <c r="Y473" s="1237">
        <f>IFERROR(IF(X473="",0,CEILING((X473/$H473),1)*$H473),"")</f>
        <v/>
      </c>
      <c r="Z473" s="41">
        <f>IFERROR(IF(Y473=0,"",ROUNDUP(Y473/H473,0)*0.00502),"")</f>
        <v/>
      </c>
      <c r="AA473" s="68" t="inlineStr"/>
      <c r="AB473" s="69" t="inlineStr"/>
      <c r="AC473" s="568" t="inlineStr">
        <is>
          <t>ЕАЭС N RU Д-RU.РА02.В.65693/23</t>
        </is>
      </c>
      <c r="AG473" s="78" t="n"/>
      <c r="AJ473" s="84" t="inlineStr"/>
      <c r="AK473" s="84" t="n">
        <v>0</v>
      </c>
      <c r="BB473" s="569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27" customHeight="1">
      <c r="A474" s="63" t="inlineStr">
        <is>
          <t>SU003080</t>
        </is>
      </c>
      <c r="B474" s="63" t="inlineStr">
        <is>
          <t>P004355</t>
        </is>
      </c>
      <c r="C474" s="36" t="n">
        <v>4301031337</v>
      </c>
      <c r="D474" s="832" t="n">
        <v>4680115883161</v>
      </c>
      <c r="E474" s="1193" t="n"/>
      <c r="F474" s="1232" t="n">
        <v>0.28</v>
      </c>
      <c r="G474" s="37" t="n">
        <v>6</v>
      </c>
      <c r="H474" s="1232" t="n">
        <v>1.68</v>
      </c>
      <c r="I474" s="1232" t="n">
        <v>1.81</v>
      </c>
      <c r="J474" s="37" t="n">
        <v>234</v>
      </c>
      <c r="K474" s="37" t="inlineStr">
        <is>
          <t>18</t>
        </is>
      </c>
      <c r="L474" s="37" t="inlineStr"/>
      <c r="M474" s="38" t="inlineStr">
        <is>
          <t>СК2</t>
        </is>
      </c>
      <c r="N474" s="38" t="n"/>
      <c r="O474" s="37" t="n">
        <v>50</v>
      </c>
      <c r="P474" s="1483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74" s="1234" t="n"/>
      <c r="R474" s="1234" t="n"/>
      <c r="S474" s="1234" t="n"/>
      <c r="T474" s="1235" t="n"/>
      <c r="U474" s="39" t="inlineStr"/>
      <c r="V474" s="39" t="inlineStr"/>
      <c r="W474" s="40" t="inlineStr">
        <is>
          <t>кг</t>
        </is>
      </c>
      <c r="X474" s="1236" t="n">
        <v>0</v>
      </c>
      <c r="Y474" s="1237">
        <f>IFERROR(IF(X474="",0,CEILING((X474/$H474),1)*$H474),"")</f>
        <v/>
      </c>
      <c r="Z474" s="41">
        <f>IFERROR(IF(Y474=0,"",ROUNDUP(Y474/H474,0)*0.00502),"")</f>
        <v/>
      </c>
      <c r="AA474" s="68" t="inlineStr"/>
      <c r="AB474" s="69" t="inlineStr"/>
      <c r="AC474" s="570" t="inlineStr">
        <is>
          <t>ЕАЭС N RU Д-RU.РА02.В.65750/23</t>
        </is>
      </c>
      <c r="AG474" s="78" t="n"/>
      <c r="AJ474" s="84" t="inlineStr"/>
      <c r="AK474" s="84" t="n">
        <v>0</v>
      </c>
      <c r="BB474" s="571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SU003080</t>
        </is>
      </c>
      <c r="B475" s="63" t="inlineStr">
        <is>
          <t>P004525</t>
        </is>
      </c>
      <c r="C475" s="36" t="n">
        <v>4301031364</v>
      </c>
      <c r="D475" s="832" t="n">
        <v>4680115883161</v>
      </c>
      <c r="E475" s="1193" t="n"/>
      <c r="F475" s="1232" t="n">
        <v>0.28</v>
      </c>
      <c r="G475" s="37" t="n">
        <v>6</v>
      </c>
      <c r="H475" s="1232" t="n">
        <v>1.68</v>
      </c>
      <c r="I475" s="1232" t="n">
        <v>1.81</v>
      </c>
      <c r="J475" s="37" t="n">
        <v>234</v>
      </c>
      <c r="K475" s="37" t="inlineStr">
        <is>
          <t>18</t>
        </is>
      </c>
      <c r="L475" s="37" t="inlineStr"/>
      <c r="M475" s="38" t="inlineStr">
        <is>
          <t>СК2</t>
        </is>
      </c>
      <c r="N475" s="38" t="n"/>
      <c r="O475" s="37" t="n">
        <v>50</v>
      </c>
      <c r="P475" s="148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75" s="1234" t="n"/>
      <c r="R475" s="1234" t="n"/>
      <c r="S475" s="1234" t="n"/>
      <c r="T475" s="1235" t="n"/>
      <c r="U475" s="39" t="inlineStr"/>
      <c r="V475" s="39" t="inlineStr"/>
      <c r="W475" s="40" t="inlineStr">
        <is>
          <t>кг</t>
        </is>
      </c>
      <c r="X475" s="1236" t="n">
        <v>0</v>
      </c>
      <c r="Y475" s="1237">
        <f>IFERROR(IF(X475="",0,CEILING((X475/$H475),1)*$H475),"")</f>
        <v/>
      </c>
      <c r="Z475" s="41">
        <f>IFERROR(IF(Y475=0,"",ROUNDUP(Y475/H475,0)*0.00502),"")</f>
        <v/>
      </c>
      <c r="AA475" s="68" t="inlineStr"/>
      <c r="AB475" s="69" t="inlineStr"/>
      <c r="AC475" s="572" t="inlineStr">
        <is>
          <t>ЕАЭС N RU Д-RU.РА02.В.65750/23</t>
        </is>
      </c>
      <c r="AG475" s="78" t="n"/>
      <c r="AJ475" s="84" t="inlineStr"/>
      <c r="AK475" s="84" t="n">
        <v>0</v>
      </c>
      <c r="BB475" s="573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SU002606</t>
        </is>
      </c>
      <c r="B476" s="63" t="inlineStr">
        <is>
          <t>P004351</t>
        </is>
      </c>
      <c r="C476" s="36" t="n">
        <v>4301031333</v>
      </c>
      <c r="D476" s="832" t="n">
        <v>4607091389531</v>
      </c>
      <c r="E476" s="1193" t="n"/>
      <c r="F476" s="1232" t="n">
        <v>0.35</v>
      </c>
      <c r="G476" s="37" t="n">
        <v>6</v>
      </c>
      <c r="H476" s="1232" t="n">
        <v>2.1</v>
      </c>
      <c r="I476" s="1232" t="n">
        <v>2.23</v>
      </c>
      <c r="J476" s="37" t="n">
        <v>234</v>
      </c>
      <c r="K476" s="37" t="inlineStr">
        <is>
          <t>18</t>
        </is>
      </c>
      <c r="L476" s="37" t="inlineStr"/>
      <c r="M476" s="38" t="inlineStr">
        <is>
          <t>СК2</t>
        </is>
      </c>
      <c r="N476" s="38" t="n"/>
      <c r="O476" s="37" t="n">
        <v>50</v>
      </c>
      <c r="P476" s="1485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76" s="1234" t="n"/>
      <c r="R476" s="1234" t="n"/>
      <c r="S476" s="1234" t="n"/>
      <c r="T476" s="1235" t="n"/>
      <c r="U476" s="39" t="inlineStr"/>
      <c r="V476" s="39" t="inlineStr"/>
      <c r="W476" s="40" t="inlineStr">
        <is>
          <t>кг</t>
        </is>
      </c>
      <c r="X476" s="1236" t="n">
        <v>0</v>
      </c>
      <c r="Y476" s="1237">
        <f>IFERROR(IF(X476="",0,CEILING((X476/$H476),1)*$H476),"")</f>
        <v/>
      </c>
      <c r="Z476" s="41">
        <f>IFERROR(IF(Y476=0,"",ROUNDUP(Y476/H476,0)*0.00502),"")</f>
        <v/>
      </c>
      <c r="AA476" s="68" t="inlineStr"/>
      <c r="AB476" s="69" t="inlineStr"/>
      <c r="AC476" s="574" t="inlineStr">
        <is>
          <t>ЕАЭС N RU Д-RU.РА02.В.66890/23</t>
        </is>
      </c>
      <c r="AG476" s="78" t="n"/>
      <c r="AJ476" s="84" t="inlineStr"/>
      <c r="AK476" s="84" t="n">
        <v>0</v>
      </c>
      <c r="BB476" s="575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SU002606</t>
        </is>
      </c>
      <c r="B477" s="63" t="inlineStr">
        <is>
          <t>P004521</t>
        </is>
      </c>
      <c r="C477" s="36" t="n">
        <v>4301031358</v>
      </c>
      <c r="D477" s="832" t="n">
        <v>4607091389531</v>
      </c>
      <c r="E477" s="1193" t="n"/>
      <c r="F477" s="1232" t="n">
        <v>0.35</v>
      </c>
      <c r="G477" s="37" t="n">
        <v>6</v>
      </c>
      <c r="H477" s="1232" t="n">
        <v>2.1</v>
      </c>
      <c r="I477" s="1232" t="n">
        <v>2.23</v>
      </c>
      <c r="J477" s="37" t="n">
        <v>234</v>
      </c>
      <c r="K477" s="37" t="inlineStr">
        <is>
          <t>18</t>
        </is>
      </c>
      <c r="L477" s="37" t="inlineStr"/>
      <c r="M477" s="38" t="inlineStr">
        <is>
          <t>СК2</t>
        </is>
      </c>
      <c r="N477" s="38" t="n"/>
      <c r="O477" s="37" t="n">
        <v>50</v>
      </c>
      <c r="P477" s="148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77" s="1234" t="n"/>
      <c r="R477" s="1234" t="n"/>
      <c r="S477" s="1234" t="n"/>
      <c r="T477" s="1235" t="n"/>
      <c r="U477" s="39" t="inlineStr"/>
      <c r="V477" s="39" t="inlineStr"/>
      <c r="W477" s="40" t="inlineStr">
        <is>
          <t>кг</t>
        </is>
      </c>
      <c r="X477" s="1236" t="n">
        <v>35</v>
      </c>
      <c r="Y477" s="1237">
        <f>IFERROR(IF(X477="",0,CEILING((X477/$H477),1)*$H477),"")</f>
        <v/>
      </c>
      <c r="Z477" s="41">
        <f>IFERROR(IF(Y477=0,"",ROUNDUP(Y477/H477,0)*0.00502),"")</f>
        <v/>
      </c>
      <c r="AA477" s="68" t="inlineStr"/>
      <c r="AB477" s="69" t="inlineStr"/>
      <c r="AC477" s="576" t="inlineStr">
        <is>
          <t>ЕАЭС N RU Д-RU.РА02.В.66890/23</t>
        </is>
      </c>
      <c r="AG477" s="78" t="n"/>
      <c r="AJ477" s="84" t="inlineStr"/>
      <c r="AK477" s="84" t="n">
        <v>0</v>
      </c>
      <c r="BB477" s="577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37.5" customHeight="1">
      <c r="A478" s="63" t="inlineStr">
        <is>
          <t>SU002603</t>
        </is>
      </c>
      <c r="B478" s="63" t="inlineStr">
        <is>
          <t>P004519</t>
        </is>
      </c>
      <c r="C478" s="36" t="n">
        <v>4301031360</v>
      </c>
      <c r="D478" s="832" t="n">
        <v>4607091384345</v>
      </c>
      <c r="E478" s="1193" t="n"/>
      <c r="F478" s="1232" t="n">
        <v>0.35</v>
      </c>
      <c r="G478" s="37" t="n">
        <v>6</v>
      </c>
      <c r="H478" s="1232" t="n">
        <v>2.1</v>
      </c>
      <c r="I478" s="1232" t="n">
        <v>2.23</v>
      </c>
      <c r="J478" s="37" t="n">
        <v>234</v>
      </c>
      <c r="K478" s="37" t="inlineStr">
        <is>
          <t>18</t>
        </is>
      </c>
      <c r="L478" s="37" t="inlineStr"/>
      <c r="M478" s="38" t="inlineStr">
        <is>
          <t>СК2</t>
        </is>
      </c>
      <c r="N478" s="38" t="n"/>
      <c r="O478" s="37" t="n">
        <v>50</v>
      </c>
      <c r="P478" s="148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78" s="1234" t="n"/>
      <c r="R478" s="1234" t="n"/>
      <c r="S478" s="1234" t="n"/>
      <c r="T478" s="1235" t="n"/>
      <c r="U478" s="39" t="inlineStr"/>
      <c r="V478" s="39" t="inlineStr"/>
      <c r="W478" s="40" t="inlineStr">
        <is>
          <t>кг</t>
        </is>
      </c>
      <c r="X478" s="1236" t="n">
        <v>0</v>
      </c>
      <c r="Y478" s="1237">
        <f>IFERROR(IF(X478="",0,CEILING((X478/$H478),1)*$H478),"")</f>
        <v/>
      </c>
      <c r="Z478" s="41">
        <f>IFERROR(IF(Y478=0,"",ROUNDUP(Y478/H478,0)*0.00502),"")</f>
        <v/>
      </c>
      <c r="AA478" s="68" t="inlineStr"/>
      <c r="AB478" s="69" t="inlineStr"/>
      <c r="AC478" s="578" t="inlineStr">
        <is>
          <t>ЕАЭС N RU Д-RU.РА02.В.65750/23</t>
        </is>
      </c>
      <c r="AG478" s="78" t="n"/>
      <c r="AJ478" s="84" t="inlineStr"/>
      <c r="AK478" s="84" t="n">
        <v>0</v>
      </c>
      <c r="BB478" s="579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 ht="27" customHeight="1">
      <c r="A479" s="63" t="inlineStr">
        <is>
          <t>SU003082</t>
        </is>
      </c>
      <c r="B479" s="63" t="inlineStr">
        <is>
          <t>P004541</t>
        </is>
      </c>
      <c r="C479" s="36" t="n">
        <v>4301031368</v>
      </c>
      <c r="D479" s="832" t="n">
        <v>4680115883185</v>
      </c>
      <c r="E479" s="1193" t="n"/>
      <c r="F479" s="1232" t="n">
        <v>0.28</v>
      </c>
      <c r="G479" s="37" t="n">
        <v>6</v>
      </c>
      <c r="H479" s="1232" t="n">
        <v>1.68</v>
      </c>
      <c r="I479" s="1232" t="n">
        <v>1.81</v>
      </c>
      <c r="J479" s="37" t="n">
        <v>234</v>
      </c>
      <c r="K479" s="37" t="inlineStr">
        <is>
          <t>18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488" t="inlineStr">
        <is>
          <t>В/к колбасы «Филейбургская с душистым чесноком» срез Фикс.вес 0,28 фиброуз в/у Баварушка</t>
        </is>
      </c>
      <c r="Q479" s="1234" t="n"/>
      <c r="R479" s="1234" t="n"/>
      <c r="S479" s="1234" t="n"/>
      <c r="T479" s="1235" t="n"/>
      <c r="U479" s="39" t="inlineStr"/>
      <c r="V479" s="39" t="inlineStr"/>
      <c r="W479" s="40" t="inlineStr">
        <is>
          <t>кг</t>
        </is>
      </c>
      <c r="X479" s="1236" t="n">
        <v>0</v>
      </c>
      <c r="Y479" s="1237">
        <f>IFERROR(IF(X479="",0,CEILING((X479/$H479),1)*$H479),"")</f>
        <v/>
      </c>
      <c r="Z479" s="41">
        <f>IFERROR(IF(Y479=0,"",ROUNDUP(Y479/H479,0)*0.00502),"")</f>
        <v/>
      </c>
      <c r="AA479" s="68" t="inlineStr"/>
      <c r="AB479" s="69" t="inlineStr"/>
      <c r="AC479" s="580" t="inlineStr">
        <is>
          <t>ЕАЭС N RU Д-RU.РА02.В.66942/23</t>
        </is>
      </c>
      <c r="AG479" s="78" t="n"/>
      <c r="AJ479" s="84" t="inlineStr"/>
      <c r="AK479" s="84" t="n">
        <v>0</v>
      </c>
      <c r="BB479" s="581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SU003082</t>
        </is>
      </c>
      <c r="B480" s="63" t="inlineStr">
        <is>
          <t>P003644</t>
        </is>
      </c>
      <c r="C480" s="36" t="n">
        <v>4301031255</v>
      </c>
      <c r="D480" s="832" t="n">
        <v>4680115883185</v>
      </c>
      <c r="E480" s="1193" t="n"/>
      <c r="F480" s="1232" t="n">
        <v>0.28</v>
      </c>
      <c r="G480" s="37" t="n">
        <v>6</v>
      </c>
      <c r="H480" s="1232" t="n">
        <v>1.68</v>
      </c>
      <c r="I480" s="1232" t="n">
        <v>1.81</v>
      </c>
      <c r="J480" s="37" t="n">
        <v>234</v>
      </c>
      <c r="K480" s="37" t="inlineStr">
        <is>
          <t>18</t>
        </is>
      </c>
      <c r="L480" s="37" t="inlineStr"/>
      <c r="M480" s="38" t="inlineStr">
        <is>
          <t>СК2</t>
        </is>
      </c>
      <c r="N480" s="38" t="n"/>
      <c r="O480" s="37" t="n">
        <v>45</v>
      </c>
      <c r="P480" s="148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80" s="1234" t="n"/>
      <c r="R480" s="1234" t="n"/>
      <c r="S480" s="1234" t="n"/>
      <c r="T480" s="1235" t="n"/>
      <c r="U480" s="39" t="inlineStr"/>
      <c r="V480" s="39" t="inlineStr"/>
      <c r="W480" s="40" t="inlineStr">
        <is>
          <t>кг</t>
        </is>
      </c>
      <c r="X480" s="1236" t="n">
        <v>0</v>
      </c>
      <c r="Y480" s="1237">
        <f>IFERROR(IF(X480="",0,CEILING((X480/$H480),1)*$H480),"")</f>
        <v/>
      </c>
      <c r="Z480" s="41">
        <f>IFERROR(IF(Y480=0,"",ROUNDUP(Y480/H480,0)*0.00502),"")</f>
        <v/>
      </c>
      <c r="AA480" s="68" t="inlineStr"/>
      <c r="AB480" s="69" t="inlineStr"/>
      <c r="AC480" s="582" t="inlineStr">
        <is>
          <t>ЕАЭС N RU Д-RU.РА03.В.60842/22</t>
        </is>
      </c>
      <c r="AG480" s="78" t="n"/>
      <c r="AJ480" s="84" t="inlineStr"/>
      <c r="AK480" s="84" t="n">
        <v>0</v>
      </c>
      <c r="BB480" s="583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>
      <c r="A481" s="843" t="n"/>
      <c r="B481" s="1182" t="n"/>
      <c r="C481" s="1182" t="n"/>
      <c r="D481" s="1182" t="n"/>
      <c r="E481" s="1182" t="n"/>
      <c r="F481" s="1182" t="n"/>
      <c r="G481" s="1182" t="n"/>
      <c r="H481" s="1182" t="n"/>
      <c r="I481" s="1182" t="n"/>
      <c r="J481" s="1182" t="n"/>
      <c r="K481" s="1182" t="n"/>
      <c r="L481" s="1182" t="n"/>
      <c r="M481" s="1182" t="n"/>
      <c r="N481" s="1182" t="n"/>
      <c r="O481" s="1241" t="n"/>
      <c r="P481" s="1242" t="inlineStr">
        <is>
          <t>Итого</t>
        </is>
      </c>
      <c r="Q481" s="1201" t="n"/>
      <c r="R481" s="1201" t="n"/>
      <c r="S481" s="1201" t="n"/>
      <c r="T481" s="1201" t="n"/>
      <c r="U481" s="1201" t="n"/>
      <c r="V481" s="1202" t="n"/>
      <c r="W481" s="42" t="inlineStr">
        <is>
          <t>кор</t>
        </is>
      </c>
      <c r="X481" s="12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/>
      </c>
      <c r="Y481" s="12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/>
      </c>
      <c r="Z481" s="12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/>
      </c>
      <c r="AA481" s="1244" t="n"/>
      <c r="AB481" s="1244" t="n"/>
      <c r="AC481" s="1244" t="n"/>
    </row>
    <row r="482">
      <c r="A482" s="1182" t="n"/>
      <c r="B482" s="1182" t="n"/>
      <c r="C482" s="1182" t="n"/>
      <c r="D482" s="1182" t="n"/>
      <c r="E482" s="1182" t="n"/>
      <c r="F482" s="1182" t="n"/>
      <c r="G482" s="1182" t="n"/>
      <c r="H482" s="1182" t="n"/>
      <c r="I482" s="1182" t="n"/>
      <c r="J482" s="1182" t="n"/>
      <c r="K482" s="1182" t="n"/>
      <c r="L482" s="1182" t="n"/>
      <c r="M482" s="1182" t="n"/>
      <c r="N482" s="1182" t="n"/>
      <c r="O482" s="1241" t="n"/>
      <c r="P482" s="1242" t="inlineStr">
        <is>
          <t>Итого</t>
        </is>
      </c>
      <c r="Q482" s="1201" t="n"/>
      <c r="R482" s="1201" t="n"/>
      <c r="S482" s="1201" t="n"/>
      <c r="T482" s="1201" t="n"/>
      <c r="U482" s="1201" t="n"/>
      <c r="V482" s="1202" t="n"/>
      <c r="W482" s="42" t="inlineStr">
        <is>
          <t>кг</t>
        </is>
      </c>
      <c r="X482" s="1243">
        <f>IFERROR(SUM(X464:X480),"0")</f>
        <v/>
      </c>
      <c r="Y482" s="1243">
        <f>IFERROR(SUM(Y464:Y480),"0")</f>
        <v/>
      </c>
      <c r="Z482" s="42" t="n"/>
      <c r="AA482" s="1244" t="n"/>
      <c r="AB482" s="1244" t="n"/>
      <c r="AC482" s="1244" t="n"/>
    </row>
    <row r="483" ht="14.25" customHeight="1">
      <c r="A483" s="831" t="inlineStr">
        <is>
          <t>Сосиски</t>
        </is>
      </c>
      <c r="B483" s="1182" t="n"/>
      <c r="C483" s="1182" t="n"/>
      <c r="D483" s="1182" t="n"/>
      <c r="E483" s="1182" t="n"/>
      <c r="F483" s="1182" t="n"/>
      <c r="G483" s="1182" t="n"/>
      <c r="H483" s="1182" t="n"/>
      <c r="I483" s="1182" t="n"/>
      <c r="J483" s="1182" t="n"/>
      <c r="K483" s="1182" t="n"/>
      <c r="L483" s="1182" t="n"/>
      <c r="M483" s="1182" t="n"/>
      <c r="N483" s="1182" t="n"/>
      <c r="O483" s="1182" t="n"/>
      <c r="P483" s="1182" t="n"/>
      <c r="Q483" s="1182" t="n"/>
      <c r="R483" s="1182" t="n"/>
      <c r="S483" s="1182" t="n"/>
      <c r="T483" s="1182" t="n"/>
      <c r="U483" s="1182" t="n"/>
      <c r="V483" s="1182" t="n"/>
      <c r="W483" s="1182" t="n"/>
      <c r="X483" s="1182" t="n"/>
      <c r="Y483" s="1182" t="n"/>
      <c r="Z483" s="1182" t="n"/>
      <c r="AA483" s="831" t="n"/>
      <c r="AB483" s="831" t="n"/>
      <c r="AC483" s="831" t="n"/>
    </row>
    <row r="484" ht="27" customHeight="1">
      <c r="A484" s="63" t="inlineStr">
        <is>
          <t>SU002285</t>
        </is>
      </c>
      <c r="B484" s="63" t="inlineStr">
        <is>
          <t>P002969</t>
        </is>
      </c>
      <c r="C484" s="36" t="n">
        <v>4301051284</v>
      </c>
      <c r="D484" s="832" t="n">
        <v>4607091384352</v>
      </c>
      <c r="E484" s="1193" t="n"/>
      <c r="F484" s="1232" t="n">
        <v>0.6</v>
      </c>
      <c r="G484" s="37" t="n">
        <v>4</v>
      </c>
      <c r="H484" s="1232" t="n">
        <v>2.4</v>
      </c>
      <c r="I484" s="1232" t="n">
        <v>2.646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СК3</t>
        </is>
      </c>
      <c r="N484" s="38" t="n"/>
      <c r="O484" s="37" t="n">
        <v>45</v>
      </c>
      <c r="P484" s="14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84" s="1234" t="n"/>
      <c r="R484" s="1234" t="n"/>
      <c r="S484" s="1234" t="n"/>
      <c r="T484" s="1235" t="n"/>
      <c r="U484" s="39" t="inlineStr"/>
      <c r="V484" s="39" t="inlineStr"/>
      <c r="W484" s="40" t="inlineStr">
        <is>
          <t>кг</t>
        </is>
      </c>
      <c r="X484" s="1236" t="n">
        <v>0</v>
      </c>
      <c r="Y484" s="1237">
        <f>IFERROR(IF(X484="",0,CEILING((X484/$H484),1)*$H484),"")</f>
        <v/>
      </c>
      <c r="Z484" s="41">
        <f>IFERROR(IF(Y484=0,"",ROUNDUP(Y484/H484,0)*0.00902),"")</f>
        <v/>
      </c>
      <c r="AA484" s="68" t="inlineStr"/>
      <c r="AB484" s="69" t="inlineStr"/>
      <c r="AC484" s="584" t="inlineStr">
        <is>
          <t>ЕАЭС N RU Д-RU.РА02.В.28328/22</t>
        </is>
      </c>
      <c r="AG484" s="78" t="n"/>
      <c r="AJ484" s="84" t="inlineStr"/>
      <c r="AK484" s="84" t="n">
        <v>0</v>
      </c>
      <c r="BB484" s="585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SU002557</t>
        </is>
      </c>
      <c r="B485" s="63" t="inlineStr">
        <is>
          <t>P003318</t>
        </is>
      </c>
      <c r="C485" s="36" t="n">
        <v>4301051431</v>
      </c>
      <c r="D485" s="832" t="n">
        <v>4607091389654</v>
      </c>
      <c r="E485" s="1193" t="n"/>
      <c r="F485" s="1232" t="n">
        <v>0.33</v>
      </c>
      <c r="G485" s="37" t="n">
        <v>6</v>
      </c>
      <c r="H485" s="1232" t="n">
        <v>1.98</v>
      </c>
      <c r="I485" s="1232" t="n">
        <v>2.238</v>
      </c>
      <c r="J485" s="37" t="n">
        <v>182</v>
      </c>
      <c r="K485" s="37" t="inlineStr">
        <is>
          <t>14</t>
        </is>
      </c>
      <c r="L485" s="37" t="inlineStr"/>
      <c r="M485" s="38" t="inlineStr">
        <is>
          <t>СК3</t>
        </is>
      </c>
      <c r="N485" s="38" t="n"/>
      <c r="O485" s="37" t="n">
        <v>45</v>
      </c>
      <c r="P485" s="149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85" s="1234" t="n"/>
      <c r="R485" s="1234" t="n"/>
      <c r="S485" s="1234" t="n"/>
      <c r="T485" s="1235" t="n"/>
      <c r="U485" s="39" t="inlineStr"/>
      <c r="V485" s="39" t="inlineStr"/>
      <c r="W485" s="40" t="inlineStr">
        <is>
          <t>кг</t>
        </is>
      </c>
      <c r="X485" s="1236" t="n">
        <v>0</v>
      </c>
      <c r="Y485" s="1237">
        <f>IFERROR(IF(X485="",0,CEILING((X485/$H485),1)*$H485),"")</f>
        <v/>
      </c>
      <c r="Z485" s="41">
        <f>IFERROR(IF(Y485=0,"",ROUNDUP(Y485/H485,0)*0.00651),"")</f>
        <v/>
      </c>
      <c r="AA485" s="68" t="inlineStr"/>
      <c r="AB485" s="69" t="inlineStr"/>
      <c r="AC485" s="586" t="inlineStr">
        <is>
          <t>ЕАЭС N RU Д-RU.РА01.В.79709/21</t>
        </is>
      </c>
      <c r="AG485" s="78" t="n"/>
      <c r="AJ485" s="84" t="inlineStr"/>
      <c r="AK485" s="84" t="n">
        <v>0</v>
      </c>
      <c r="BB485" s="587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>
      <c r="A486" s="843" t="n"/>
      <c r="B486" s="1182" t="n"/>
      <c r="C486" s="1182" t="n"/>
      <c r="D486" s="1182" t="n"/>
      <c r="E486" s="1182" t="n"/>
      <c r="F486" s="1182" t="n"/>
      <c r="G486" s="1182" t="n"/>
      <c r="H486" s="1182" t="n"/>
      <c r="I486" s="1182" t="n"/>
      <c r="J486" s="1182" t="n"/>
      <c r="K486" s="1182" t="n"/>
      <c r="L486" s="1182" t="n"/>
      <c r="M486" s="1182" t="n"/>
      <c r="N486" s="1182" t="n"/>
      <c r="O486" s="1241" t="n"/>
      <c r="P486" s="1242" t="inlineStr">
        <is>
          <t>Итого</t>
        </is>
      </c>
      <c r="Q486" s="1201" t="n"/>
      <c r="R486" s="1201" t="n"/>
      <c r="S486" s="1201" t="n"/>
      <c r="T486" s="1201" t="n"/>
      <c r="U486" s="1201" t="n"/>
      <c r="V486" s="1202" t="n"/>
      <c r="W486" s="42" t="inlineStr">
        <is>
          <t>кор</t>
        </is>
      </c>
      <c r="X486" s="1243">
        <f>IFERROR(X484/H484,"0")+IFERROR(X485/H485,"0")</f>
        <v/>
      </c>
      <c r="Y486" s="1243">
        <f>IFERROR(Y484/H484,"0")+IFERROR(Y485/H485,"0")</f>
        <v/>
      </c>
      <c r="Z486" s="1243">
        <f>IFERROR(IF(Z484="",0,Z484),"0")+IFERROR(IF(Z485="",0,Z485),"0")</f>
        <v/>
      </c>
      <c r="AA486" s="1244" t="n"/>
      <c r="AB486" s="1244" t="n"/>
      <c r="AC486" s="1244" t="n"/>
    </row>
    <row r="487">
      <c r="A487" s="1182" t="n"/>
      <c r="B487" s="1182" t="n"/>
      <c r="C487" s="1182" t="n"/>
      <c r="D487" s="1182" t="n"/>
      <c r="E487" s="1182" t="n"/>
      <c r="F487" s="1182" t="n"/>
      <c r="G487" s="1182" t="n"/>
      <c r="H487" s="1182" t="n"/>
      <c r="I487" s="1182" t="n"/>
      <c r="J487" s="1182" t="n"/>
      <c r="K487" s="1182" t="n"/>
      <c r="L487" s="1182" t="n"/>
      <c r="M487" s="1182" t="n"/>
      <c r="N487" s="1182" t="n"/>
      <c r="O487" s="1241" t="n"/>
      <c r="P487" s="1242" t="inlineStr">
        <is>
          <t>Итого</t>
        </is>
      </c>
      <c r="Q487" s="1201" t="n"/>
      <c r="R487" s="1201" t="n"/>
      <c r="S487" s="1201" t="n"/>
      <c r="T487" s="1201" t="n"/>
      <c r="U487" s="1201" t="n"/>
      <c r="V487" s="1202" t="n"/>
      <c r="W487" s="42" t="inlineStr">
        <is>
          <t>кг</t>
        </is>
      </c>
      <c r="X487" s="1243">
        <f>IFERROR(SUM(X484:X485),"0")</f>
        <v/>
      </c>
      <c r="Y487" s="1243">
        <f>IFERROR(SUM(Y484:Y485),"0")</f>
        <v/>
      </c>
      <c r="Z487" s="42" t="n"/>
      <c r="AA487" s="1244" t="n"/>
      <c r="AB487" s="1244" t="n"/>
      <c r="AC487" s="1244" t="n"/>
    </row>
    <row r="488" ht="14.25" customHeight="1">
      <c r="A488" s="831" t="inlineStr">
        <is>
          <t>Сырокопченые колбасы</t>
        </is>
      </c>
      <c r="B488" s="1182" t="n"/>
      <c r="C488" s="1182" t="n"/>
      <c r="D488" s="1182" t="n"/>
      <c r="E488" s="1182" t="n"/>
      <c r="F488" s="1182" t="n"/>
      <c r="G488" s="1182" t="n"/>
      <c r="H488" s="1182" t="n"/>
      <c r="I488" s="1182" t="n"/>
      <c r="J488" s="1182" t="n"/>
      <c r="K488" s="1182" t="n"/>
      <c r="L488" s="1182" t="n"/>
      <c r="M488" s="1182" t="n"/>
      <c r="N488" s="1182" t="n"/>
      <c r="O488" s="1182" t="n"/>
      <c r="P488" s="1182" t="n"/>
      <c r="Q488" s="1182" t="n"/>
      <c r="R488" s="1182" t="n"/>
      <c r="S488" s="1182" t="n"/>
      <c r="T488" s="1182" t="n"/>
      <c r="U488" s="1182" t="n"/>
      <c r="V488" s="1182" t="n"/>
      <c r="W488" s="1182" t="n"/>
      <c r="X488" s="1182" t="n"/>
      <c r="Y488" s="1182" t="n"/>
      <c r="Z488" s="1182" t="n"/>
      <c r="AA488" s="831" t="n"/>
      <c r="AB488" s="831" t="n"/>
      <c r="AC488" s="831" t="n"/>
    </row>
    <row r="489" ht="27" customHeight="1">
      <c r="A489" s="63" t="inlineStr">
        <is>
          <t>SU003281</t>
        </is>
      </c>
      <c r="B489" s="63" t="inlineStr">
        <is>
          <t>P003774</t>
        </is>
      </c>
      <c r="C489" s="36" t="n">
        <v>4301170011</v>
      </c>
      <c r="D489" s="832" t="n">
        <v>4680115884113</v>
      </c>
      <c r="E489" s="1193" t="n"/>
      <c r="F489" s="1232" t="n">
        <v>0.11</v>
      </c>
      <c r="G489" s="37" t="n">
        <v>12</v>
      </c>
      <c r="H489" s="1232" t="n">
        <v>1.32</v>
      </c>
      <c r="I489" s="1232" t="n">
        <v>1.88</v>
      </c>
      <c r="J489" s="37" t="n">
        <v>200</v>
      </c>
      <c r="K489" s="37" t="inlineStr">
        <is>
          <t>10</t>
        </is>
      </c>
      <c r="L489" s="37" t="inlineStr"/>
      <c r="M489" s="38" t="inlineStr">
        <is>
          <t>ДК</t>
        </is>
      </c>
      <c r="N489" s="38" t="n"/>
      <c r="O489" s="37" t="n">
        <v>150</v>
      </c>
      <c r="P489" s="149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489" s="1234" t="n"/>
      <c r="R489" s="1234" t="n"/>
      <c r="S489" s="1234" t="n"/>
      <c r="T489" s="1235" t="n"/>
      <c r="U489" s="39" t="inlineStr"/>
      <c r="V489" s="39" t="inlineStr"/>
      <c r="W489" s="40" t="inlineStr">
        <is>
          <t>кг</t>
        </is>
      </c>
      <c r="X489" s="1236" t="n">
        <v>0</v>
      </c>
      <c r="Y489" s="1237">
        <f>IFERROR(IF(X489="",0,CEILING((X489/$H489),1)*$H489),"")</f>
        <v/>
      </c>
      <c r="Z489" s="41">
        <f>IFERROR(IF(Y489=0,"",ROUNDUP(Y489/H489,0)*0.00627),"")</f>
        <v/>
      </c>
      <c r="AA489" s="68" t="inlineStr"/>
      <c r="AB489" s="69" t="inlineStr"/>
      <c r="AC489" s="588" t="inlineStr">
        <is>
          <t>ЕАЭС N RU Д-RU.РА05.В.39473/23</t>
        </is>
      </c>
      <c r="AG489" s="78" t="n"/>
      <c r="AJ489" s="84" t="inlineStr"/>
      <c r="AK489" s="84" t="n">
        <v>0</v>
      </c>
      <c r="BB489" s="589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>
      <c r="A490" s="843" t="n"/>
      <c r="B490" s="1182" t="n"/>
      <c r="C490" s="1182" t="n"/>
      <c r="D490" s="1182" t="n"/>
      <c r="E490" s="1182" t="n"/>
      <c r="F490" s="1182" t="n"/>
      <c r="G490" s="1182" t="n"/>
      <c r="H490" s="1182" t="n"/>
      <c r="I490" s="1182" t="n"/>
      <c r="J490" s="1182" t="n"/>
      <c r="K490" s="1182" t="n"/>
      <c r="L490" s="1182" t="n"/>
      <c r="M490" s="1182" t="n"/>
      <c r="N490" s="1182" t="n"/>
      <c r="O490" s="1241" t="n"/>
      <c r="P490" s="1242" t="inlineStr">
        <is>
          <t>Итого</t>
        </is>
      </c>
      <c r="Q490" s="1201" t="n"/>
      <c r="R490" s="1201" t="n"/>
      <c r="S490" s="1201" t="n"/>
      <c r="T490" s="1201" t="n"/>
      <c r="U490" s="1201" t="n"/>
      <c r="V490" s="1202" t="n"/>
      <c r="W490" s="42" t="inlineStr">
        <is>
          <t>кор</t>
        </is>
      </c>
      <c r="X490" s="1243">
        <f>IFERROR(X489/H489,"0")</f>
        <v/>
      </c>
      <c r="Y490" s="1243">
        <f>IFERROR(Y489/H489,"0")</f>
        <v/>
      </c>
      <c r="Z490" s="1243">
        <f>IFERROR(IF(Z489="",0,Z489),"0")</f>
        <v/>
      </c>
      <c r="AA490" s="1244" t="n"/>
      <c r="AB490" s="1244" t="n"/>
      <c r="AC490" s="1244" t="n"/>
    </row>
    <row r="491">
      <c r="A491" s="1182" t="n"/>
      <c r="B491" s="1182" t="n"/>
      <c r="C491" s="1182" t="n"/>
      <c r="D491" s="1182" t="n"/>
      <c r="E491" s="1182" t="n"/>
      <c r="F491" s="1182" t="n"/>
      <c r="G491" s="1182" t="n"/>
      <c r="H491" s="1182" t="n"/>
      <c r="I491" s="1182" t="n"/>
      <c r="J491" s="1182" t="n"/>
      <c r="K491" s="1182" t="n"/>
      <c r="L491" s="1182" t="n"/>
      <c r="M491" s="1182" t="n"/>
      <c r="N491" s="1182" t="n"/>
      <c r="O491" s="1241" t="n"/>
      <c r="P491" s="1242" t="inlineStr">
        <is>
          <t>Итого</t>
        </is>
      </c>
      <c r="Q491" s="1201" t="n"/>
      <c r="R491" s="1201" t="n"/>
      <c r="S491" s="1201" t="n"/>
      <c r="T491" s="1201" t="n"/>
      <c r="U491" s="1201" t="n"/>
      <c r="V491" s="1202" t="n"/>
      <c r="W491" s="42" t="inlineStr">
        <is>
          <t>кг</t>
        </is>
      </c>
      <c r="X491" s="1243">
        <f>IFERROR(SUM(X489:X489),"0")</f>
        <v/>
      </c>
      <c r="Y491" s="1243">
        <f>IFERROR(SUM(Y489:Y489),"0")</f>
        <v/>
      </c>
      <c r="Z491" s="42" t="n"/>
      <c r="AA491" s="1244" t="n"/>
      <c r="AB491" s="1244" t="n"/>
      <c r="AC491" s="1244" t="n"/>
    </row>
    <row r="492" ht="16.5" customHeight="1">
      <c r="A492" s="830" t="inlineStr">
        <is>
          <t>Балыкбургская</t>
        </is>
      </c>
      <c r="B492" s="1182" t="n"/>
      <c r="C492" s="1182" t="n"/>
      <c r="D492" s="1182" t="n"/>
      <c r="E492" s="1182" t="n"/>
      <c r="F492" s="1182" t="n"/>
      <c r="G492" s="1182" t="n"/>
      <c r="H492" s="1182" t="n"/>
      <c r="I492" s="1182" t="n"/>
      <c r="J492" s="1182" t="n"/>
      <c r="K492" s="1182" t="n"/>
      <c r="L492" s="1182" t="n"/>
      <c r="M492" s="1182" t="n"/>
      <c r="N492" s="1182" t="n"/>
      <c r="O492" s="1182" t="n"/>
      <c r="P492" s="1182" t="n"/>
      <c r="Q492" s="1182" t="n"/>
      <c r="R492" s="1182" t="n"/>
      <c r="S492" s="1182" t="n"/>
      <c r="T492" s="1182" t="n"/>
      <c r="U492" s="1182" t="n"/>
      <c r="V492" s="1182" t="n"/>
      <c r="W492" s="1182" t="n"/>
      <c r="X492" s="1182" t="n"/>
      <c r="Y492" s="1182" t="n"/>
      <c r="Z492" s="1182" t="n"/>
      <c r="AA492" s="830" t="n"/>
      <c r="AB492" s="830" t="n"/>
      <c r="AC492" s="830" t="n"/>
    </row>
    <row r="493" ht="14.25" customHeight="1">
      <c r="A493" s="831" t="inlineStr">
        <is>
          <t>Ветчины</t>
        </is>
      </c>
      <c r="B493" s="1182" t="n"/>
      <c r="C493" s="1182" t="n"/>
      <c r="D493" s="1182" t="n"/>
      <c r="E493" s="1182" t="n"/>
      <c r="F493" s="1182" t="n"/>
      <c r="G493" s="1182" t="n"/>
      <c r="H493" s="1182" t="n"/>
      <c r="I493" s="1182" t="n"/>
      <c r="J493" s="1182" t="n"/>
      <c r="K493" s="1182" t="n"/>
      <c r="L493" s="1182" t="n"/>
      <c r="M493" s="1182" t="n"/>
      <c r="N493" s="1182" t="n"/>
      <c r="O493" s="1182" t="n"/>
      <c r="P493" s="1182" t="n"/>
      <c r="Q493" s="1182" t="n"/>
      <c r="R493" s="1182" t="n"/>
      <c r="S493" s="1182" t="n"/>
      <c r="T493" s="1182" t="n"/>
      <c r="U493" s="1182" t="n"/>
      <c r="V493" s="1182" t="n"/>
      <c r="W493" s="1182" t="n"/>
      <c r="X493" s="1182" t="n"/>
      <c r="Y493" s="1182" t="n"/>
      <c r="Z493" s="1182" t="n"/>
      <c r="AA493" s="831" t="n"/>
      <c r="AB493" s="831" t="n"/>
      <c r="AC493" s="831" t="n"/>
    </row>
    <row r="494" ht="27" customHeight="1">
      <c r="A494" s="63" t="inlineStr">
        <is>
          <t>SU002319</t>
        </is>
      </c>
      <c r="B494" s="63" t="inlineStr">
        <is>
          <t>P004389</t>
        </is>
      </c>
      <c r="C494" s="36" t="n">
        <v>4301020315</v>
      </c>
      <c r="D494" s="832" t="n">
        <v>4607091389364</v>
      </c>
      <c r="E494" s="1193" t="n"/>
      <c r="F494" s="1232" t="n">
        <v>0.42</v>
      </c>
      <c r="G494" s="37" t="n">
        <v>6</v>
      </c>
      <c r="H494" s="1232" t="n">
        <v>2.52</v>
      </c>
      <c r="I494" s="1232" t="n">
        <v>2.73</v>
      </c>
      <c r="J494" s="37" t="n">
        <v>182</v>
      </c>
      <c r="K494" s="37" t="inlineStr">
        <is>
          <t>14</t>
        </is>
      </c>
      <c r="L494" s="37" t="inlineStr"/>
      <c r="M494" s="38" t="inlineStr">
        <is>
          <t>СК2</t>
        </is>
      </c>
      <c r="N494" s="38" t="n"/>
      <c r="O494" s="37" t="n">
        <v>40</v>
      </c>
      <c r="P494" s="149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94" s="1234" t="n"/>
      <c r="R494" s="1234" t="n"/>
      <c r="S494" s="1234" t="n"/>
      <c r="T494" s="1235" t="n"/>
      <c r="U494" s="39" t="inlineStr"/>
      <c r="V494" s="39" t="inlineStr"/>
      <c r="W494" s="40" t="inlineStr">
        <is>
          <t>кг</t>
        </is>
      </c>
      <c r="X494" s="1236" t="n">
        <v>0</v>
      </c>
      <c r="Y494" s="1237">
        <f>IFERROR(IF(X494="",0,CEILING((X494/$H494),1)*$H494),"")</f>
        <v/>
      </c>
      <c r="Z494" s="41">
        <f>IFERROR(IF(Y494=0,"",ROUNDUP(Y494/H494,0)*0.00651),"")</f>
        <v/>
      </c>
      <c r="AA494" s="68" t="inlineStr"/>
      <c r="AB494" s="69" t="inlineStr"/>
      <c r="AC494" s="590" t="inlineStr">
        <is>
          <t>ЕАЭС N RU Д-RU.РА04.В.08736/24, ЕАЭС N RU Д-RU.РА04.В.08946/24</t>
        </is>
      </c>
      <c r="AG494" s="78" t="n"/>
      <c r="AJ494" s="84" t="inlineStr"/>
      <c r="AK494" s="84" t="n">
        <v>0</v>
      </c>
      <c r="BB494" s="59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>
      <c r="A495" s="843" t="n"/>
      <c r="B495" s="1182" t="n"/>
      <c r="C495" s="1182" t="n"/>
      <c r="D495" s="1182" t="n"/>
      <c r="E495" s="1182" t="n"/>
      <c r="F495" s="1182" t="n"/>
      <c r="G495" s="1182" t="n"/>
      <c r="H495" s="1182" t="n"/>
      <c r="I495" s="1182" t="n"/>
      <c r="J495" s="1182" t="n"/>
      <c r="K495" s="1182" t="n"/>
      <c r="L495" s="1182" t="n"/>
      <c r="M495" s="1182" t="n"/>
      <c r="N495" s="1182" t="n"/>
      <c r="O495" s="1241" t="n"/>
      <c r="P495" s="1242" t="inlineStr">
        <is>
          <t>Итого</t>
        </is>
      </c>
      <c r="Q495" s="1201" t="n"/>
      <c r="R495" s="1201" t="n"/>
      <c r="S495" s="1201" t="n"/>
      <c r="T495" s="1201" t="n"/>
      <c r="U495" s="1201" t="n"/>
      <c r="V495" s="1202" t="n"/>
      <c r="W495" s="42" t="inlineStr">
        <is>
          <t>кор</t>
        </is>
      </c>
      <c r="X495" s="1243">
        <f>IFERROR(X494/H494,"0")</f>
        <v/>
      </c>
      <c r="Y495" s="1243">
        <f>IFERROR(Y494/H494,"0")</f>
        <v/>
      </c>
      <c r="Z495" s="1243">
        <f>IFERROR(IF(Z494="",0,Z494),"0")</f>
        <v/>
      </c>
      <c r="AA495" s="1244" t="n"/>
      <c r="AB495" s="1244" t="n"/>
      <c r="AC495" s="1244" t="n"/>
    </row>
    <row r="496">
      <c r="A496" s="1182" t="n"/>
      <c r="B496" s="1182" t="n"/>
      <c r="C496" s="1182" t="n"/>
      <c r="D496" s="1182" t="n"/>
      <c r="E496" s="1182" t="n"/>
      <c r="F496" s="1182" t="n"/>
      <c r="G496" s="1182" t="n"/>
      <c r="H496" s="1182" t="n"/>
      <c r="I496" s="1182" t="n"/>
      <c r="J496" s="1182" t="n"/>
      <c r="K496" s="1182" t="n"/>
      <c r="L496" s="1182" t="n"/>
      <c r="M496" s="1182" t="n"/>
      <c r="N496" s="1182" t="n"/>
      <c r="O496" s="1241" t="n"/>
      <c r="P496" s="1242" t="inlineStr">
        <is>
          <t>Итого</t>
        </is>
      </c>
      <c r="Q496" s="1201" t="n"/>
      <c r="R496" s="1201" t="n"/>
      <c r="S496" s="1201" t="n"/>
      <c r="T496" s="1201" t="n"/>
      <c r="U496" s="1201" t="n"/>
      <c r="V496" s="1202" t="n"/>
      <c r="W496" s="42" t="inlineStr">
        <is>
          <t>кг</t>
        </is>
      </c>
      <c r="X496" s="1243">
        <f>IFERROR(SUM(X494:X494),"0")</f>
        <v/>
      </c>
      <c r="Y496" s="1243">
        <f>IFERROR(SUM(Y494:Y494),"0")</f>
        <v/>
      </c>
      <c r="Z496" s="42" t="n"/>
      <c r="AA496" s="1244" t="n"/>
      <c r="AB496" s="1244" t="n"/>
      <c r="AC496" s="1244" t="n"/>
    </row>
    <row r="497" ht="14.25" customHeight="1">
      <c r="A497" s="831" t="inlineStr">
        <is>
          <t>Копченые колбасы</t>
        </is>
      </c>
      <c r="B497" s="1182" t="n"/>
      <c r="C497" s="1182" t="n"/>
      <c r="D497" s="1182" t="n"/>
      <c r="E497" s="1182" t="n"/>
      <c r="F497" s="1182" t="n"/>
      <c r="G497" s="1182" t="n"/>
      <c r="H497" s="1182" t="n"/>
      <c r="I497" s="1182" t="n"/>
      <c r="J497" s="1182" t="n"/>
      <c r="K497" s="1182" t="n"/>
      <c r="L497" s="1182" t="n"/>
      <c r="M497" s="1182" t="n"/>
      <c r="N497" s="1182" t="n"/>
      <c r="O497" s="1182" t="n"/>
      <c r="P497" s="1182" t="n"/>
      <c r="Q497" s="1182" t="n"/>
      <c r="R497" s="1182" t="n"/>
      <c r="S497" s="1182" t="n"/>
      <c r="T497" s="1182" t="n"/>
      <c r="U497" s="1182" t="n"/>
      <c r="V497" s="1182" t="n"/>
      <c r="W497" s="1182" t="n"/>
      <c r="X497" s="1182" t="n"/>
      <c r="Y497" s="1182" t="n"/>
      <c r="Z497" s="1182" t="n"/>
      <c r="AA497" s="831" t="n"/>
      <c r="AB497" s="831" t="n"/>
      <c r="AC497" s="831" t="n"/>
    </row>
    <row r="498" ht="27" customHeight="1">
      <c r="A498" s="63" t="inlineStr">
        <is>
          <t>SU002612</t>
        </is>
      </c>
      <c r="B498" s="63" t="inlineStr">
        <is>
          <t>P004896</t>
        </is>
      </c>
      <c r="C498" s="36" t="n">
        <v>4301031403</v>
      </c>
      <c r="D498" s="832" t="n">
        <v>4680115886094</v>
      </c>
      <c r="E498" s="1193" t="n"/>
      <c r="F498" s="1232" t="n">
        <v>0.9</v>
      </c>
      <c r="G498" s="37" t="n">
        <v>6</v>
      </c>
      <c r="H498" s="1232" t="n">
        <v>5.4</v>
      </c>
      <c r="I498" s="1232" t="n">
        <v>5.61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СК1</t>
        </is>
      </c>
      <c r="N498" s="38" t="n"/>
      <c r="O498" s="37" t="n">
        <v>50</v>
      </c>
      <c r="P498" s="1494" t="inlineStr">
        <is>
          <t>Копченые колбасы «Балыкбургская» Весовой фиброуз ТМ «Баварушка»</t>
        </is>
      </c>
      <c r="Q498" s="1234" t="n"/>
      <c r="R498" s="1234" t="n"/>
      <c r="S498" s="1234" t="n"/>
      <c r="T498" s="1235" t="n"/>
      <c r="U498" s="39" t="inlineStr"/>
      <c r="V498" s="39" t="inlineStr"/>
      <c r="W498" s="40" t="inlineStr">
        <is>
          <t>кг</t>
        </is>
      </c>
      <c r="X498" s="1236" t="n">
        <v>0</v>
      </c>
      <c r="Y498" s="1237">
        <f>IFERROR(IF(X498="",0,CEILING((X498/$H498),1)*$H498),"")</f>
        <v/>
      </c>
      <c r="Z498" s="41">
        <f>IFERROR(IF(Y498=0,"",ROUNDUP(Y498/H498,0)*0.00902),"")</f>
        <v/>
      </c>
      <c r="AA498" s="68" t="inlineStr"/>
      <c r="AB498" s="69" t="inlineStr"/>
      <c r="AC498" s="592" t="inlineStr">
        <is>
          <t>ЕАЭС N RU Д-RU.РА02.В.65356/23, ЕАЭС N RU Д-RU.РА02.В.66890/23</t>
        </is>
      </c>
      <c r="AG498" s="78" t="n"/>
      <c r="AJ498" s="84" t="inlineStr"/>
      <c r="AK498" s="84" t="n">
        <v>0</v>
      </c>
      <c r="BB498" s="593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SU002545</t>
        </is>
      </c>
      <c r="B499" s="63" t="inlineStr">
        <is>
          <t>P004516</t>
        </is>
      </c>
      <c r="C499" s="36" t="n">
        <v>4301031363</v>
      </c>
      <c r="D499" s="832" t="n">
        <v>4607091389425</v>
      </c>
      <c r="E499" s="1193" t="n"/>
      <c r="F499" s="1232" t="n">
        <v>0.35</v>
      </c>
      <c r="G499" s="37" t="n">
        <v>6</v>
      </c>
      <c r="H499" s="1232" t="n">
        <v>2.1</v>
      </c>
      <c r="I499" s="1232" t="n">
        <v>2.23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49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99" s="1234" t="n"/>
      <c r="R499" s="1234" t="n"/>
      <c r="S499" s="1234" t="n"/>
      <c r="T499" s="1235" t="n"/>
      <c r="U499" s="39" t="inlineStr"/>
      <c r="V499" s="39" t="inlineStr"/>
      <c r="W499" s="40" t="inlineStr">
        <is>
          <t>кг</t>
        </is>
      </c>
      <c r="X499" s="1236" t="n">
        <v>0</v>
      </c>
      <c r="Y499" s="1237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594" t="inlineStr">
        <is>
          <t>ЕАЭС N RU Д-RU.РА02.В.65449/23</t>
        </is>
      </c>
      <c r="AG499" s="78" t="n"/>
      <c r="AJ499" s="84" t="inlineStr"/>
      <c r="AK499" s="84" t="n">
        <v>0</v>
      </c>
      <c r="BB499" s="595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SU002726</t>
        </is>
      </c>
      <c r="B500" s="63" t="inlineStr">
        <is>
          <t>P004546</t>
        </is>
      </c>
      <c r="C500" s="36" t="n">
        <v>4301031373</v>
      </c>
      <c r="D500" s="832" t="n">
        <v>4680115880771</v>
      </c>
      <c r="E500" s="1193" t="n"/>
      <c r="F500" s="1232" t="n">
        <v>0.28</v>
      </c>
      <c r="G500" s="37" t="n">
        <v>6</v>
      </c>
      <c r="H500" s="1232" t="n">
        <v>1.68</v>
      </c>
      <c r="I500" s="1232" t="n">
        <v>1.81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50</v>
      </c>
      <c r="P500" s="1496" t="inlineStr">
        <is>
          <t>В/к колбасы Балыкбургская с копченым балыком срез Балыкбургская Фикс.вес 0,28 фиброуз в/у Баварушка</t>
        </is>
      </c>
      <c r="Q500" s="1234" t="n"/>
      <c r="R500" s="1234" t="n"/>
      <c r="S500" s="1234" t="n"/>
      <c r="T500" s="1235" t="n"/>
      <c r="U500" s="39" t="inlineStr"/>
      <c r="V500" s="39" t="inlineStr"/>
      <c r="W500" s="40" t="inlineStr">
        <is>
          <t>кг</t>
        </is>
      </c>
      <c r="X500" s="1236" t="n">
        <v>0</v>
      </c>
      <c r="Y500" s="1237">
        <f>IFERROR(IF(X500="",0,CEILING((X500/$H500),1)*$H500),"")</f>
        <v/>
      </c>
      <c r="Z500" s="41">
        <f>IFERROR(IF(Y500=0,"",ROUNDUP(Y500/H500,0)*0.00502),"")</f>
        <v/>
      </c>
      <c r="AA500" s="68" t="inlineStr"/>
      <c r="AB500" s="69" t="inlineStr"/>
      <c r="AC500" s="596" t="inlineStr">
        <is>
          <t>ЕАЭС N RU Д-RU.РА02.В.66822/23</t>
        </is>
      </c>
      <c r="AG500" s="78" t="n"/>
      <c r="AJ500" s="84" t="inlineStr"/>
      <c r="AK500" s="84" t="n">
        <v>0</v>
      </c>
      <c r="BB500" s="597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SU002604</t>
        </is>
      </c>
      <c r="B501" s="63" t="inlineStr">
        <is>
          <t>P004339</t>
        </is>
      </c>
      <c r="C501" s="36" t="n">
        <v>4301031327</v>
      </c>
      <c r="D501" s="832" t="n">
        <v>4607091389500</v>
      </c>
      <c r="E501" s="1193" t="n"/>
      <c r="F501" s="1232" t="n">
        <v>0.35</v>
      </c>
      <c r="G501" s="37" t="n">
        <v>6</v>
      </c>
      <c r="H501" s="1232" t="n">
        <v>2.1</v>
      </c>
      <c r="I501" s="1232" t="n">
        <v>2.23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50</v>
      </c>
      <c r="P501" s="1497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01" s="1234" t="n"/>
      <c r="R501" s="1234" t="n"/>
      <c r="S501" s="1234" t="n"/>
      <c r="T501" s="1235" t="n"/>
      <c r="U501" s="39" t="inlineStr"/>
      <c r="V501" s="39" t="inlineStr"/>
      <c r="W501" s="40" t="inlineStr">
        <is>
          <t>кг</t>
        </is>
      </c>
      <c r="X501" s="1236" t="n">
        <v>0</v>
      </c>
      <c r="Y501" s="1237">
        <f>IFERROR(IF(X501="",0,CEILING((X501/$H501),1)*$H501),"")</f>
        <v/>
      </c>
      <c r="Z501" s="41">
        <f>IFERROR(IF(Y501=0,"",ROUNDUP(Y501/H501,0)*0.00502),"")</f>
        <v/>
      </c>
      <c r="AA501" s="68" t="inlineStr"/>
      <c r="AB501" s="69" t="inlineStr"/>
      <c r="AC501" s="598" t="inlineStr">
        <is>
          <t>ЕАЭС N RU Д-RU.РА02.В.66822/23</t>
        </is>
      </c>
      <c r="AG501" s="78" t="n"/>
      <c r="AJ501" s="84" t="inlineStr"/>
      <c r="AK501" s="84" t="n">
        <v>0</v>
      </c>
      <c r="BB501" s="599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SU002604</t>
        </is>
      </c>
      <c r="B502" s="63" t="inlineStr">
        <is>
          <t>P004520</t>
        </is>
      </c>
      <c r="C502" s="36" t="n">
        <v>4301031359</v>
      </c>
      <c r="D502" s="832" t="n">
        <v>4607091389500</v>
      </c>
      <c r="E502" s="1193" t="n"/>
      <c r="F502" s="1232" t="n">
        <v>0.35</v>
      </c>
      <c r="G502" s="37" t="n">
        <v>6</v>
      </c>
      <c r="H502" s="1232" t="n">
        <v>2.1</v>
      </c>
      <c r="I502" s="1232" t="n">
        <v>2.23</v>
      </c>
      <c r="J502" s="37" t="n">
        <v>234</v>
      </c>
      <c r="K502" s="37" t="inlineStr">
        <is>
          <t>18</t>
        </is>
      </c>
      <c r="L502" s="37" t="inlineStr"/>
      <c r="M502" s="38" t="inlineStr">
        <is>
          <t>СК2</t>
        </is>
      </c>
      <c r="N502" s="38" t="n"/>
      <c r="O502" s="37" t="n">
        <v>50</v>
      </c>
      <c r="P502" s="149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02" s="1234" t="n"/>
      <c r="R502" s="1234" t="n"/>
      <c r="S502" s="1234" t="n"/>
      <c r="T502" s="1235" t="n"/>
      <c r="U502" s="39" t="inlineStr"/>
      <c r="V502" s="39" t="inlineStr"/>
      <c r="W502" s="40" t="inlineStr">
        <is>
          <t>кг</t>
        </is>
      </c>
      <c r="X502" s="1236" t="n">
        <v>7</v>
      </c>
      <c r="Y502" s="1237">
        <f>IFERROR(IF(X502="",0,CEILING((X502/$H502),1)*$H502),"")</f>
        <v/>
      </c>
      <c r="Z502" s="41">
        <f>IFERROR(IF(Y502=0,"",ROUNDUP(Y502/H502,0)*0.00502),"")</f>
        <v/>
      </c>
      <c r="AA502" s="68" t="inlineStr"/>
      <c r="AB502" s="69" t="inlineStr"/>
      <c r="AC502" s="600" t="inlineStr">
        <is>
          <t>ЕАЭС N RU Д-RU.РА02.В.66822/23</t>
        </is>
      </c>
      <c r="AG502" s="78" t="n"/>
      <c r="AJ502" s="84" t="inlineStr"/>
      <c r="AK502" s="84" t="n">
        <v>0</v>
      </c>
      <c r="BB502" s="601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>
      <c r="A503" s="843" t="n"/>
      <c r="B503" s="1182" t="n"/>
      <c r="C503" s="1182" t="n"/>
      <c r="D503" s="1182" t="n"/>
      <c r="E503" s="1182" t="n"/>
      <c r="F503" s="1182" t="n"/>
      <c r="G503" s="1182" t="n"/>
      <c r="H503" s="1182" t="n"/>
      <c r="I503" s="1182" t="n"/>
      <c r="J503" s="1182" t="n"/>
      <c r="K503" s="1182" t="n"/>
      <c r="L503" s="1182" t="n"/>
      <c r="M503" s="1182" t="n"/>
      <c r="N503" s="1182" t="n"/>
      <c r="O503" s="1241" t="n"/>
      <c r="P503" s="1242" t="inlineStr">
        <is>
          <t>Итого</t>
        </is>
      </c>
      <c r="Q503" s="1201" t="n"/>
      <c r="R503" s="1201" t="n"/>
      <c r="S503" s="1201" t="n"/>
      <c r="T503" s="1201" t="n"/>
      <c r="U503" s="1201" t="n"/>
      <c r="V503" s="1202" t="n"/>
      <c r="W503" s="42" t="inlineStr">
        <is>
          <t>кор</t>
        </is>
      </c>
      <c r="X503" s="1243">
        <f>IFERROR(X498/H498,"0")+IFERROR(X499/H499,"0")+IFERROR(X500/H500,"0")+IFERROR(X501/H501,"0")+IFERROR(X502/H502,"0")</f>
        <v/>
      </c>
      <c r="Y503" s="1243">
        <f>IFERROR(Y498/H498,"0")+IFERROR(Y499/H499,"0")+IFERROR(Y500/H500,"0")+IFERROR(Y501/H501,"0")+IFERROR(Y502/H502,"0")</f>
        <v/>
      </c>
      <c r="Z503" s="1243">
        <f>IFERROR(IF(Z498="",0,Z498),"0")+IFERROR(IF(Z499="",0,Z499),"0")+IFERROR(IF(Z500="",0,Z500),"0")+IFERROR(IF(Z501="",0,Z501),"0")+IFERROR(IF(Z502="",0,Z502),"0")</f>
        <v/>
      </c>
      <c r="AA503" s="1244" t="n"/>
      <c r="AB503" s="1244" t="n"/>
      <c r="AC503" s="1244" t="n"/>
    </row>
    <row r="504">
      <c r="A504" s="1182" t="n"/>
      <c r="B504" s="1182" t="n"/>
      <c r="C504" s="1182" t="n"/>
      <c r="D504" s="1182" t="n"/>
      <c r="E504" s="1182" t="n"/>
      <c r="F504" s="1182" t="n"/>
      <c r="G504" s="1182" t="n"/>
      <c r="H504" s="1182" t="n"/>
      <c r="I504" s="1182" t="n"/>
      <c r="J504" s="1182" t="n"/>
      <c r="K504" s="1182" t="n"/>
      <c r="L504" s="1182" t="n"/>
      <c r="M504" s="1182" t="n"/>
      <c r="N504" s="1182" t="n"/>
      <c r="O504" s="1241" t="n"/>
      <c r="P504" s="1242" t="inlineStr">
        <is>
          <t>Итого</t>
        </is>
      </c>
      <c r="Q504" s="1201" t="n"/>
      <c r="R504" s="1201" t="n"/>
      <c r="S504" s="1201" t="n"/>
      <c r="T504" s="1201" t="n"/>
      <c r="U504" s="1201" t="n"/>
      <c r="V504" s="1202" t="n"/>
      <c r="W504" s="42" t="inlineStr">
        <is>
          <t>кг</t>
        </is>
      </c>
      <c r="X504" s="1243">
        <f>IFERROR(SUM(X498:X502),"0")</f>
        <v/>
      </c>
      <c r="Y504" s="1243">
        <f>IFERROR(SUM(Y498:Y502),"0")</f>
        <v/>
      </c>
      <c r="Z504" s="42" t="n"/>
      <c r="AA504" s="1244" t="n"/>
      <c r="AB504" s="1244" t="n"/>
      <c r="AC504" s="1244" t="n"/>
    </row>
    <row r="505" ht="16.5" customHeight="1">
      <c r="A505" s="830" t="inlineStr">
        <is>
          <t>Краковюрст</t>
        </is>
      </c>
      <c r="B505" s="1182" t="n"/>
      <c r="C505" s="1182" t="n"/>
      <c r="D505" s="1182" t="n"/>
      <c r="E505" s="1182" t="n"/>
      <c r="F505" s="1182" t="n"/>
      <c r="G505" s="1182" t="n"/>
      <c r="H505" s="1182" t="n"/>
      <c r="I505" s="1182" t="n"/>
      <c r="J505" s="1182" t="n"/>
      <c r="K505" s="1182" t="n"/>
      <c r="L505" s="1182" t="n"/>
      <c r="M505" s="1182" t="n"/>
      <c r="N505" s="1182" t="n"/>
      <c r="O505" s="1182" t="n"/>
      <c r="P505" s="1182" t="n"/>
      <c r="Q505" s="1182" t="n"/>
      <c r="R505" s="1182" t="n"/>
      <c r="S505" s="1182" t="n"/>
      <c r="T505" s="1182" t="n"/>
      <c r="U505" s="1182" t="n"/>
      <c r="V505" s="1182" t="n"/>
      <c r="W505" s="1182" t="n"/>
      <c r="X505" s="1182" t="n"/>
      <c r="Y505" s="1182" t="n"/>
      <c r="Z505" s="1182" t="n"/>
      <c r="AA505" s="830" t="n"/>
      <c r="AB505" s="830" t="n"/>
      <c r="AC505" s="830" t="n"/>
    </row>
    <row r="506" ht="14.25" customHeight="1">
      <c r="A506" s="831" t="inlineStr">
        <is>
          <t>Копченые колбасы</t>
        </is>
      </c>
      <c r="B506" s="1182" t="n"/>
      <c r="C506" s="1182" t="n"/>
      <c r="D506" s="1182" t="n"/>
      <c r="E506" s="1182" t="n"/>
      <c r="F506" s="1182" t="n"/>
      <c r="G506" s="1182" t="n"/>
      <c r="H506" s="1182" t="n"/>
      <c r="I506" s="1182" t="n"/>
      <c r="J506" s="1182" t="n"/>
      <c r="K506" s="1182" t="n"/>
      <c r="L506" s="1182" t="n"/>
      <c r="M506" s="1182" t="n"/>
      <c r="N506" s="1182" t="n"/>
      <c r="O506" s="1182" t="n"/>
      <c r="P506" s="1182" t="n"/>
      <c r="Q506" s="1182" t="n"/>
      <c r="R506" s="1182" t="n"/>
      <c r="S506" s="1182" t="n"/>
      <c r="T506" s="1182" t="n"/>
      <c r="U506" s="1182" t="n"/>
      <c r="V506" s="1182" t="n"/>
      <c r="W506" s="1182" t="n"/>
      <c r="X506" s="1182" t="n"/>
      <c r="Y506" s="1182" t="n"/>
      <c r="Z506" s="1182" t="n"/>
      <c r="AA506" s="831" t="n"/>
      <c r="AB506" s="831" t="n"/>
      <c r="AC506" s="831" t="n"/>
    </row>
    <row r="507" ht="27" customHeight="1">
      <c r="A507" s="63" t="inlineStr">
        <is>
          <t>SU003345</t>
        </is>
      </c>
      <c r="B507" s="63" t="inlineStr">
        <is>
          <t>P004143</t>
        </is>
      </c>
      <c r="C507" s="36" t="n">
        <v>4301031294</v>
      </c>
      <c r="D507" s="832" t="n">
        <v>4680115885189</v>
      </c>
      <c r="E507" s="1193" t="n"/>
      <c r="F507" s="1232" t="n">
        <v>0.2</v>
      </c>
      <c r="G507" s="37" t="n">
        <v>6</v>
      </c>
      <c r="H507" s="1232" t="n">
        <v>1.2</v>
      </c>
      <c r="I507" s="1232" t="n">
        <v>1.372</v>
      </c>
      <c r="J507" s="37" t="n">
        <v>234</v>
      </c>
      <c r="K507" s="37" t="inlineStr">
        <is>
          <t>18</t>
        </is>
      </c>
      <c r="L507" s="37" t="inlineStr"/>
      <c r="M507" s="38" t="inlineStr">
        <is>
          <t>СК2</t>
        </is>
      </c>
      <c r="N507" s="38" t="n"/>
      <c r="O507" s="37" t="n">
        <v>40</v>
      </c>
      <c r="P507" s="149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07" s="1234" t="n"/>
      <c r="R507" s="1234" t="n"/>
      <c r="S507" s="1234" t="n"/>
      <c r="T507" s="1235" t="n"/>
      <c r="U507" s="39" t="inlineStr"/>
      <c r="V507" s="39" t="inlineStr"/>
      <c r="W507" s="40" t="inlineStr">
        <is>
          <t>кг</t>
        </is>
      </c>
      <c r="X507" s="1236" t="n">
        <v>0</v>
      </c>
      <c r="Y507" s="1237">
        <f>IFERROR(IF(X507="",0,CEILING((X507/$H507),1)*$H507),"")</f>
        <v/>
      </c>
      <c r="Z507" s="41">
        <f>IFERROR(IF(Y507=0,"",ROUNDUP(Y507/H507,0)*0.00502),"")</f>
        <v/>
      </c>
      <c r="AA507" s="68" t="inlineStr"/>
      <c r="AB507" s="69" t="inlineStr"/>
      <c r="AC507" s="602" t="inlineStr">
        <is>
          <t>ЕАЭС N RU Д-RU.РА06.В.80913/22</t>
        </is>
      </c>
      <c r="AG507" s="78" t="n"/>
      <c r="AJ507" s="84" t="inlineStr"/>
      <c r="AK507" s="84" t="n">
        <v>0</v>
      </c>
      <c r="BB507" s="603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SU003342</t>
        </is>
      </c>
      <c r="B508" s="63" t="inlineStr">
        <is>
          <t>P004452</t>
        </is>
      </c>
      <c r="C508" s="36" t="n">
        <v>4301031347</v>
      </c>
      <c r="D508" s="832" t="n">
        <v>4680115885110</v>
      </c>
      <c r="E508" s="1193" t="n"/>
      <c r="F508" s="1232" t="n">
        <v>0.2</v>
      </c>
      <c r="G508" s="37" t="n">
        <v>6</v>
      </c>
      <c r="H508" s="1232" t="n">
        <v>1.2</v>
      </c>
      <c r="I508" s="1232" t="n">
        <v>2.1</v>
      </c>
      <c r="J508" s="37" t="n">
        <v>182</v>
      </c>
      <c r="K508" s="37" t="inlineStr">
        <is>
          <t>14</t>
        </is>
      </c>
      <c r="L508" s="37" t="inlineStr"/>
      <c r="M508" s="38" t="inlineStr">
        <is>
          <t>СК2</t>
        </is>
      </c>
      <c r="N508" s="38" t="n"/>
      <c r="O508" s="37" t="n">
        <v>50</v>
      </c>
      <c r="P508" s="1500" t="inlineStr">
        <is>
          <t>Копченые колбасы «Краковюрст с изысканными пряностями копченые» ф/в 0,2 NDX ТМ «Баварушка»</t>
        </is>
      </c>
      <c r="Q508" s="1234" t="n"/>
      <c r="R508" s="1234" t="n"/>
      <c r="S508" s="1234" t="n"/>
      <c r="T508" s="1235" t="n"/>
      <c r="U508" s="39" t="inlineStr"/>
      <c r="V508" s="39" t="inlineStr"/>
      <c r="W508" s="40" t="inlineStr">
        <is>
          <t>кг</t>
        </is>
      </c>
      <c r="X508" s="1236" t="n">
        <v>0</v>
      </c>
      <c r="Y508" s="1237">
        <f>IFERROR(IF(X508="",0,CEILING((X508/$H508),1)*$H508),"")</f>
        <v/>
      </c>
      <c r="Z508" s="41">
        <f>IFERROR(IF(Y508=0,"",ROUNDUP(Y508/H508,0)*0.00651),"")</f>
        <v/>
      </c>
      <c r="AA508" s="68" t="inlineStr"/>
      <c r="AB508" s="69" t="inlineStr"/>
      <c r="AC508" s="604" t="inlineStr">
        <is>
          <t>ЕАЭС N RU Д-RU.РА03.В.17780/24</t>
        </is>
      </c>
      <c r="AG508" s="78" t="n"/>
      <c r="AJ508" s="84" t="inlineStr"/>
      <c r="AK508" s="84" t="n">
        <v>0</v>
      </c>
      <c r="BB508" s="605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SU003505</t>
        </is>
      </c>
      <c r="B509" s="63" t="inlineStr">
        <is>
          <t>P004924</t>
        </is>
      </c>
      <c r="C509" s="36" t="n">
        <v>4301031416</v>
      </c>
      <c r="D509" s="832" t="n">
        <v>4680115885219</v>
      </c>
      <c r="E509" s="1193" t="n"/>
      <c r="F509" s="1232" t="n">
        <v>0.28</v>
      </c>
      <c r="G509" s="37" t="n">
        <v>6</v>
      </c>
      <c r="H509" s="1232" t="n">
        <v>1.68</v>
      </c>
      <c r="I509" s="1232" t="n">
        <v>2.5</v>
      </c>
      <c r="J509" s="37" t="n">
        <v>234</v>
      </c>
      <c r="K509" s="37" t="inlineStr">
        <is>
          <t>18</t>
        </is>
      </c>
      <c r="L509" s="37" t="inlineStr"/>
      <c r="M509" s="38" t="inlineStr">
        <is>
          <t>СК2</t>
        </is>
      </c>
      <c r="N509" s="38" t="n"/>
      <c r="O509" s="37" t="n">
        <v>50</v>
      </c>
      <c r="P509" s="1501" t="inlineStr">
        <is>
          <t>Копченые колбасы «Краковюрст» Фикс.вес 0,28 NDX ТМ «Баварушка»</t>
        </is>
      </c>
      <c r="Q509" s="1234" t="n"/>
      <c r="R509" s="1234" t="n"/>
      <c r="S509" s="1234" t="n"/>
      <c r="T509" s="1235" t="n"/>
      <c r="U509" s="39" t="inlineStr"/>
      <c r="V509" s="39" t="inlineStr"/>
      <c r="W509" s="40" t="inlineStr">
        <is>
          <t>кг</t>
        </is>
      </c>
      <c r="X509" s="1236" t="n">
        <v>42.00000000000001</v>
      </c>
      <c r="Y509" s="1237">
        <f>IFERROR(IF(X509="",0,CEILING((X509/$H509),1)*$H509),"")</f>
        <v/>
      </c>
      <c r="Z509" s="41">
        <f>IFERROR(IF(Y509=0,"",ROUNDUP(Y509/H509,0)*0.00502),"")</f>
        <v/>
      </c>
      <c r="AA509" s="68" t="inlineStr"/>
      <c r="AB509" s="69" t="inlineStr"/>
      <c r="AC509" s="606" t="inlineStr">
        <is>
          <t>ЕАЭС N RU Д-RU.РА07.В.99597/24</t>
        </is>
      </c>
      <c r="AG509" s="78" t="n"/>
      <c r="AJ509" s="84" t="inlineStr"/>
      <c r="AK509" s="84" t="n">
        <v>0</v>
      </c>
      <c r="BB509" s="607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843" t="n"/>
      <c r="B510" s="1182" t="n"/>
      <c r="C510" s="1182" t="n"/>
      <c r="D510" s="1182" t="n"/>
      <c r="E510" s="1182" t="n"/>
      <c r="F510" s="1182" t="n"/>
      <c r="G510" s="1182" t="n"/>
      <c r="H510" s="1182" t="n"/>
      <c r="I510" s="1182" t="n"/>
      <c r="J510" s="1182" t="n"/>
      <c r="K510" s="1182" t="n"/>
      <c r="L510" s="1182" t="n"/>
      <c r="M510" s="1182" t="n"/>
      <c r="N510" s="1182" t="n"/>
      <c r="O510" s="1241" t="n"/>
      <c r="P510" s="1242" t="inlineStr">
        <is>
          <t>Итого</t>
        </is>
      </c>
      <c r="Q510" s="1201" t="n"/>
      <c r="R510" s="1201" t="n"/>
      <c r="S510" s="1201" t="n"/>
      <c r="T510" s="1201" t="n"/>
      <c r="U510" s="1201" t="n"/>
      <c r="V510" s="1202" t="n"/>
      <c r="W510" s="42" t="inlineStr">
        <is>
          <t>кор</t>
        </is>
      </c>
      <c r="X510" s="1243">
        <f>IFERROR(X507/H507,"0")+IFERROR(X508/H508,"0")+IFERROR(X509/H509,"0")</f>
        <v/>
      </c>
      <c r="Y510" s="1243">
        <f>IFERROR(Y507/H507,"0")+IFERROR(Y508/H508,"0")+IFERROR(Y509/H509,"0")</f>
        <v/>
      </c>
      <c r="Z510" s="1243">
        <f>IFERROR(IF(Z507="",0,Z507),"0")+IFERROR(IF(Z508="",0,Z508),"0")+IFERROR(IF(Z509="",0,Z509),"0")</f>
        <v/>
      </c>
      <c r="AA510" s="1244" t="n"/>
      <c r="AB510" s="1244" t="n"/>
      <c r="AC510" s="1244" t="n"/>
    </row>
    <row r="511">
      <c r="A511" s="1182" t="n"/>
      <c r="B511" s="1182" t="n"/>
      <c r="C511" s="1182" t="n"/>
      <c r="D511" s="1182" t="n"/>
      <c r="E511" s="1182" t="n"/>
      <c r="F511" s="1182" t="n"/>
      <c r="G511" s="1182" t="n"/>
      <c r="H511" s="1182" t="n"/>
      <c r="I511" s="1182" t="n"/>
      <c r="J511" s="1182" t="n"/>
      <c r="K511" s="1182" t="n"/>
      <c r="L511" s="1182" t="n"/>
      <c r="M511" s="1182" t="n"/>
      <c r="N511" s="1182" t="n"/>
      <c r="O511" s="1241" t="n"/>
      <c r="P511" s="1242" t="inlineStr">
        <is>
          <t>Итого</t>
        </is>
      </c>
      <c r="Q511" s="1201" t="n"/>
      <c r="R511" s="1201" t="n"/>
      <c r="S511" s="1201" t="n"/>
      <c r="T511" s="1201" t="n"/>
      <c r="U511" s="1201" t="n"/>
      <c r="V511" s="1202" t="n"/>
      <c r="W511" s="42" t="inlineStr">
        <is>
          <t>кг</t>
        </is>
      </c>
      <c r="X511" s="1243">
        <f>IFERROR(SUM(X507:X509),"0")</f>
        <v/>
      </c>
      <c r="Y511" s="1243">
        <f>IFERROR(SUM(Y507:Y509),"0")</f>
        <v/>
      </c>
      <c r="Z511" s="42" t="n"/>
      <c r="AA511" s="1244" t="n"/>
      <c r="AB511" s="1244" t="n"/>
      <c r="AC511" s="1244" t="n"/>
    </row>
    <row r="512" ht="16.5" customHeight="1">
      <c r="A512" s="830" t="inlineStr">
        <is>
          <t>Бюргерсы</t>
        </is>
      </c>
      <c r="B512" s="1182" t="n"/>
      <c r="C512" s="1182" t="n"/>
      <c r="D512" s="1182" t="n"/>
      <c r="E512" s="1182" t="n"/>
      <c r="F512" s="1182" t="n"/>
      <c r="G512" s="1182" t="n"/>
      <c r="H512" s="1182" t="n"/>
      <c r="I512" s="1182" t="n"/>
      <c r="J512" s="1182" t="n"/>
      <c r="K512" s="1182" t="n"/>
      <c r="L512" s="1182" t="n"/>
      <c r="M512" s="1182" t="n"/>
      <c r="N512" s="1182" t="n"/>
      <c r="O512" s="1182" t="n"/>
      <c r="P512" s="1182" t="n"/>
      <c r="Q512" s="1182" t="n"/>
      <c r="R512" s="1182" t="n"/>
      <c r="S512" s="1182" t="n"/>
      <c r="T512" s="1182" t="n"/>
      <c r="U512" s="1182" t="n"/>
      <c r="V512" s="1182" t="n"/>
      <c r="W512" s="1182" t="n"/>
      <c r="X512" s="1182" t="n"/>
      <c r="Y512" s="1182" t="n"/>
      <c r="Z512" s="1182" t="n"/>
      <c r="AA512" s="830" t="n"/>
      <c r="AB512" s="830" t="n"/>
      <c r="AC512" s="830" t="n"/>
    </row>
    <row r="513" ht="14.25" customHeight="1">
      <c r="A513" s="831" t="inlineStr">
        <is>
          <t>Копченые колбасы</t>
        </is>
      </c>
      <c r="B513" s="1182" t="n"/>
      <c r="C513" s="1182" t="n"/>
      <c r="D513" s="1182" t="n"/>
      <c r="E513" s="1182" t="n"/>
      <c r="F513" s="1182" t="n"/>
      <c r="G513" s="1182" t="n"/>
      <c r="H513" s="1182" t="n"/>
      <c r="I513" s="1182" t="n"/>
      <c r="J513" s="1182" t="n"/>
      <c r="K513" s="1182" t="n"/>
      <c r="L513" s="1182" t="n"/>
      <c r="M513" s="1182" t="n"/>
      <c r="N513" s="1182" t="n"/>
      <c r="O513" s="1182" t="n"/>
      <c r="P513" s="1182" t="n"/>
      <c r="Q513" s="1182" t="n"/>
      <c r="R513" s="1182" t="n"/>
      <c r="S513" s="1182" t="n"/>
      <c r="T513" s="1182" t="n"/>
      <c r="U513" s="1182" t="n"/>
      <c r="V513" s="1182" t="n"/>
      <c r="W513" s="1182" t="n"/>
      <c r="X513" s="1182" t="n"/>
      <c r="Y513" s="1182" t="n"/>
      <c r="Z513" s="1182" t="n"/>
      <c r="AA513" s="831" t="n"/>
      <c r="AB513" s="831" t="n"/>
      <c r="AC513" s="831" t="n"/>
    </row>
    <row r="514" ht="27" customHeight="1">
      <c r="A514" s="63" t="inlineStr">
        <is>
          <t>SU003132</t>
        </is>
      </c>
      <c r="B514" s="63" t="inlineStr">
        <is>
          <t>P003718</t>
        </is>
      </c>
      <c r="C514" s="36" t="n">
        <v>4301031261</v>
      </c>
      <c r="D514" s="832" t="n">
        <v>4680115885103</v>
      </c>
      <c r="E514" s="1193" t="n"/>
      <c r="F514" s="1232" t="n">
        <v>0.27</v>
      </c>
      <c r="G514" s="37" t="n">
        <v>6</v>
      </c>
      <c r="H514" s="1232" t="n">
        <v>1.62</v>
      </c>
      <c r="I514" s="1232" t="n">
        <v>1.8</v>
      </c>
      <c r="J514" s="37" t="n">
        <v>182</v>
      </c>
      <c r="K514" s="37" t="inlineStr">
        <is>
          <t>14</t>
        </is>
      </c>
      <c r="L514" s="37" t="inlineStr"/>
      <c r="M514" s="38" t="inlineStr">
        <is>
          <t>СК2</t>
        </is>
      </c>
      <c r="N514" s="38" t="n"/>
      <c r="O514" s="37" t="n">
        <v>40</v>
      </c>
      <c r="P514" s="1502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14" s="1234" t="n"/>
      <c r="R514" s="1234" t="n"/>
      <c r="S514" s="1234" t="n"/>
      <c r="T514" s="1235" t="n"/>
      <c r="U514" s="39" t="inlineStr"/>
      <c r="V514" s="39" t="inlineStr"/>
      <c r="W514" s="40" t="inlineStr">
        <is>
          <t>кг</t>
        </is>
      </c>
      <c r="X514" s="1236" t="n">
        <v>0</v>
      </c>
      <c r="Y514" s="1237">
        <f>IFERROR(IF(X514="",0,CEILING((X514/$H514),1)*$H514),"")</f>
        <v/>
      </c>
      <c r="Z514" s="41">
        <f>IFERROR(IF(Y514=0,"",ROUNDUP(Y514/H514,0)*0.00651),"")</f>
        <v/>
      </c>
      <c r="AA514" s="68" t="inlineStr"/>
      <c r="AB514" s="69" t="inlineStr"/>
      <c r="AC514" s="608" t="inlineStr">
        <is>
          <t>ЕАЭС N RU Д-RU.РА02.В.61667/24</t>
        </is>
      </c>
      <c r="AG514" s="78" t="n"/>
      <c r="AJ514" s="84" t="inlineStr"/>
      <c r="AK514" s="84" t="n">
        <v>0</v>
      </c>
      <c r="BB514" s="609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843" t="n"/>
      <c r="B515" s="1182" t="n"/>
      <c r="C515" s="1182" t="n"/>
      <c r="D515" s="1182" t="n"/>
      <c r="E515" s="1182" t="n"/>
      <c r="F515" s="1182" t="n"/>
      <c r="G515" s="1182" t="n"/>
      <c r="H515" s="1182" t="n"/>
      <c r="I515" s="1182" t="n"/>
      <c r="J515" s="1182" t="n"/>
      <c r="K515" s="1182" t="n"/>
      <c r="L515" s="1182" t="n"/>
      <c r="M515" s="1182" t="n"/>
      <c r="N515" s="1182" t="n"/>
      <c r="O515" s="1241" t="n"/>
      <c r="P515" s="1242" t="inlineStr">
        <is>
          <t>Итого</t>
        </is>
      </c>
      <c r="Q515" s="1201" t="n"/>
      <c r="R515" s="1201" t="n"/>
      <c r="S515" s="1201" t="n"/>
      <c r="T515" s="1201" t="n"/>
      <c r="U515" s="1201" t="n"/>
      <c r="V515" s="1202" t="n"/>
      <c r="W515" s="42" t="inlineStr">
        <is>
          <t>кор</t>
        </is>
      </c>
      <c r="X515" s="1243">
        <f>IFERROR(X514/H514,"0")</f>
        <v/>
      </c>
      <c r="Y515" s="1243">
        <f>IFERROR(Y514/H514,"0")</f>
        <v/>
      </c>
      <c r="Z515" s="1243">
        <f>IFERROR(IF(Z514="",0,Z514),"0")</f>
        <v/>
      </c>
      <c r="AA515" s="1244" t="n"/>
      <c r="AB515" s="1244" t="n"/>
      <c r="AC515" s="1244" t="n"/>
    </row>
    <row r="516">
      <c r="A516" s="1182" t="n"/>
      <c r="B516" s="1182" t="n"/>
      <c r="C516" s="1182" t="n"/>
      <c r="D516" s="1182" t="n"/>
      <c r="E516" s="1182" t="n"/>
      <c r="F516" s="1182" t="n"/>
      <c r="G516" s="1182" t="n"/>
      <c r="H516" s="1182" t="n"/>
      <c r="I516" s="1182" t="n"/>
      <c r="J516" s="1182" t="n"/>
      <c r="K516" s="1182" t="n"/>
      <c r="L516" s="1182" t="n"/>
      <c r="M516" s="1182" t="n"/>
      <c r="N516" s="1182" t="n"/>
      <c r="O516" s="1241" t="n"/>
      <c r="P516" s="1242" t="inlineStr">
        <is>
          <t>Итого</t>
        </is>
      </c>
      <c r="Q516" s="1201" t="n"/>
      <c r="R516" s="1201" t="n"/>
      <c r="S516" s="1201" t="n"/>
      <c r="T516" s="1201" t="n"/>
      <c r="U516" s="1201" t="n"/>
      <c r="V516" s="1202" t="n"/>
      <c r="W516" s="42" t="inlineStr">
        <is>
          <t>кг</t>
        </is>
      </c>
      <c r="X516" s="1243">
        <f>IFERROR(SUM(X514:X514),"0")</f>
        <v/>
      </c>
      <c r="Y516" s="1243">
        <f>IFERROR(SUM(Y514:Y514),"0")</f>
        <v/>
      </c>
      <c r="Z516" s="42" t="n"/>
      <c r="AA516" s="1244" t="n"/>
      <c r="AB516" s="1244" t="n"/>
      <c r="AC516" s="1244" t="n"/>
    </row>
    <row r="517" ht="14.25" customHeight="1">
      <c r="A517" s="831" t="inlineStr">
        <is>
          <t>Сардельки</t>
        </is>
      </c>
      <c r="B517" s="1182" t="n"/>
      <c r="C517" s="1182" t="n"/>
      <c r="D517" s="1182" t="n"/>
      <c r="E517" s="1182" t="n"/>
      <c r="F517" s="1182" t="n"/>
      <c r="G517" s="1182" t="n"/>
      <c r="H517" s="1182" t="n"/>
      <c r="I517" s="1182" t="n"/>
      <c r="J517" s="1182" t="n"/>
      <c r="K517" s="1182" t="n"/>
      <c r="L517" s="1182" t="n"/>
      <c r="M517" s="1182" t="n"/>
      <c r="N517" s="1182" t="n"/>
      <c r="O517" s="1182" t="n"/>
      <c r="P517" s="1182" t="n"/>
      <c r="Q517" s="1182" t="n"/>
      <c r="R517" s="1182" t="n"/>
      <c r="S517" s="1182" t="n"/>
      <c r="T517" s="1182" t="n"/>
      <c r="U517" s="1182" t="n"/>
      <c r="V517" s="1182" t="n"/>
      <c r="W517" s="1182" t="n"/>
      <c r="X517" s="1182" t="n"/>
      <c r="Y517" s="1182" t="n"/>
      <c r="Z517" s="1182" t="n"/>
      <c r="AA517" s="831" t="n"/>
      <c r="AB517" s="831" t="n"/>
      <c r="AC517" s="831" t="n"/>
    </row>
    <row r="518" ht="27" customHeight="1">
      <c r="A518" s="63" t="inlineStr">
        <is>
          <t>SU002437</t>
        </is>
      </c>
      <c r="B518" s="63" t="inlineStr">
        <is>
          <t>P004446</t>
        </is>
      </c>
      <c r="C518" s="36" t="n">
        <v>4301060412</v>
      </c>
      <c r="D518" s="832" t="n">
        <v>4680115885509</v>
      </c>
      <c r="E518" s="1193" t="n"/>
      <c r="F518" s="1232" t="n">
        <v>0.27</v>
      </c>
      <c r="G518" s="37" t="n">
        <v>6</v>
      </c>
      <c r="H518" s="1232" t="n">
        <v>1.62</v>
      </c>
      <c r="I518" s="1232" t="n">
        <v>1.866</v>
      </c>
      <c r="J518" s="37" t="n">
        <v>182</v>
      </c>
      <c r="K518" s="37" t="inlineStr">
        <is>
          <t>14</t>
        </is>
      </c>
      <c r="L518" s="37" t="inlineStr"/>
      <c r="M518" s="38" t="inlineStr">
        <is>
          <t>СК2</t>
        </is>
      </c>
      <c r="N518" s="38" t="n"/>
      <c r="O518" s="37" t="n">
        <v>35</v>
      </c>
      <c r="P518" s="1503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518" s="1234" t="n"/>
      <c r="R518" s="1234" t="n"/>
      <c r="S518" s="1234" t="n"/>
      <c r="T518" s="1235" t="n"/>
      <c r="U518" s="39" t="inlineStr"/>
      <c r="V518" s="39" t="inlineStr"/>
      <c r="W518" s="40" t="inlineStr">
        <is>
          <t>кг</t>
        </is>
      </c>
      <c r="X518" s="1236" t="n">
        <v>0</v>
      </c>
      <c r="Y518" s="1237">
        <f>IFERROR(IF(X518="",0,CEILING((X518/$H518),1)*$H518),"")</f>
        <v/>
      </c>
      <c r="Z518" s="41">
        <f>IFERROR(IF(Y518=0,"",ROUNDUP(Y518/H518,0)*0.00651),"")</f>
        <v/>
      </c>
      <c r="AA518" s="68" t="inlineStr"/>
      <c r="AB518" s="69" t="inlineStr"/>
      <c r="AC518" s="610" t="inlineStr">
        <is>
          <t>ЕАЭС N RU Д-RU.РА03.В.30457/24, ЕАЭС N RU Д-RU.РА10.В.25148/24</t>
        </is>
      </c>
      <c r="AG518" s="78" t="n"/>
      <c r="AJ518" s="84" t="inlineStr"/>
      <c r="AK518" s="84" t="n">
        <v>0</v>
      </c>
      <c r="BB518" s="611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>
      <c r="A519" s="843" t="n"/>
      <c r="B519" s="1182" t="n"/>
      <c r="C519" s="1182" t="n"/>
      <c r="D519" s="1182" t="n"/>
      <c r="E519" s="1182" t="n"/>
      <c r="F519" s="1182" t="n"/>
      <c r="G519" s="1182" t="n"/>
      <c r="H519" s="1182" t="n"/>
      <c r="I519" s="1182" t="n"/>
      <c r="J519" s="1182" t="n"/>
      <c r="K519" s="1182" t="n"/>
      <c r="L519" s="1182" t="n"/>
      <c r="M519" s="1182" t="n"/>
      <c r="N519" s="1182" t="n"/>
      <c r="O519" s="1241" t="n"/>
      <c r="P519" s="1242" t="inlineStr">
        <is>
          <t>Итого</t>
        </is>
      </c>
      <c r="Q519" s="1201" t="n"/>
      <c r="R519" s="1201" t="n"/>
      <c r="S519" s="1201" t="n"/>
      <c r="T519" s="1201" t="n"/>
      <c r="U519" s="1201" t="n"/>
      <c r="V519" s="1202" t="n"/>
      <c r="W519" s="42" t="inlineStr">
        <is>
          <t>кор</t>
        </is>
      </c>
      <c r="X519" s="1243">
        <f>IFERROR(X518/H518,"0")</f>
        <v/>
      </c>
      <c r="Y519" s="1243">
        <f>IFERROR(Y518/H518,"0")</f>
        <v/>
      </c>
      <c r="Z519" s="1243">
        <f>IFERROR(IF(Z518="",0,Z518),"0")</f>
        <v/>
      </c>
      <c r="AA519" s="1244" t="n"/>
      <c r="AB519" s="1244" t="n"/>
      <c r="AC519" s="1244" t="n"/>
    </row>
    <row r="520">
      <c r="A520" s="1182" t="n"/>
      <c r="B520" s="1182" t="n"/>
      <c r="C520" s="1182" t="n"/>
      <c r="D520" s="1182" t="n"/>
      <c r="E520" s="1182" t="n"/>
      <c r="F520" s="1182" t="n"/>
      <c r="G520" s="1182" t="n"/>
      <c r="H520" s="1182" t="n"/>
      <c r="I520" s="1182" t="n"/>
      <c r="J520" s="1182" t="n"/>
      <c r="K520" s="1182" t="n"/>
      <c r="L520" s="1182" t="n"/>
      <c r="M520" s="1182" t="n"/>
      <c r="N520" s="1182" t="n"/>
      <c r="O520" s="1241" t="n"/>
      <c r="P520" s="1242" t="inlineStr">
        <is>
          <t>Итого</t>
        </is>
      </c>
      <c r="Q520" s="1201" t="n"/>
      <c r="R520" s="1201" t="n"/>
      <c r="S520" s="1201" t="n"/>
      <c r="T520" s="1201" t="n"/>
      <c r="U520" s="1201" t="n"/>
      <c r="V520" s="1202" t="n"/>
      <c r="W520" s="42" t="inlineStr">
        <is>
          <t>кг</t>
        </is>
      </c>
      <c r="X520" s="1243">
        <f>IFERROR(SUM(X518:X518),"0")</f>
        <v/>
      </c>
      <c r="Y520" s="1243">
        <f>IFERROR(SUM(Y518:Y518),"0")</f>
        <v/>
      </c>
      <c r="Z520" s="42" t="n"/>
      <c r="AA520" s="1244" t="n"/>
      <c r="AB520" s="1244" t="n"/>
      <c r="AC520" s="1244" t="n"/>
    </row>
    <row r="521" ht="27.75" customHeight="1">
      <c r="A521" s="829" t="inlineStr">
        <is>
          <t>Дугушка</t>
        </is>
      </c>
      <c r="B521" s="1231" t="n"/>
      <c r="C521" s="1231" t="n"/>
      <c r="D521" s="1231" t="n"/>
      <c r="E521" s="1231" t="n"/>
      <c r="F521" s="1231" t="n"/>
      <c r="G521" s="1231" t="n"/>
      <c r="H521" s="1231" t="n"/>
      <c r="I521" s="1231" t="n"/>
      <c r="J521" s="1231" t="n"/>
      <c r="K521" s="1231" t="n"/>
      <c r="L521" s="1231" t="n"/>
      <c r="M521" s="1231" t="n"/>
      <c r="N521" s="1231" t="n"/>
      <c r="O521" s="1231" t="n"/>
      <c r="P521" s="1231" t="n"/>
      <c r="Q521" s="1231" t="n"/>
      <c r="R521" s="1231" t="n"/>
      <c r="S521" s="1231" t="n"/>
      <c r="T521" s="1231" t="n"/>
      <c r="U521" s="1231" t="n"/>
      <c r="V521" s="1231" t="n"/>
      <c r="W521" s="1231" t="n"/>
      <c r="X521" s="1231" t="n"/>
      <c r="Y521" s="1231" t="n"/>
      <c r="Z521" s="1231" t="n"/>
      <c r="AA521" s="54" t="n"/>
      <c r="AB521" s="54" t="n"/>
      <c r="AC521" s="54" t="n"/>
    </row>
    <row r="522" ht="16.5" customHeight="1">
      <c r="A522" s="830" t="inlineStr">
        <is>
          <t>Дугушка</t>
        </is>
      </c>
      <c r="B522" s="1182" t="n"/>
      <c r="C522" s="1182" t="n"/>
      <c r="D522" s="1182" t="n"/>
      <c r="E522" s="1182" t="n"/>
      <c r="F522" s="1182" t="n"/>
      <c r="G522" s="1182" t="n"/>
      <c r="H522" s="1182" t="n"/>
      <c r="I522" s="1182" t="n"/>
      <c r="J522" s="1182" t="n"/>
      <c r="K522" s="1182" t="n"/>
      <c r="L522" s="1182" t="n"/>
      <c r="M522" s="1182" t="n"/>
      <c r="N522" s="1182" t="n"/>
      <c r="O522" s="1182" t="n"/>
      <c r="P522" s="1182" t="n"/>
      <c r="Q522" s="1182" t="n"/>
      <c r="R522" s="1182" t="n"/>
      <c r="S522" s="1182" t="n"/>
      <c r="T522" s="1182" t="n"/>
      <c r="U522" s="1182" t="n"/>
      <c r="V522" s="1182" t="n"/>
      <c r="W522" s="1182" t="n"/>
      <c r="X522" s="1182" t="n"/>
      <c r="Y522" s="1182" t="n"/>
      <c r="Z522" s="1182" t="n"/>
      <c r="AA522" s="830" t="n"/>
      <c r="AB522" s="830" t="n"/>
      <c r="AC522" s="830" t="n"/>
    </row>
    <row r="523" ht="14.25" customHeight="1">
      <c r="A523" s="831" t="inlineStr">
        <is>
          <t>Вареные колбасы</t>
        </is>
      </c>
      <c r="B523" s="1182" t="n"/>
      <c r="C523" s="1182" t="n"/>
      <c r="D523" s="1182" t="n"/>
      <c r="E523" s="1182" t="n"/>
      <c r="F523" s="1182" t="n"/>
      <c r="G523" s="1182" t="n"/>
      <c r="H523" s="1182" t="n"/>
      <c r="I523" s="1182" t="n"/>
      <c r="J523" s="1182" t="n"/>
      <c r="K523" s="1182" t="n"/>
      <c r="L523" s="1182" t="n"/>
      <c r="M523" s="1182" t="n"/>
      <c r="N523" s="1182" t="n"/>
      <c r="O523" s="1182" t="n"/>
      <c r="P523" s="1182" t="n"/>
      <c r="Q523" s="1182" t="n"/>
      <c r="R523" s="1182" t="n"/>
      <c r="S523" s="1182" t="n"/>
      <c r="T523" s="1182" t="n"/>
      <c r="U523" s="1182" t="n"/>
      <c r="V523" s="1182" t="n"/>
      <c r="W523" s="1182" t="n"/>
      <c r="X523" s="1182" t="n"/>
      <c r="Y523" s="1182" t="n"/>
      <c r="Z523" s="1182" t="n"/>
      <c r="AA523" s="831" t="n"/>
      <c r="AB523" s="831" t="n"/>
      <c r="AC523" s="831" t="n"/>
    </row>
    <row r="524" ht="27" customHeight="1">
      <c r="A524" s="63" t="inlineStr">
        <is>
          <t>SU003847</t>
        </is>
      </c>
      <c r="B524" s="63" t="inlineStr">
        <is>
          <t>P004917</t>
        </is>
      </c>
      <c r="C524" s="36" t="n">
        <v>4301012125</v>
      </c>
      <c r="D524" s="832" t="n">
        <v>4680115886391</v>
      </c>
      <c r="E524" s="1193" t="n"/>
      <c r="F524" s="1232" t="n">
        <v>0.4</v>
      </c>
      <c r="G524" s="37" t="n">
        <v>6</v>
      </c>
      <c r="H524" s="1232" t="n">
        <v>2.4</v>
      </c>
      <c r="I524" s="1232" t="n">
        <v>2.58</v>
      </c>
      <c r="J524" s="37" t="n">
        <v>182</v>
      </c>
      <c r="K524" s="37" t="inlineStr">
        <is>
          <t>14</t>
        </is>
      </c>
      <c r="L524" s="37" t="inlineStr"/>
      <c r="M524" s="38" t="inlineStr">
        <is>
          <t>СК3</t>
        </is>
      </c>
      <c r="N524" s="38" t="n"/>
      <c r="O524" s="37" t="n">
        <v>60</v>
      </c>
      <c r="P524" s="1504" t="inlineStr">
        <is>
          <t>Вареные колбасы «Докторская» ГОСТ 23670-2019 Фикс.вес 0,4 полиамид ТМ «Стародворье»</t>
        </is>
      </c>
      <c r="Q524" s="1234" t="n"/>
      <c r="R524" s="1234" t="n"/>
      <c r="S524" s="1234" t="n"/>
      <c r="T524" s="1235" t="n"/>
      <c r="U524" s="39" t="inlineStr"/>
      <c r="V524" s="39" t="inlineStr"/>
      <c r="W524" s="40" t="inlineStr">
        <is>
          <t>кг</t>
        </is>
      </c>
      <c r="X524" s="1236" t="n">
        <v>0</v>
      </c>
      <c r="Y524" s="1237">
        <f>IFERROR(IF(X524="",0,CEILING((X524/$H524),1)*$H524),"")</f>
        <v/>
      </c>
      <c r="Z524" s="41">
        <f>IFERROR(IF(Y524=0,"",ROUNDUP(Y524/H524,0)*0.00651),"")</f>
        <v/>
      </c>
      <c r="AA524" s="68" t="inlineStr"/>
      <c r="AB524" s="69" t="inlineStr">
        <is>
          <t>Новинка</t>
        </is>
      </c>
      <c r="AC524" s="612" t="inlineStr">
        <is>
          <t>ЕАЭС N RU Д-RU.РА02.В.62622/22</t>
        </is>
      </c>
      <c r="AG524" s="78" t="n"/>
      <c r="AJ524" s="84" t="inlineStr"/>
      <c r="AK524" s="84" t="n">
        <v>0</v>
      </c>
      <c r="BB524" s="613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 ht="27" customHeight="1">
      <c r="A525" s="63" t="inlineStr">
        <is>
          <t>SU002011</t>
        </is>
      </c>
      <c r="B525" s="63" t="inlineStr">
        <is>
          <t>P004028</t>
        </is>
      </c>
      <c r="C525" s="36" t="n">
        <v>4301011795</v>
      </c>
      <c r="D525" s="832" t="n">
        <v>4607091389067</v>
      </c>
      <c r="E525" s="1193" t="n"/>
      <c r="F525" s="1232" t="n">
        <v>0.88</v>
      </c>
      <c r="G525" s="37" t="n">
        <v>6</v>
      </c>
      <c r="H525" s="1232" t="n">
        <v>5.28</v>
      </c>
      <c r="I525" s="1232" t="n">
        <v>5.64</v>
      </c>
      <c r="J525" s="37" t="n">
        <v>104</v>
      </c>
      <c r="K525" s="37" t="inlineStr">
        <is>
          <t>8</t>
        </is>
      </c>
      <c r="L525" s="37" t="inlineStr"/>
      <c r="M525" s="38" t="inlineStr">
        <is>
          <t>СК1</t>
        </is>
      </c>
      <c r="N525" s="38" t="n"/>
      <c r="O525" s="37" t="n">
        <v>60</v>
      </c>
      <c r="P525" s="150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25" s="1234" t="n"/>
      <c r="R525" s="1234" t="n"/>
      <c r="S525" s="1234" t="n"/>
      <c r="T525" s="1235" t="n"/>
      <c r="U525" s="39" t="inlineStr"/>
      <c r="V525" s="39" t="inlineStr"/>
      <c r="W525" s="40" t="inlineStr">
        <is>
          <t>кг</t>
        </is>
      </c>
      <c r="X525" s="1236" t="n">
        <v>100</v>
      </c>
      <c r="Y525" s="1237">
        <f>IFERROR(IF(X525="",0,CEILING((X525/$H525),1)*$H525),"")</f>
        <v/>
      </c>
      <c r="Z525" s="41">
        <f>IFERROR(IF(Y525=0,"",ROUNDUP(Y525/H525,0)*0.01196),"")</f>
        <v/>
      </c>
      <c r="AA525" s="68" t="inlineStr"/>
      <c r="AB525" s="69" t="inlineStr"/>
      <c r="AC525" s="614" t="inlineStr">
        <is>
          <t>ЕАЭС N RU Д-RU.РА02.В.62622/22</t>
        </is>
      </c>
      <c r="AG525" s="78" t="n"/>
      <c r="AJ525" s="84" t="inlineStr"/>
      <c r="AK525" s="84" t="n">
        <v>0</v>
      </c>
      <c r="BB525" s="615" t="inlineStr">
        <is>
          <t>КИ</t>
        </is>
      </c>
      <c r="BM525" s="78">
        <f>IFERROR(X525*I525/H525,"0")</f>
        <v/>
      </c>
      <c r="BN525" s="78">
        <f>IFERROR(Y525*I525/H525,"0")</f>
        <v/>
      </c>
      <c r="BO525" s="78">
        <f>IFERROR(1/J525*(X525/H525),"0")</f>
        <v/>
      </c>
      <c r="BP525" s="78">
        <f>IFERROR(1/J525*(Y525/H525),"0")</f>
        <v/>
      </c>
    </row>
    <row r="526" ht="27" customHeight="1">
      <c r="A526" s="63" t="inlineStr">
        <is>
          <t>SU002182</t>
        </is>
      </c>
      <c r="B526" s="63" t="inlineStr">
        <is>
          <t>P004406</t>
        </is>
      </c>
      <c r="C526" s="36" t="n">
        <v>4301011961</v>
      </c>
      <c r="D526" s="832" t="n">
        <v>4680115885271</v>
      </c>
      <c r="E526" s="1193" t="n"/>
      <c r="F526" s="1232" t="n">
        <v>0.88</v>
      </c>
      <c r="G526" s="37" t="n">
        <v>6</v>
      </c>
      <c r="H526" s="1232" t="n">
        <v>5.28</v>
      </c>
      <c r="I526" s="1232" t="n">
        <v>5.64</v>
      </c>
      <c r="J526" s="37" t="n">
        <v>104</v>
      </c>
      <c r="K526" s="37" t="inlineStr">
        <is>
          <t>8</t>
        </is>
      </c>
      <c r="L526" s="37" t="inlineStr"/>
      <c r="M526" s="38" t="inlineStr">
        <is>
          <t>СК1</t>
        </is>
      </c>
      <c r="N526" s="38" t="n"/>
      <c r="O526" s="37" t="n">
        <v>60</v>
      </c>
      <c r="P526" s="1506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26" s="1234" t="n"/>
      <c r="R526" s="1234" t="n"/>
      <c r="S526" s="1234" t="n"/>
      <c r="T526" s="1235" t="n"/>
      <c r="U526" s="39" t="inlineStr"/>
      <c r="V526" s="39" t="inlineStr"/>
      <c r="W526" s="40" t="inlineStr">
        <is>
          <t>кг</t>
        </is>
      </c>
      <c r="X526" s="1236" t="n">
        <v>0</v>
      </c>
      <c r="Y526" s="1237">
        <f>IFERROR(IF(X526="",0,CEILING((X526/$H526),1)*$H526),"")</f>
        <v/>
      </c>
      <c r="Z526" s="41">
        <f>IFERROR(IF(Y526=0,"",ROUNDUP(Y526/H526,0)*0.01196),"")</f>
        <v/>
      </c>
      <c r="AA526" s="68" t="inlineStr"/>
      <c r="AB526" s="69" t="inlineStr"/>
      <c r="AC526" s="616" t="inlineStr">
        <is>
          <t>ЕАЭС N RU Д-RU.РА02.В.51764/24</t>
        </is>
      </c>
      <c r="AG526" s="78" t="n"/>
      <c r="AJ526" s="84" t="inlineStr"/>
      <c r="AK526" s="84" t="n">
        <v>0</v>
      </c>
      <c r="BB526" s="617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 ht="16.5" customHeight="1">
      <c r="A527" s="63" t="inlineStr">
        <is>
          <t>SU002998</t>
        </is>
      </c>
      <c r="B527" s="63" t="inlineStr">
        <is>
          <t>P004033</t>
        </is>
      </c>
      <c r="C527" s="36" t="n">
        <v>4301011774</v>
      </c>
      <c r="D527" s="832" t="n">
        <v>4680115884502</v>
      </c>
      <c r="E527" s="1193" t="n"/>
      <c r="F527" s="1232" t="n">
        <v>0.88</v>
      </c>
      <c r="G527" s="37" t="n">
        <v>6</v>
      </c>
      <c r="H527" s="1232" t="n">
        <v>5.28</v>
      </c>
      <c r="I527" s="1232" t="n">
        <v>5.64</v>
      </c>
      <c r="J527" s="37" t="n">
        <v>104</v>
      </c>
      <c r="K527" s="37" t="inlineStr">
        <is>
          <t>8</t>
        </is>
      </c>
      <c r="L527" s="37" t="inlineStr"/>
      <c r="M527" s="38" t="inlineStr">
        <is>
          <t>СК1</t>
        </is>
      </c>
      <c r="N527" s="38" t="n"/>
      <c r="O527" s="37" t="n">
        <v>60</v>
      </c>
      <c r="P527" s="150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27" s="1234" t="n"/>
      <c r="R527" s="1234" t="n"/>
      <c r="S527" s="1234" t="n"/>
      <c r="T527" s="1235" t="n"/>
      <c r="U527" s="39" t="inlineStr"/>
      <c r="V527" s="39" t="inlineStr"/>
      <c r="W527" s="40" t="inlineStr">
        <is>
          <t>кг</t>
        </is>
      </c>
      <c r="X527" s="1236" t="n">
        <v>0</v>
      </c>
      <c r="Y527" s="1237">
        <f>IFERROR(IF(X527="",0,CEILING((X527/$H527),1)*$H527),"")</f>
        <v/>
      </c>
      <c r="Z527" s="41">
        <f>IFERROR(IF(Y527=0,"",ROUNDUP(Y527/H527,0)*0.01196),"")</f>
        <v/>
      </c>
      <c r="AA527" s="68" t="inlineStr"/>
      <c r="AB527" s="69" t="inlineStr"/>
      <c r="AC527" s="618" t="inlineStr">
        <is>
          <t>ЕАЭС N RU Д-RU.РА10.В.33801/23</t>
        </is>
      </c>
      <c r="AG527" s="78" t="n"/>
      <c r="AJ527" s="84" t="inlineStr"/>
      <c r="AK527" s="84" t="n">
        <v>0</v>
      </c>
      <c r="BB527" s="619" t="inlineStr">
        <is>
          <t>КИ</t>
        </is>
      </c>
      <c r="BM527" s="78">
        <f>IFERROR(X527*I527/H527,"0")</f>
        <v/>
      </c>
      <c r="BN527" s="78">
        <f>IFERROR(Y527*I527/H527,"0")</f>
        <v/>
      </c>
      <c r="BO527" s="78">
        <f>IFERROR(1/J527*(X527/H527),"0")</f>
        <v/>
      </c>
      <c r="BP527" s="78">
        <f>IFERROR(1/J527*(Y527/H527),"0")</f>
        <v/>
      </c>
    </row>
    <row r="528" ht="27" customHeight="1">
      <c r="A528" s="63" t="inlineStr">
        <is>
          <t>SU002010</t>
        </is>
      </c>
      <c r="B528" s="63" t="inlineStr">
        <is>
          <t>P004030</t>
        </is>
      </c>
      <c r="C528" s="36" t="n">
        <v>4301011771</v>
      </c>
      <c r="D528" s="832" t="n">
        <v>4607091389104</v>
      </c>
      <c r="E528" s="1193" t="n"/>
      <c r="F528" s="1232" t="n">
        <v>0.88</v>
      </c>
      <c r="G528" s="37" t="n">
        <v>6</v>
      </c>
      <c r="H528" s="1232" t="n">
        <v>5.28</v>
      </c>
      <c r="I528" s="1232" t="n">
        <v>5.64</v>
      </c>
      <c r="J528" s="37" t="n">
        <v>104</v>
      </c>
      <c r="K528" s="37" t="inlineStr">
        <is>
          <t>8</t>
        </is>
      </c>
      <c r="L528" s="37" t="inlineStr"/>
      <c r="M528" s="38" t="inlineStr">
        <is>
          <t>СК1</t>
        </is>
      </c>
      <c r="N528" s="38" t="n"/>
      <c r="O528" s="37" t="n">
        <v>60</v>
      </c>
      <c r="P528" s="150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28" s="1234" t="n"/>
      <c r="R528" s="1234" t="n"/>
      <c r="S528" s="1234" t="n"/>
      <c r="T528" s="1235" t="n"/>
      <c r="U528" s="39" t="inlineStr"/>
      <c r="V528" s="39" t="inlineStr"/>
      <c r="W528" s="40" t="inlineStr">
        <is>
          <t>кг</t>
        </is>
      </c>
      <c r="X528" s="1236" t="n">
        <v>150</v>
      </c>
      <c r="Y528" s="1237">
        <f>IFERROR(IF(X528="",0,CEILING((X528/$H528),1)*$H528),"")</f>
        <v/>
      </c>
      <c r="Z528" s="41">
        <f>IFERROR(IF(Y528=0,"",ROUNDUP(Y528/H528,0)*0.01196),"")</f>
        <v/>
      </c>
      <c r="AA528" s="68" t="inlineStr"/>
      <c r="AB528" s="69" t="inlineStr"/>
      <c r="AC528" s="620" t="inlineStr">
        <is>
          <t>ЕАЭС N RU Д-RU.РА07.В.78433/22</t>
        </is>
      </c>
      <c r="AG528" s="78" t="n"/>
      <c r="AJ528" s="84" t="inlineStr"/>
      <c r="AK528" s="84" t="n">
        <v>0</v>
      </c>
      <c r="BB528" s="621" t="inlineStr">
        <is>
          <t>КИ</t>
        </is>
      </c>
      <c r="BM528" s="78">
        <f>IFERROR(X528*I528/H528,"0")</f>
        <v/>
      </c>
      <c r="BN528" s="78">
        <f>IFERROR(Y528*I528/H528,"0")</f>
        <v/>
      </c>
      <c r="BO528" s="78">
        <f>IFERROR(1/J528*(X528/H528),"0")</f>
        <v/>
      </c>
      <c r="BP528" s="78">
        <f>IFERROR(1/J528*(Y528/H528),"0")</f>
        <v/>
      </c>
    </row>
    <row r="529" ht="16.5" customHeight="1">
      <c r="A529" s="63" t="inlineStr">
        <is>
          <t>SU002999</t>
        </is>
      </c>
      <c r="B529" s="63" t="inlineStr">
        <is>
          <t>P004045</t>
        </is>
      </c>
      <c r="C529" s="36" t="n">
        <v>4301011799</v>
      </c>
      <c r="D529" s="832" t="n">
        <v>4680115884519</v>
      </c>
      <c r="E529" s="1193" t="n"/>
      <c r="F529" s="1232" t="n">
        <v>0.88</v>
      </c>
      <c r="G529" s="37" t="n">
        <v>6</v>
      </c>
      <c r="H529" s="1232" t="n">
        <v>5.28</v>
      </c>
      <c r="I529" s="1232" t="n">
        <v>5.64</v>
      </c>
      <c r="J529" s="37" t="n">
        <v>104</v>
      </c>
      <c r="K529" s="37" t="inlineStr">
        <is>
          <t>8</t>
        </is>
      </c>
      <c r="L529" s="37" t="inlineStr"/>
      <c r="M529" s="38" t="inlineStr">
        <is>
          <t>СК3</t>
        </is>
      </c>
      <c r="N529" s="38" t="n"/>
      <c r="O529" s="37" t="n">
        <v>60</v>
      </c>
      <c r="P529" s="1509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29" s="1234" t="n"/>
      <c r="R529" s="1234" t="n"/>
      <c r="S529" s="1234" t="n"/>
      <c r="T529" s="1235" t="n"/>
      <c r="U529" s="39" t="inlineStr"/>
      <c r="V529" s="39" t="inlineStr"/>
      <c r="W529" s="40" t="inlineStr">
        <is>
          <t>кг</t>
        </is>
      </c>
      <c r="X529" s="1236" t="n">
        <v>0</v>
      </c>
      <c r="Y529" s="1237">
        <f>IFERROR(IF(X529="",0,CEILING((X529/$H529),1)*$H529),"")</f>
        <v/>
      </c>
      <c r="Z529" s="41">
        <f>IFERROR(IF(Y529=0,"",ROUNDUP(Y529/H529,0)*0.01196),"")</f>
        <v/>
      </c>
      <c r="AA529" s="68" t="inlineStr"/>
      <c r="AB529" s="69" t="inlineStr"/>
      <c r="AC529" s="622" t="inlineStr">
        <is>
          <t>ЕАЭС N RU Д-RU.РА10.В.31672/23</t>
        </is>
      </c>
      <c r="AG529" s="78" t="n"/>
      <c r="AJ529" s="84" t="inlineStr"/>
      <c r="AK529" s="84" t="n">
        <v>0</v>
      </c>
      <c r="BB529" s="623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 ht="27" customHeight="1">
      <c r="A530" s="63" t="inlineStr">
        <is>
          <t>SU002634</t>
        </is>
      </c>
      <c r="B530" s="63" t="inlineStr">
        <is>
          <t>P002989</t>
        </is>
      </c>
      <c r="C530" s="36" t="n">
        <v>4301011376</v>
      </c>
      <c r="D530" s="832" t="n">
        <v>4680115885226</v>
      </c>
      <c r="E530" s="1193" t="n"/>
      <c r="F530" s="1232" t="n">
        <v>0.88</v>
      </c>
      <c r="G530" s="37" t="n">
        <v>6</v>
      </c>
      <c r="H530" s="1232" t="n">
        <v>5.28</v>
      </c>
      <c r="I530" s="1232" t="n">
        <v>5.64</v>
      </c>
      <c r="J530" s="37" t="n">
        <v>104</v>
      </c>
      <c r="K530" s="37" t="inlineStr">
        <is>
          <t>8</t>
        </is>
      </c>
      <c r="L530" s="37" t="inlineStr"/>
      <c r="M530" s="38" t="inlineStr">
        <is>
          <t>СК3</t>
        </is>
      </c>
      <c r="N530" s="38" t="n"/>
      <c r="O530" s="37" t="n">
        <v>60</v>
      </c>
      <c r="P530" s="151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30" s="1234" t="n"/>
      <c r="R530" s="1234" t="n"/>
      <c r="S530" s="1234" t="n"/>
      <c r="T530" s="1235" t="n"/>
      <c r="U530" s="39" t="inlineStr"/>
      <c r="V530" s="39" t="inlineStr"/>
      <c r="W530" s="40" t="inlineStr">
        <is>
          <t>кг</t>
        </is>
      </c>
      <c r="X530" s="1236" t="n">
        <v>80</v>
      </c>
      <c r="Y530" s="1237">
        <f>IFERROR(IF(X530="",0,CEILING((X530/$H530),1)*$H530),"")</f>
        <v/>
      </c>
      <c r="Z530" s="41">
        <f>IFERROR(IF(Y530=0,"",ROUNDUP(Y530/H530,0)*0.01196),"")</f>
        <v/>
      </c>
      <c r="AA530" s="68" t="inlineStr"/>
      <c r="AB530" s="69" t="inlineStr"/>
      <c r="AC530" s="624" t="inlineStr">
        <is>
          <t>ЕАЭС N RU Д-RU.РА03.В.56116/24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>
        <f>IFERROR(X530*I530/H530,"0")</f>
        <v/>
      </c>
      <c r="BN530" s="78">
        <f>IFERROR(Y530*I530/H530,"0")</f>
        <v/>
      </c>
      <c r="BO530" s="78">
        <f>IFERROR(1/J530*(X530/H530),"0")</f>
        <v/>
      </c>
      <c r="BP530" s="78">
        <f>IFERROR(1/J530*(Y530/H530),"0")</f>
        <v/>
      </c>
    </row>
    <row r="531" ht="27" customHeight="1">
      <c r="A531" s="63" t="inlineStr">
        <is>
          <t>SU002632</t>
        </is>
      </c>
      <c r="B531" s="63" t="inlineStr">
        <is>
          <t>P004689</t>
        </is>
      </c>
      <c r="C531" s="36" t="n">
        <v>4301012035</v>
      </c>
      <c r="D531" s="832" t="n">
        <v>4680115880603</v>
      </c>
      <c r="E531" s="1193" t="n"/>
      <c r="F531" s="1232" t="n">
        <v>0.6</v>
      </c>
      <c r="G531" s="37" t="n">
        <v>8</v>
      </c>
      <c r="H531" s="1232" t="n">
        <v>4.8</v>
      </c>
      <c r="I531" s="1232" t="n">
        <v>6.96</v>
      </c>
      <c r="J531" s="37" t="n">
        <v>120</v>
      </c>
      <c r="K531" s="37" t="inlineStr">
        <is>
          <t>12</t>
        </is>
      </c>
      <c r="L531" s="37" t="inlineStr"/>
      <c r="M531" s="38" t="inlineStr">
        <is>
          <t>СК1</t>
        </is>
      </c>
      <c r="N531" s="38" t="n"/>
      <c r="O531" s="37" t="n">
        <v>60</v>
      </c>
      <c r="P531" s="151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31" s="1234" t="n"/>
      <c r="R531" s="1234" t="n"/>
      <c r="S531" s="1234" t="n"/>
      <c r="T531" s="1235" t="n"/>
      <c r="U531" s="39" t="inlineStr"/>
      <c r="V531" s="39" t="inlineStr"/>
      <c r="W531" s="40" t="inlineStr">
        <is>
          <t>кг</t>
        </is>
      </c>
      <c r="X531" s="1236" t="n">
        <v>0</v>
      </c>
      <c r="Y531" s="1237">
        <f>IFERROR(IF(X531="",0,CEILING((X531/$H531),1)*$H531),"")</f>
        <v/>
      </c>
      <c r="Z531" s="41">
        <f>IFERROR(IF(Y531=0,"",ROUNDUP(Y531/H531,0)*0.00937),"")</f>
        <v/>
      </c>
      <c r="AA531" s="68" t="inlineStr"/>
      <c r="AB531" s="69" t="inlineStr"/>
      <c r="AC531" s="626" t="inlineStr">
        <is>
          <t>ЕАЭС N RU Д-RU.РА02.В.62622/22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SU002632</t>
        </is>
      </c>
      <c r="B532" s="63" t="inlineStr">
        <is>
          <t>P004043</t>
        </is>
      </c>
      <c r="C532" s="36" t="n">
        <v>4301011778</v>
      </c>
      <c r="D532" s="832" t="n">
        <v>4680115880603</v>
      </c>
      <c r="E532" s="1193" t="n"/>
      <c r="F532" s="1232" t="n">
        <v>0.6</v>
      </c>
      <c r="G532" s="37" t="n">
        <v>6</v>
      </c>
      <c r="H532" s="1232" t="n">
        <v>3.6</v>
      </c>
      <c r="I532" s="1232" t="n">
        <v>3.81</v>
      </c>
      <c r="J532" s="37" t="n">
        <v>132</v>
      </c>
      <c r="K532" s="37" t="inlineStr">
        <is>
          <t>12</t>
        </is>
      </c>
      <c r="L532" s="37" t="inlineStr"/>
      <c r="M532" s="38" t="inlineStr">
        <is>
          <t>СК1</t>
        </is>
      </c>
      <c r="N532" s="38" t="n"/>
      <c r="O532" s="37" t="n">
        <v>60</v>
      </c>
      <c r="P532" s="151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32" s="1234" t="n"/>
      <c r="R532" s="1234" t="n"/>
      <c r="S532" s="1234" t="n"/>
      <c r="T532" s="1235" t="n"/>
      <c r="U532" s="39" t="inlineStr"/>
      <c r="V532" s="39" t="inlineStr"/>
      <c r="W532" s="40" t="inlineStr">
        <is>
          <t>кг</t>
        </is>
      </c>
      <c r="X532" s="1236" t="n">
        <v>180</v>
      </c>
      <c r="Y532" s="1237">
        <f>IFERROR(IF(X532="",0,CEILING((X532/$H532),1)*$H532),"")</f>
        <v/>
      </c>
      <c r="Z532" s="41">
        <f>IFERROR(IF(Y532=0,"",ROUNDUP(Y532/H532,0)*0.00902),"")</f>
        <v/>
      </c>
      <c r="AA532" s="68" t="inlineStr"/>
      <c r="AB532" s="69" t="inlineStr"/>
      <c r="AC532" s="628" t="inlineStr">
        <is>
          <t>ЕАЭС N RU Д-RU.РА02.В.62622/22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SU002635</t>
        </is>
      </c>
      <c r="B533" s="63" t="inlineStr">
        <is>
          <t>P004690</t>
        </is>
      </c>
      <c r="C533" s="36" t="n">
        <v>4301012036</v>
      </c>
      <c r="D533" s="832" t="n">
        <v>4680115882782</v>
      </c>
      <c r="E533" s="1193" t="n"/>
      <c r="F533" s="1232" t="n">
        <v>0.6</v>
      </c>
      <c r="G533" s="37" t="n">
        <v>8</v>
      </c>
      <c r="H533" s="1232" t="n">
        <v>4.8</v>
      </c>
      <c r="I533" s="1232" t="n">
        <v>6.96</v>
      </c>
      <c r="J533" s="37" t="n">
        <v>120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60</v>
      </c>
      <c r="P533" s="1513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33" s="1234" t="n"/>
      <c r="R533" s="1234" t="n"/>
      <c r="S533" s="1234" t="n"/>
      <c r="T533" s="1235" t="n"/>
      <c r="U533" s="39" t="inlineStr"/>
      <c r="V533" s="39" t="inlineStr"/>
      <c r="W533" s="40" t="inlineStr">
        <is>
          <t>кг</t>
        </is>
      </c>
      <c r="X533" s="1236" t="n">
        <v>0</v>
      </c>
      <c r="Y533" s="1237">
        <f>IFERROR(IF(X533="",0,CEILING((X533/$H533),1)*$H533),"")</f>
        <v/>
      </c>
      <c r="Z533" s="41">
        <f>IFERROR(IF(Y533=0,"",ROUNDUP(Y533/H533,0)*0.00937),"")</f>
        <v/>
      </c>
      <c r="AA533" s="68" t="inlineStr"/>
      <c r="AB533" s="69" t="inlineStr"/>
      <c r="AC533" s="630" t="inlineStr">
        <is>
          <t>ЕАЭС N RU Д-RU.РА02.В.51764/24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 ht="27" customHeight="1">
      <c r="A534" s="63" t="inlineStr">
        <is>
          <t>SU003786</t>
        </is>
      </c>
      <c r="B534" s="63" t="inlineStr">
        <is>
          <t>P004752</t>
        </is>
      </c>
      <c r="C534" s="36" t="n">
        <v>4301012050</v>
      </c>
      <c r="D534" s="832" t="n">
        <v>4680115885479</v>
      </c>
      <c r="E534" s="1193" t="n"/>
      <c r="F534" s="1232" t="n">
        <v>0.4</v>
      </c>
      <c r="G534" s="37" t="n">
        <v>6</v>
      </c>
      <c r="H534" s="1232" t="n">
        <v>2.4</v>
      </c>
      <c r="I534" s="1232" t="n">
        <v>2.58</v>
      </c>
      <c r="J534" s="37" t="n">
        <v>182</v>
      </c>
      <c r="K534" s="37" t="inlineStr">
        <is>
          <t>14</t>
        </is>
      </c>
      <c r="L534" s="37" t="inlineStr"/>
      <c r="M534" s="38" t="inlineStr">
        <is>
          <t>СК1</t>
        </is>
      </c>
      <c r="N534" s="38" t="n"/>
      <c r="O534" s="37" t="n">
        <v>60</v>
      </c>
      <c r="P534" s="1514" t="inlineStr">
        <is>
          <t>Вареные колбасы «Молочная Дугушка» Фикс.вес 0,4 полиамид ТМ «Дугушка»</t>
        </is>
      </c>
      <c r="Q534" s="1234" t="n"/>
      <c r="R534" s="1234" t="n"/>
      <c r="S534" s="1234" t="n"/>
      <c r="T534" s="1235" t="n"/>
      <c r="U534" s="39" t="inlineStr"/>
      <c r="V534" s="39" t="inlineStr"/>
      <c r="W534" s="40" t="inlineStr">
        <is>
          <t>кг</t>
        </is>
      </c>
      <c r="X534" s="1236" t="n">
        <v>0</v>
      </c>
      <c r="Y534" s="1237">
        <f>IFERROR(IF(X534="",0,CEILING((X534/$H534),1)*$H534),"")</f>
        <v/>
      </c>
      <c r="Z534" s="41">
        <f>IFERROR(IF(Y534=0,"",ROUNDUP(Y534/H534,0)*0.00651),"")</f>
        <v/>
      </c>
      <c r="AA534" s="68" t="inlineStr"/>
      <c r="AB534" s="69" t="inlineStr"/>
      <c r="AC534" s="632" t="inlineStr">
        <is>
          <t>ЕАЭС N RU Д-RU.РА02.В.59575/22, ЕАЭС N RU Д-RU.РА07.В.78433/22</t>
        </is>
      </c>
      <c r="AG534" s="78" t="n"/>
      <c r="AJ534" s="84" t="inlineStr"/>
      <c r="AK534" s="84" t="n">
        <v>0</v>
      </c>
      <c r="BB534" s="633" t="inlineStr">
        <is>
          <t>КИ</t>
        </is>
      </c>
      <c r="BM534" s="78">
        <f>IFERROR(X534*I534/H534,"0")</f>
        <v/>
      </c>
      <c r="BN534" s="78">
        <f>IFERROR(Y534*I534/H534,"0")</f>
        <v/>
      </c>
      <c r="BO534" s="78">
        <f>IFERROR(1/J534*(X534/H534),"0")</f>
        <v/>
      </c>
      <c r="BP534" s="78">
        <f>IFERROR(1/J534*(Y534/H534),"0")</f>
        <v/>
      </c>
    </row>
    <row r="535" ht="27" customHeight="1">
      <c r="A535" s="63" t="inlineStr">
        <is>
          <t>SU002631</t>
        </is>
      </c>
      <c r="B535" s="63" t="inlineStr">
        <is>
          <t>P004688</t>
        </is>
      </c>
      <c r="C535" s="36" t="n">
        <v>4301012034</v>
      </c>
      <c r="D535" s="832" t="n">
        <v>4607091389982</v>
      </c>
      <c r="E535" s="1193" t="n"/>
      <c r="F535" s="1232" t="n">
        <v>0.6</v>
      </c>
      <c r="G535" s="37" t="n">
        <v>8</v>
      </c>
      <c r="H535" s="1232" t="n">
        <v>4.8</v>
      </c>
      <c r="I535" s="1232" t="n">
        <v>6.96</v>
      </c>
      <c r="J535" s="37" t="n">
        <v>120</v>
      </c>
      <c r="K535" s="37" t="inlineStr">
        <is>
          <t>12</t>
        </is>
      </c>
      <c r="L535" s="37" t="inlineStr"/>
      <c r="M535" s="38" t="inlineStr">
        <is>
          <t>СК1</t>
        </is>
      </c>
      <c r="N535" s="38" t="n"/>
      <c r="O535" s="37" t="n">
        <v>60</v>
      </c>
      <c r="P535" s="1515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35" s="1234" t="n"/>
      <c r="R535" s="1234" t="n"/>
      <c r="S535" s="1234" t="n"/>
      <c r="T535" s="1235" t="n"/>
      <c r="U535" s="39" t="inlineStr"/>
      <c r="V535" s="39" t="inlineStr"/>
      <c r="W535" s="40" t="inlineStr">
        <is>
          <t>кг</t>
        </is>
      </c>
      <c r="X535" s="1236" t="n">
        <v>0</v>
      </c>
      <c r="Y535" s="1237">
        <f>IFERROR(IF(X535="",0,CEILING((X535/$H535),1)*$H535),"")</f>
        <v/>
      </c>
      <c r="Z535" s="41">
        <f>IFERROR(IF(Y535=0,"",ROUNDUP(Y535/H535,0)*0.00937),"")</f>
        <v/>
      </c>
      <c r="AA535" s="68" t="inlineStr"/>
      <c r="AB535" s="69" t="inlineStr"/>
      <c r="AC535" s="634" t="inlineStr">
        <is>
          <t>ЕАЭС N RU Д-RU.РА07.В.78433/22</t>
        </is>
      </c>
      <c r="AG535" s="78" t="n"/>
      <c r="AJ535" s="84" t="inlineStr"/>
      <c r="AK535" s="84" t="n">
        <v>0</v>
      </c>
      <c r="BB535" s="635" t="inlineStr">
        <is>
          <t>КИ</t>
        </is>
      </c>
      <c r="BM535" s="78">
        <f>IFERROR(X535*I535/H535,"0")</f>
        <v/>
      </c>
      <c r="BN535" s="78">
        <f>IFERROR(Y535*I535/H535,"0")</f>
        <v/>
      </c>
      <c r="BO535" s="78">
        <f>IFERROR(1/J535*(X535/H535),"0")</f>
        <v/>
      </c>
      <c r="BP535" s="78">
        <f>IFERROR(1/J535*(Y535/H535),"0")</f>
        <v/>
      </c>
    </row>
    <row r="536" ht="27" customHeight="1">
      <c r="A536" s="63" t="inlineStr">
        <is>
          <t>SU002631</t>
        </is>
      </c>
      <c r="B536" s="63" t="inlineStr">
        <is>
          <t>P004048</t>
        </is>
      </c>
      <c r="C536" s="36" t="n">
        <v>4301011784</v>
      </c>
      <c r="D536" s="832" t="n">
        <v>4607091389982</v>
      </c>
      <c r="E536" s="1193" t="n"/>
      <c r="F536" s="1232" t="n">
        <v>0.6</v>
      </c>
      <c r="G536" s="37" t="n">
        <v>6</v>
      </c>
      <c r="H536" s="1232" t="n">
        <v>3.6</v>
      </c>
      <c r="I536" s="1232" t="n">
        <v>3.81</v>
      </c>
      <c r="J536" s="37" t="n">
        <v>132</v>
      </c>
      <c r="K536" s="37" t="inlineStr">
        <is>
          <t>12</t>
        </is>
      </c>
      <c r="L536" s="37" t="inlineStr"/>
      <c r="M536" s="38" t="inlineStr">
        <is>
          <t>СК1</t>
        </is>
      </c>
      <c r="N536" s="38" t="n"/>
      <c r="O536" s="37" t="n">
        <v>60</v>
      </c>
      <c r="P536" s="151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36" s="1234" t="n"/>
      <c r="R536" s="1234" t="n"/>
      <c r="S536" s="1234" t="n"/>
      <c r="T536" s="1235" t="n"/>
      <c r="U536" s="39" t="inlineStr"/>
      <c r="V536" s="39" t="inlineStr"/>
      <c r="W536" s="40" t="inlineStr">
        <is>
          <t>кг</t>
        </is>
      </c>
      <c r="X536" s="1236" t="n">
        <v>180</v>
      </c>
      <c r="Y536" s="1237">
        <f>IFERROR(IF(X536="",0,CEILING((X536/$H536),1)*$H536),"")</f>
        <v/>
      </c>
      <c r="Z536" s="41">
        <f>IFERROR(IF(Y536=0,"",ROUNDUP(Y536/H536,0)*0.00902),"")</f>
        <v/>
      </c>
      <c r="AA536" s="68" t="inlineStr"/>
      <c r="AB536" s="69" t="inlineStr"/>
      <c r="AC536" s="636" t="inlineStr">
        <is>
          <t>ЕАЭС N RU Д-RU.РА07.В.78433/22</t>
        </is>
      </c>
      <c r="AG536" s="78" t="n"/>
      <c r="AJ536" s="84" t="inlineStr"/>
      <c r="AK536" s="84" t="n">
        <v>0</v>
      </c>
      <c r="BB536" s="637" t="inlineStr">
        <is>
          <t>КИ</t>
        </is>
      </c>
      <c r="BM536" s="78">
        <f>IFERROR(X536*I536/H536,"0")</f>
        <v/>
      </c>
      <c r="BN536" s="78">
        <f>IFERROR(Y536*I536/H536,"0")</f>
        <v/>
      </c>
      <c r="BO536" s="78">
        <f>IFERROR(1/J536*(X536/H536),"0")</f>
        <v/>
      </c>
      <c r="BP536" s="78">
        <f>IFERROR(1/J536*(Y536/H536),"0")</f>
        <v/>
      </c>
    </row>
    <row r="537" ht="27" customHeight="1">
      <c r="A537" s="63" t="inlineStr">
        <is>
          <t>SU003812</t>
        </is>
      </c>
      <c r="B537" s="63" t="inlineStr">
        <is>
          <t>P004853</t>
        </is>
      </c>
      <c r="C537" s="36" t="n">
        <v>4301012057</v>
      </c>
      <c r="D537" s="832" t="n">
        <v>4680115886483</v>
      </c>
      <c r="E537" s="1193" t="n"/>
      <c r="F537" s="1232" t="n">
        <v>0.55</v>
      </c>
      <c r="G537" s="37" t="n">
        <v>8</v>
      </c>
      <c r="H537" s="1232" t="n">
        <v>4.4</v>
      </c>
      <c r="I537" s="1232" t="n">
        <v>4.61</v>
      </c>
      <c r="J537" s="37" t="n">
        <v>132</v>
      </c>
      <c r="K537" s="37" t="inlineStr">
        <is>
          <t>12</t>
        </is>
      </c>
      <c r="L537" s="37" t="inlineStr"/>
      <c r="M537" s="38" t="inlineStr">
        <is>
          <t>СК1</t>
        </is>
      </c>
      <c r="N537" s="38" t="n"/>
      <c r="O537" s="37" t="n">
        <v>60</v>
      </c>
      <c r="P537" s="1517" t="inlineStr">
        <is>
          <t>Вареные колбасы «Молочная» ГОСТ 23670-2019 Фикс.вес 0,55 п/а ТМ «Стародворье»</t>
        </is>
      </c>
      <c r="Q537" s="1234" t="n"/>
      <c r="R537" s="1234" t="n"/>
      <c r="S537" s="1234" t="n"/>
      <c r="T537" s="1235" t="n"/>
      <c r="U537" s="39" t="inlineStr"/>
      <c r="V537" s="39" t="inlineStr"/>
      <c r="W537" s="40" t="inlineStr">
        <is>
          <t>кг</t>
        </is>
      </c>
      <c r="X537" s="1236" t="n">
        <v>0</v>
      </c>
      <c r="Y537" s="1237">
        <f>IFERROR(IF(X537="",0,CEILING((X537/$H537),1)*$H537),"")</f>
        <v/>
      </c>
      <c r="Z537" s="41">
        <f>IFERROR(IF(Y537=0,"",ROUNDUP(Y537/H537,0)*0.00902),"")</f>
        <v/>
      </c>
      <c r="AA537" s="68" t="inlineStr"/>
      <c r="AB537" s="69" t="inlineStr"/>
      <c r="AC537" s="638" t="inlineStr">
        <is>
          <t>ЕАЭС N RU Д-RU.РА10.В.33801/23</t>
        </is>
      </c>
      <c r="AG537" s="78" t="n"/>
      <c r="AJ537" s="84" t="inlineStr"/>
      <c r="AK537" s="84" t="n">
        <v>0</v>
      </c>
      <c r="BB537" s="639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 ht="27" customHeight="1">
      <c r="A538" s="63" t="inlineStr">
        <is>
          <t>SU003813</t>
        </is>
      </c>
      <c r="B538" s="63" t="inlineStr">
        <is>
          <t>P004854</t>
        </is>
      </c>
      <c r="C538" s="36" t="n">
        <v>4301012058</v>
      </c>
      <c r="D538" s="832" t="n">
        <v>4680115886490</v>
      </c>
      <c r="E538" s="1193" t="n"/>
      <c r="F538" s="1232" t="n">
        <v>0.55</v>
      </c>
      <c r="G538" s="37" t="n">
        <v>8</v>
      </c>
      <c r="H538" s="1232" t="n">
        <v>4.4</v>
      </c>
      <c r="I538" s="1232" t="n">
        <v>4.61</v>
      </c>
      <c r="J538" s="37" t="n">
        <v>132</v>
      </c>
      <c r="K538" s="37" t="inlineStr">
        <is>
          <t>12</t>
        </is>
      </c>
      <c r="L538" s="37" t="inlineStr"/>
      <c r="M538" s="38" t="inlineStr">
        <is>
          <t>СК1</t>
        </is>
      </c>
      <c r="N538" s="38" t="n"/>
      <c r="O538" s="37" t="n">
        <v>60</v>
      </c>
      <c r="P538" s="1518" t="inlineStr">
        <is>
          <t>Вареные колбасы «Русская» ГОСТ 23670-2019 Фикс.вес 0,55 п/а ТМ «Стародворье»</t>
        </is>
      </c>
      <c r="Q538" s="1234" t="n"/>
      <c r="R538" s="1234" t="n"/>
      <c r="S538" s="1234" t="n"/>
      <c r="T538" s="1235" t="n"/>
      <c r="U538" s="39" t="inlineStr"/>
      <c r="V538" s="39" t="inlineStr"/>
      <c r="W538" s="40" t="inlineStr">
        <is>
          <t>кг</t>
        </is>
      </c>
      <c r="X538" s="1236" t="n">
        <v>0</v>
      </c>
      <c r="Y538" s="1237">
        <f>IFERROR(IF(X538="",0,CEILING((X538/$H538),1)*$H538),"")</f>
        <v/>
      </c>
      <c r="Z538" s="41">
        <f>IFERROR(IF(Y538=0,"",ROUNDUP(Y538/H538,0)*0.00902),"")</f>
        <v/>
      </c>
      <c r="AA538" s="68" t="inlineStr"/>
      <c r="AB538" s="69" t="inlineStr"/>
      <c r="AC538" s="640" t="inlineStr">
        <is>
          <t>ЕАЭС N RU Д-RU.РА10.В.31672/23</t>
        </is>
      </c>
      <c r="AG538" s="78" t="n"/>
      <c r="AJ538" s="84" t="inlineStr"/>
      <c r="AK538" s="84" t="n">
        <v>0</v>
      </c>
      <c r="BB538" s="641" t="inlineStr">
        <is>
          <t>КИ</t>
        </is>
      </c>
      <c r="BM538" s="78">
        <f>IFERROR(X538*I538/H538,"0")</f>
        <v/>
      </c>
      <c r="BN538" s="78">
        <f>IFERROR(Y538*I538/H538,"0")</f>
        <v/>
      </c>
      <c r="BO538" s="78">
        <f>IFERROR(1/J538*(X538/H538),"0")</f>
        <v/>
      </c>
      <c r="BP538" s="78">
        <f>IFERROR(1/J538*(Y538/H538),"0")</f>
        <v/>
      </c>
    </row>
    <row r="539" ht="27" customHeight="1">
      <c r="A539" s="63" t="inlineStr">
        <is>
          <t>SU003810</t>
        </is>
      </c>
      <c r="B539" s="63" t="inlineStr">
        <is>
          <t>P004851</t>
        </is>
      </c>
      <c r="C539" s="36" t="n">
        <v>4301012055</v>
      </c>
      <c r="D539" s="832" t="n">
        <v>4680115886469</v>
      </c>
      <c r="E539" s="1193" t="n"/>
      <c r="F539" s="1232" t="n">
        <v>0.55</v>
      </c>
      <c r="G539" s="37" t="n">
        <v>8</v>
      </c>
      <c r="H539" s="1232" t="n">
        <v>4.4</v>
      </c>
      <c r="I539" s="1232" t="n">
        <v>4.61</v>
      </c>
      <c r="J539" s="37" t="n">
        <v>132</v>
      </c>
      <c r="K539" s="37" t="inlineStr">
        <is>
          <t>12</t>
        </is>
      </c>
      <c r="L539" s="37" t="inlineStr"/>
      <c r="M539" s="38" t="inlineStr">
        <is>
          <t>СК1</t>
        </is>
      </c>
      <c r="N539" s="38" t="n"/>
      <c r="O539" s="37" t="n">
        <v>60</v>
      </c>
      <c r="P539" s="1519" t="inlineStr">
        <is>
          <t>Вареные колбасы «Дугушка Стародворская» Фикс.вес 0,55 п/а ТМ «Стародворье»</t>
        </is>
      </c>
      <c r="Q539" s="1234" t="n"/>
      <c r="R539" s="1234" t="n"/>
      <c r="S539" s="1234" t="n"/>
      <c r="T539" s="1235" t="n"/>
      <c r="U539" s="39" t="inlineStr"/>
      <c r="V539" s="39" t="inlineStr"/>
      <c r="W539" s="40" t="inlineStr">
        <is>
          <t>кг</t>
        </is>
      </c>
      <c r="X539" s="1236" t="n">
        <v>0</v>
      </c>
      <c r="Y539" s="1237">
        <f>IFERROR(IF(X539="",0,CEILING((X539/$H539),1)*$H539),"")</f>
        <v/>
      </c>
      <c r="Z539" s="41">
        <f>IFERROR(IF(Y539=0,"",ROUNDUP(Y539/H539,0)*0.00902),"")</f>
        <v/>
      </c>
      <c r="AA539" s="68" t="inlineStr"/>
      <c r="AB539" s="69" t="inlineStr"/>
      <c r="AC539" s="642" t="inlineStr">
        <is>
          <t>ЕАЭС N RU Д-RU.РА03.В.56116/24</t>
        </is>
      </c>
      <c r="AG539" s="78" t="n"/>
      <c r="AJ539" s="84" t="inlineStr"/>
      <c r="AK539" s="84" t="n">
        <v>0</v>
      </c>
      <c r="BB539" s="643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>
      <c r="A540" s="843" t="n"/>
      <c r="B540" s="1182" t="n"/>
      <c r="C540" s="1182" t="n"/>
      <c r="D540" s="1182" t="n"/>
      <c r="E540" s="1182" t="n"/>
      <c r="F540" s="1182" t="n"/>
      <c r="G540" s="1182" t="n"/>
      <c r="H540" s="1182" t="n"/>
      <c r="I540" s="1182" t="n"/>
      <c r="J540" s="1182" t="n"/>
      <c r="K540" s="1182" t="n"/>
      <c r="L540" s="1182" t="n"/>
      <c r="M540" s="1182" t="n"/>
      <c r="N540" s="1182" t="n"/>
      <c r="O540" s="1241" t="n"/>
      <c r="P540" s="1242" t="inlineStr">
        <is>
          <t>Итого</t>
        </is>
      </c>
      <c r="Q540" s="1201" t="n"/>
      <c r="R540" s="1201" t="n"/>
      <c r="S540" s="1201" t="n"/>
      <c r="T540" s="1201" t="n"/>
      <c r="U540" s="1201" t="n"/>
      <c r="V540" s="1202" t="n"/>
      <c r="W540" s="42" t="inlineStr">
        <is>
          <t>кор</t>
        </is>
      </c>
      <c r="X540" s="124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/>
      </c>
      <c r="Y540" s="124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/>
      </c>
      <c r="Z540" s="124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/>
      </c>
      <c r="AA540" s="1244" t="n"/>
      <c r="AB540" s="1244" t="n"/>
      <c r="AC540" s="1244" t="n"/>
    </row>
    <row r="541">
      <c r="A541" s="1182" t="n"/>
      <c r="B541" s="1182" t="n"/>
      <c r="C541" s="1182" t="n"/>
      <c r="D541" s="1182" t="n"/>
      <c r="E541" s="1182" t="n"/>
      <c r="F541" s="1182" t="n"/>
      <c r="G541" s="1182" t="n"/>
      <c r="H541" s="1182" t="n"/>
      <c r="I541" s="1182" t="n"/>
      <c r="J541" s="1182" t="n"/>
      <c r="K541" s="1182" t="n"/>
      <c r="L541" s="1182" t="n"/>
      <c r="M541" s="1182" t="n"/>
      <c r="N541" s="1182" t="n"/>
      <c r="O541" s="1241" t="n"/>
      <c r="P541" s="1242" t="inlineStr">
        <is>
          <t>Итого</t>
        </is>
      </c>
      <c r="Q541" s="1201" t="n"/>
      <c r="R541" s="1201" t="n"/>
      <c r="S541" s="1201" t="n"/>
      <c r="T541" s="1201" t="n"/>
      <c r="U541" s="1201" t="n"/>
      <c r="V541" s="1202" t="n"/>
      <c r="W541" s="42" t="inlineStr">
        <is>
          <t>кг</t>
        </is>
      </c>
      <c r="X541" s="1243">
        <f>IFERROR(SUM(X524:X539),"0")</f>
        <v/>
      </c>
      <c r="Y541" s="1243">
        <f>IFERROR(SUM(Y524:Y539),"0")</f>
        <v/>
      </c>
      <c r="Z541" s="42" t="n"/>
      <c r="AA541" s="1244" t="n"/>
      <c r="AB541" s="1244" t="n"/>
      <c r="AC541" s="1244" t="n"/>
    </row>
    <row r="542" ht="14.25" customHeight="1">
      <c r="A542" s="831" t="inlineStr">
        <is>
          <t>Ветчины</t>
        </is>
      </c>
      <c r="B542" s="1182" t="n"/>
      <c r="C542" s="1182" t="n"/>
      <c r="D542" s="1182" t="n"/>
      <c r="E542" s="1182" t="n"/>
      <c r="F542" s="1182" t="n"/>
      <c r="G542" s="1182" t="n"/>
      <c r="H542" s="1182" t="n"/>
      <c r="I542" s="1182" t="n"/>
      <c r="J542" s="1182" t="n"/>
      <c r="K542" s="1182" t="n"/>
      <c r="L542" s="1182" t="n"/>
      <c r="M542" s="1182" t="n"/>
      <c r="N542" s="1182" t="n"/>
      <c r="O542" s="1182" t="n"/>
      <c r="P542" s="1182" t="n"/>
      <c r="Q542" s="1182" t="n"/>
      <c r="R542" s="1182" t="n"/>
      <c r="S542" s="1182" t="n"/>
      <c r="T542" s="1182" t="n"/>
      <c r="U542" s="1182" t="n"/>
      <c r="V542" s="1182" t="n"/>
      <c r="W542" s="1182" t="n"/>
      <c r="X542" s="1182" t="n"/>
      <c r="Y542" s="1182" t="n"/>
      <c r="Z542" s="1182" t="n"/>
      <c r="AA542" s="831" t="n"/>
      <c r="AB542" s="831" t="n"/>
      <c r="AC542" s="831" t="n"/>
    </row>
    <row r="543" ht="16.5" customHeight="1">
      <c r="A543" s="63" t="inlineStr">
        <is>
          <t>SU003742</t>
        </is>
      </c>
      <c r="B543" s="63" t="inlineStr">
        <is>
          <t>P004757</t>
        </is>
      </c>
      <c r="C543" s="36" t="n">
        <v>4301020384</v>
      </c>
      <c r="D543" s="832" t="n">
        <v>4680115886407</v>
      </c>
      <c r="E543" s="1193" t="n"/>
      <c r="F543" s="1232" t="n">
        <v>0.4</v>
      </c>
      <c r="G543" s="37" t="n">
        <v>6</v>
      </c>
      <c r="H543" s="1232" t="n">
        <v>2.4</v>
      </c>
      <c r="I543" s="1232" t="n">
        <v>2.58</v>
      </c>
      <c r="J543" s="37" t="n">
        <v>182</v>
      </c>
      <c r="K543" s="37" t="inlineStr">
        <is>
          <t>14</t>
        </is>
      </c>
      <c r="L543" s="37" t="inlineStr"/>
      <c r="M543" s="38" t="inlineStr">
        <is>
          <t>СК3</t>
        </is>
      </c>
      <c r="N543" s="38" t="n"/>
      <c r="O543" s="37" t="n">
        <v>70</v>
      </c>
      <c r="P543" s="1520" t="inlineStr">
        <is>
          <t>Ветчины «Дугушка» Фикс.вес 0,4 полиамид ТМ «Стародворье»</t>
        </is>
      </c>
      <c r="Q543" s="1234" t="n"/>
      <c r="R543" s="1234" t="n"/>
      <c r="S543" s="1234" t="n"/>
      <c r="T543" s="1235" t="n"/>
      <c r="U543" s="39" t="inlineStr"/>
      <c r="V543" s="39" t="inlineStr"/>
      <c r="W543" s="40" t="inlineStr">
        <is>
          <t>кг</t>
        </is>
      </c>
      <c r="X543" s="1236" t="n">
        <v>0</v>
      </c>
      <c r="Y543" s="1237">
        <f>IFERROR(IF(X543="",0,CEILING((X543/$H543),1)*$H543),"")</f>
        <v/>
      </c>
      <c r="Z543" s="41">
        <f>IFERROR(IF(Y543=0,"",ROUNDUP(Y543/H543,0)*0.00651),"")</f>
        <v/>
      </c>
      <c r="AA543" s="68" t="inlineStr"/>
      <c r="AB543" s="69" t="inlineStr">
        <is>
          <t>Новинка</t>
        </is>
      </c>
      <c r="AC543" s="644" t="inlineStr">
        <is>
          <t>ЕАЭС N RU Д-RU.РА04.В.71599/24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 ht="16.5" customHeight="1">
      <c r="A544" s="63" t="inlineStr">
        <is>
          <t>SU002035</t>
        </is>
      </c>
      <c r="B544" s="63" t="inlineStr">
        <is>
          <t>P003146</t>
        </is>
      </c>
      <c r="C544" s="36" t="n">
        <v>4301020222</v>
      </c>
      <c r="D544" s="832" t="n">
        <v>4607091388930</v>
      </c>
      <c r="E544" s="1193" t="n"/>
      <c r="F544" s="1232" t="n">
        <v>0.88</v>
      </c>
      <c r="G544" s="37" t="n">
        <v>6</v>
      </c>
      <c r="H544" s="1232" t="n">
        <v>5.28</v>
      </c>
      <c r="I544" s="1232" t="n">
        <v>5.64</v>
      </c>
      <c r="J544" s="37" t="n">
        <v>104</v>
      </c>
      <c r="K544" s="37" t="inlineStr">
        <is>
          <t>8</t>
        </is>
      </c>
      <c r="L544" s="37" t="inlineStr"/>
      <c r="M544" s="38" t="inlineStr">
        <is>
          <t>СК1</t>
        </is>
      </c>
      <c r="N544" s="38" t="n"/>
      <c r="O544" s="37" t="n">
        <v>55</v>
      </c>
      <c r="P544" s="1521">
        <f>HYPERLINK("https://abi.ru/products/Охлажденные/Дугушка/Дугушка/Ветчины/P003146/","Ветчины Дугушка Дугушка Вес б/о Дугушка")</f>
        <v/>
      </c>
      <c r="Q544" s="1234" t="n"/>
      <c r="R544" s="1234" t="n"/>
      <c r="S544" s="1234" t="n"/>
      <c r="T544" s="1235" t="n"/>
      <c r="U544" s="39" t="inlineStr"/>
      <c r="V544" s="39" t="inlineStr"/>
      <c r="W544" s="40" t="inlineStr">
        <is>
          <t>кг</t>
        </is>
      </c>
      <c r="X544" s="1236" t="n">
        <v>100</v>
      </c>
      <c r="Y544" s="1237">
        <f>IFERROR(IF(X544="",0,CEILING((X544/$H544),1)*$H544),"")</f>
        <v/>
      </c>
      <c r="Z544" s="41">
        <f>IFERROR(IF(Y544=0,"",ROUNDUP(Y544/H544,0)*0.01196),"")</f>
        <v/>
      </c>
      <c r="AA544" s="68" t="inlineStr"/>
      <c r="AB544" s="69" t="inlineStr"/>
      <c r="AC544" s="646" t="inlineStr">
        <is>
          <t>ЕАЭС N RU Д-RU.РА08.В.10027/22</t>
        </is>
      </c>
      <c r="AG544" s="78" t="n"/>
      <c r="AJ544" s="84" t="inlineStr"/>
      <c r="AK544" s="84" t="n">
        <v>0</v>
      </c>
      <c r="BB544" s="647" t="inlineStr">
        <is>
          <t>КИ</t>
        </is>
      </c>
      <c r="BM544" s="78">
        <f>IFERROR(X544*I544/H544,"0")</f>
        <v/>
      </c>
      <c r="BN544" s="78">
        <f>IFERROR(Y544*I544/H544,"0")</f>
        <v/>
      </c>
      <c r="BO544" s="78">
        <f>IFERROR(1/J544*(X544/H544),"0")</f>
        <v/>
      </c>
      <c r="BP544" s="78">
        <f>IFERROR(1/J544*(Y544/H544),"0")</f>
        <v/>
      </c>
    </row>
    <row r="545" ht="16.5" customHeight="1">
      <c r="A545" s="63" t="inlineStr">
        <is>
          <t>SU002035</t>
        </is>
      </c>
      <c r="B545" s="63" t="inlineStr">
        <is>
          <t>P004460</t>
        </is>
      </c>
      <c r="C545" s="36" t="n">
        <v>4301020334</v>
      </c>
      <c r="D545" s="832" t="n">
        <v>4607091388930</v>
      </c>
      <c r="E545" s="1193" t="n"/>
      <c r="F545" s="1232" t="n">
        <v>0.88</v>
      </c>
      <c r="G545" s="37" t="n">
        <v>6</v>
      </c>
      <c r="H545" s="1232" t="n">
        <v>5.28</v>
      </c>
      <c r="I545" s="1232" t="n">
        <v>5.64</v>
      </c>
      <c r="J545" s="37" t="n">
        <v>104</v>
      </c>
      <c r="K545" s="37" t="inlineStr">
        <is>
          <t>8</t>
        </is>
      </c>
      <c r="L545" s="37" t="inlineStr"/>
      <c r="M545" s="38" t="inlineStr">
        <is>
          <t>СК3</t>
        </is>
      </c>
      <c r="N545" s="38" t="n"/>
      <c r="O545" s="37" t="n">
        <v>70</v>
      </c>
      <c r="P545" s="1522" t="inlineStr">
        <is>
          <t>Ветчины Дугушка Дугушка Вес б/о Дугушка</t>
        </is>
      </c>
      <c r="Q545" s="1234" t="n"/>
      <c r="R545" s="1234" t="n"/>
      <c r="S545" s="1234" t="n"/>
      <c r="T545" s="1235" t="n"/>
      <c r="U545" s="39" t="inlineStr"/>
      <c r="V545" s="39" t="inlineStr"/>
      <c r="W545" s="40" t="inlineStr">
        <is>
          <t>кг</t>
        </is>
      </c>
      <c r="X545" s="1236" t="n">
        <v>0</v>
      </c>
      <c r="Y545" s="1237">
        <f>IFERROR(IF(X545="",0,CEILING((X545/$H545),1)*$H545),"")</f>
        <v/>
      </c>
      <c r="Z545" s="41">
        <f>IFERROR(IF(Y545=0,"",ROUNDUP(Y545/H545,0)*0.01196),"")</f>
        <v/>
      </c>
      <c r="AA545" s="68" t="inlineStr"/>
      <c r="AB545" s="69" t="inlineStr"/>
      <c r="AC545" s="648" t="inlineStr">
        <is>
          <t>ЕАЭС N RU Д-RU.РА04.В.71599/24</t>
        </is>
      </c>
      <c r="AG545" s="78" t="n"/>
      <c r="AJ545" s="84" t="inlineStr"/>
      <c r="AK545" s="84" t="n">
        <v>0</v>
      </c>
      <c r="BB545" s="649" t="inlineStr">
        <is>
          <t>КИ</t>
        </is>
      </c>
      <c r="BM545" s="78">
        <f>IFERROR(X545*I545/H545,"0")</f>
        <v/>
      </c>
      <c r="BN545" s="78">
        <f>IFERROR(Y545*I545/H545,"0")</f>
        <v/>
      </c>
      <c r="BO545" s="78">
        <f>IFERROR(1/J545*(X545/H545),"0")</f>
        <v/>
      </c>
      <c r="BP545" s="78">
        <f>IFERROR(1/J545*(Y545/H545),"0")</f>
        <v/>
      </c>
    </row>
    <row r="546" ht="16.5" customHeight="1">
      <c r="A546" s="63" t="inlineStr">
        <is>
          <t>SU002643</t>
        </is>
      </c>
      <c r="B546" s="63" t="inlineStr">
        <is>
          <t>P004923</t>
        </is>
      </c>
      <c r="C546" s="36" t="n">
        <v>4301020385</v>
      </c>
      <c r="D546" s="832" t="n">
        <v>4680115880054</v>
      </c>
      <c r="E546" s="1193" t="n"/>
      <c r="F546" s="1232" t="n">
        <v>0.6</v>
      </c>
      <c r="G546" s="37" t="n">
        <v>8</v>
      </c>
      <c r="H546" s="1232" t="n">
        <v>4.8</v>
      </c>
      <c r="I546" s="1232" t="n">
        <v>6.93</v>
      </c>
      <c r="J546" s="37" t="n">
        <v>132</v>
      </c>
      <c r="K546" s="37" t="inlineStr">
        <is>
          <t>12</t>
        </is>
      </c>
      <c r="L546" s="37" t="inlineStr"/>
      <c r="M546" s="38" t="inlineStr">
        <is>
          <t>СК1</t>
        </is>
      </c>
      <c r="N546" s="38" t="n"/>
      <c r="O546" s="37" t="n">
        <v>70</v>
      </c>
      <c r="P546" s="1523" t="inlineStr">
        <is>
          <t>Ветчины «Дугушка» Фикс.вес 0,6 полиамид ТМ «Дугушка»</t>
        </is>
      </c>
      <c r="Q546" s="1234" t="n"/>
      <c r="R546" s="1234" t="n"/>
      <c r="S546" s="1234" t="n"/>
      <c r="T546" s="1235" t="n"/>
      <c r="U546" s="39" t="inlineStr"/>
      <c r="V546" s="39" t="inlineStr"/>
      <c r="W546" s="40" t="inlineStr">
        <is>
          <t>кг</t>
        </is>
      </c>
      <c r="X546" s="1236" t="n">
        <v>0</v>
      </c>
      <c r="Y546" s="1237">
        <f>IFERROR(IF(X546="",0,CEILING((X546/$H546),1)*$H546),"")</f>
        <v/>
      </c>
      <c r="Z546" s="41">
        <f>IFERROR(IF(Y546=0,"",ROUNDUP(Y546/H546,0)*0.00902),"")</f>
        <v/>
      </c>
      <c r="AA546" s="68" t="inlineStr"/>
      <c r="AB546" s="69" t="inlineStr"/>
      <c r="AC546" s="650" t="inlineStr">
        <is>
          <t>ЕАЭС N RU Д-RU.РА04.В.71599/24</t>
        </is>
      </c>
      <c r="AG546" s="78" t="n"/>
      <c r="AJ546" s="84" t="inlineStr"/>
      <c r="AK546" s="84" t="n">
        <v>0</v>
      </c>
      <c r="BB546" s="651" t="inlineStr">
        <is>
          <t>КИ</t>
        </is>
      </c>
      <c r="BM546" s="78">
        <f>IFERROR(X546*I546/H546,"0")</f>
        <v/>
      </c>
      <c r="BN546" s="78">
        <f>IFERROR(Y546*I546/H546,"0")</f>
        <v/>
      </c>
      <c r="BO546" s="78">
        <f>IFERROR(1/J546*(X546/H546),"0")</f>
        <v/>
      </c>
      <c r="BP546" s="78">
        <f>IFERROR(1/J546*(Y546/H546),"0")</f>
        <v/>
      </c>
    </row>
    <row r="547">
      <c r="A547" s="843" t="n"/>
      <c r="B547" s="1182" t="n"/>
      <c r="C547" s="1182" t="n"/>
      <c r="D547" s="1182" t="n"/>
      <c r="E547" s="1182" t="n"/>
      <c r="F547" s="1182" t="n"/>
      <c r="G547" s="1182" t="n"/>
      <c r="H547" s="1182" t="n"/>
      <c r="I547" s="1182" t="n"/>
      <c r="J547" s="1182" t="n"/>
      <c r="K547" s="1182" t="n"/>
      <c r="L547" s="1182" t="n"/>
      <c r="M547" s="1182" t="n"/>
      <c r="N547" s="1182" t="n"/>
      <c r="O547" s="1241" t="n"/>
      <c r="P547" s="1242" t="inlineStr">
        <is>
          <t>Итого</t>
        </is>
      </c>
      <c r="Q547" s="1201" t="n"/>
      <c r="R547" s="1201" t="n"/>
      <c r="S547" s="1201" t="n"/>
      <c r="T547" s="1201" t="n"/>
      <c r="U547" s="1201" t="n"/>
      <c r="V547" s="1202" t="n"/>
      <c r="W547" s="42" t="inlineStr">
        <is>
          <t>кор</t>
        </is>
      </c>
      <c r="X547" s="1243">
        <f>IFERROR(X543/H543,"0")+IFERROR(X544/H544,"0")+IFERROR(X545/H545,"0")+IFERROR(X546/H546,"0")</f>
        <v/>
      </c>
      <c r="Y547" s="1243">
        <f>IFERROR(Y543/H543,"0")+IFERROR(Y544/H544,"0")+IFERROR(Y545/H545,"0")+IFERROR(Y546/H546,"0")</f>
        <v/>
      </c>
      <c r="Z547" s="1243">
        <f>IFERROR(IF(Z543="",0,Z543),"0")+IFERROR(IF(Z544="",0,Z544),"0")+IFERROR(IF(Z545="",0,Z545),"0")+IFERROR(IF(Z546="",0,Z546),"0")</f>
        <v/>
      </c>
      <c r="AA547" s="1244" t="n"/>
      <c r="AB547" s="1244" t="n"/>
      <c r="AC547" s="1244" t="n"/>
    </row>
    <row r="548">
      <c r="A548" s="1182" t="n"/>
      <c r="B548" s="1182" t="n"/>
      <c r="C548" s="1182" t="n"/>
      <c r="D548" s="1182" t="n"/>
      <c r="E548" s="1182" t="n"/>
      <c r="F548" s="1182" t="n"/>
      <c r="G548" s="1182" t="n"/>
      <c r="H548" s="1182" t="n"/>
      <c r="I548" s="1182" t="n"/>
      <c r="J548" s="1182" t="n"/>
      <c r="K548" s="1182" t="n"/>
      <c r="L548" s="1182" t="n"/>
      <c r="M548" s="1182" t="n"/>
      <c r="N548" s="1182" t="n"/>
      <c r="O548" s="1241" t="n"/>
      <c r="P548" s="1242" t="inlineStr">
        <is>
          <t>Итого</t>
        </is>
      </c>
      <c r="Q548" s="1201" t="n"/>
      <c r="R548" s="1201" t="n"/>
      <c r="S548" s="1201" t="n"/>
      <c r="T548" s="1201" t="n"/>
      <c r="U548" s="1201" t="n"/>
      <c r="V548" s="1202" t="n"/>
      <c r="W548" s="42" t="inlineStr">
        <is>
          <t>кг</t>
        </is>
      </c>
      <c r="X548" s="1243">
        <f>IFERROR(SUM(X543:X546),"0")</f>
        <v/>
      </c>
      <c r="Y548" s="1243">
        <f>IFERROR(SUM(Y543:Y546),"0")</f>
        <v/>
      </c>
      <c r="Z548" s="42" t="n"/>
      <c r="AA548" s="1244" t="n"/>
      <c r="AB548" s="1244" t="n"/>
      <c r="AC548" s="1244" t="n"/>
    </row>
    <row r="549" ht="14.25" customHeight="1">
      <c r="A549" s="831" t="inlineStr">
        <is>
          <t>Копченые колбасы</t>
        </is>
      </c>
      <c r="B549" s="1182" t="n"/>
      <c r="C549" s="1182" t="n"/>
      <c r="D549" s="1182" t="n"/>
      <c r="E549" s="1182" t="n"/>
      <c r="F549" s="1182" t="n"/>
      <c r="G549" s="1182" t="n"/>
      <c r="H549" s="1182" t="n"/>
      <c r="I549" s="1182" t="n"/>
      <c r="J549" s="1182" t="n"/>
      <c r="K549" s="1182" t="n"/>
      <c r="L549" s="1182" t="n"/>
      <c r="M549" s="1182" t="n"/>
      <c r="N549" s="1182" t="n"/>
      <c r="O549" s="1182" t="n"/>
      <c r="P549" s="1182" t="n"/>
      <c r="Q549" s="1182" t="n"/>
      <c r="R549" s="1182" t="n"/>
      <c r="S549" s="1182" t="n"/>
      <c r="T549" s="1182" t="n"/>
      <c r="U549" s="1182" t="n"/>
      <c r="V549" s="1182" t="n"/>
      <c r="W549" s="1182" t="n"/>
      <c r="X549" s="1182" t="n"/>
      <c r="Y549" s="1182" t="n"/>
      <c r="Z549" s="1182" t="n"/>
      <c r="AA549" s="831" t="n"/>
      <c r="AB549" s="831" t="n"/>
      <c r="AC549" s="831" t="n"/>
    </row>
    <row r="550" ht="27" customHeight="1">
      <c r="A550" s="63" t="inlineStr">
        <is>
          <t>SU003848</t>
        </is>
      </c>
      <c r="B550" s="63" t="inlineStr">
        <is>
          <t>P004918</t>
        </is>
      </c>
      <c r="C550" s="36" t="n">
        <v>4301031409</v>
      </c>
      <c r="D550" s="832" t="n">
        <v>4680115886438</v>
      </c>
      <c r="E550" s="1193" t="n"/>
      <c r="F550" s="1232" t="n">
        <v>0.4</v>
      </c>
      <c r="G550" s="37" t="n">
        <v>6</v>
      </c>
      <c r="H550" s="1232" t="n">
        <v>2.4</v>
      </c>
      <c r="I550" s="1232" t="n">
        <v>2.58</v>
      </c>
      <c r="J550" s="37" t="n">
        <v>182</v>
      </c>
      <c r="K550" s="37" t="inlineStr">
        <is>
          <t>14</t>
        </is>
      </c>
      <c r="L550" s="37" t="inlineStr"/>
      <c r="M550" s="38" t="inlineStr">
        <is>
          <t>СК1</t>
        </is>
      </c>
      <c r="N550" s="38" t="n"/>
      <c r="O550" s="37" t="n">
        <v>70</v>
      </c>
      <c r="P550" s="1524" t="inlineStr">
        <is>
          <t>В/к колбасы «Рубленая запеченная» Фикс.вес 0,4 полиамид ТМ «Стародворье»</t>
        </is>
      </c>
      <c r="Q550" s="1234" t="n"/>
      <c r="R550" s="1234" t="n"/>
      <c r="S550" s="1234" t="n"/>
      <c r="T550" s="1235" t="n"/>
      <c r="U550" s="39" t="inlineStr"/>
      <c r="V550" s="39" t="inlineStr"/>
      <c r="W550" s="40" t="inlineStr">
        <is>
          <t>кг</t>
        </is>
      </c>
      <c r="X550" s="1236" t="n">
        <v>0</v>
      </c>
      <c r="Y550" s="1237">
        <f>IFERROR(IF(X550="",0,CEILING((X550/$H550),1)*$H550),"")</f>
        <v/>
      </c>
      <c r="Z550" s="41">
        <f>IFERROR(IF(Y550=0,"",ROUNDUP(Y550/H550,0)*0.00651),"")</f>
        <v/>
      </c>
      <c r="AA550" s="68" t="inlineStr"/>
      <c r="AB550" s="69" t="inlineStr">
        <is>
          <t>Новинка</t>
        </is>
      </c>
      <c r="AC550" s="652" t="inlineStr">
        <is>
          <t>ЕАЭС N RU Д-RU.РА04.В.72302/24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SU002150</t>
        </is>
      </c>
      <c r="B551" s="63" t="inlineStr">
        <is>
          <t>P004465</t>
        </is>
      </c>
      <c r="C551" s="36" t="n">
        <v>4301031349</v>
      </c>
      <c r="D551" s="832" t="n">
        <v>4680115883116</v>
      </c>
      <c r="E551" s="1193" t="n"/>
      <c r="F551" s="1232" t="n">
        <v>0.88</v>
      </c>
      <c r="G551" s="37" t="n">
        <v>6</v>
      </c>
      <c r="H551" s="1232" t="n">
        <v>5.28</v>
      </c>
      <c r="I551" s="1232" t="n">
        <v>5.64</v>
      </c>
      <c r="J551" s="37" t="n">
        <v>104</v>
      </c>
      <c r="K551" s="37" t="inlineStr">
        <is>
          <t>8</t>
        </is>
      </c>
      <c r="L551" s="37" t="inlineStr"/>
      <c r="M551" s="38" t="inlineStr">
        <is>
          <t>СК1</t>
        </is>
      </c>
      <c r="N551" s="38" t="n"/>
      <c r="O551" s="37" t="n">
        <v>70</v>
      </c>
      <c r="P551" s="1525" t="inlineStr">
        <is>
          <t>В/к колбасы «Рубленая Запеченная» Весовые Вектор ТМ «Дугушка»</t>
        </is>
      </c>
      <c r="Q551" s="1234" t="n"/>
      <c r="R551" s="1234" t="n"/>
      <c r="S551" s="1234" t="n"/>
      <c r="T551" s="1235" t="n"/>
      <c r="U551" s="39" t="inlineStr"/>
      <c r="V551" s="39" t="inlineStr"/>
      <c r="W551" s="40" t="inlineStr">
        <is>
          <t>кг</t>
        </is>
      </c>
      <c r="X551" s="1236" t="n">
        <v>20</v>
      </c>
      <c r="Y551" s="1237">
        <f>IFERROR(IF(X551="",0,CEILING((X551/$H551),1)*$H551),"")</f>
        <v/>
      </c>
      <c r="Z551" s="41">
        <f>IFERROR(IF(Y551=0,"",ROUNDUP(Y551/H551,0)*0.01196),"")</f>
        <v/>
      </c>
      <c r="AA551" s="68" t="inlineStr"/>
      <c r="AB551" s="69" t="inlineStr"/>
      <c r="AC551" s="654" t="inlineStr">
        <is>
          <t>ЕАЭС N RU Д-RU.РА04.В.72302/24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SU002158</t>
        </is>
      </c>
      <c r="B552" s="63" t="inlineStr">
        <is>
          <t>P004466</t>
        </is>
      </c>
      <c r="C552" s="36" t="n">
        <v>4301031350</v>
      </c>
      <c r="D552" s="832" t="n">
        <v>4680115883093</v>
      </c>
      <c r="E552" s="1193" t="n"/>
      <c r="F552" s="1232" t="n">
        <v>0.88</v>
      </c>
      <c r="G552" s="37" t="n">
        <v>6</v>
      </c>
      <c r="H552" s="1232" t="n">
        <v>5.28</v>
      </c>
      <c r="I552" s="1232" t="n">
        <v>5.64</v>
      </c>
      <c r="J552" s="37" t="n">
        <v>104</v>
      </c>
      <c r="K552" s="37" t="inlineStr">
        <is>
          <t>8</t>
        </is>
      </c>
      <c r="L552" s="37" t="inlineStr"/>
      <c r="M552" s="38" t="inlineStr">
        <is>
          <t>СК2</t>
        </is>
      </c>
      <c r="N552" s="38" t="n"/>
      <c r="O552" s="37" t="n">
        <v>70</v>
      </c>
      <c r="P552" s="1526" t="inlineStr">
        <is>
          <t>В/к колбасы «Салями Запеченая» Весовые ТМ «Дугушка»</t>
        </is>
      </c>
      <c r="Q552" s="1234" t="n"/>
      <c r="R552" s="1234" t="n"/>
      <c r="S552" s="1234" t="n"/>
      <c r="T552" s="1235" t="n"/>
      <c r="U552" s="39" t="inlineStr"/>
      <c r="V552" s="39" t="inlineStr"/>
      <c r="W552" s="40" t="inlineStr">
        <is>
          <t>кг</t>
        </is>
      </c>
      <c r="X552" s="1236" t="n">
        <v>30</v>
      </c>
      <c r="Y552" s="1237">
        <f>IFERROR(IF(X552="",0,CEILING((X552/$H552),1)*$H552),"")</f>
        <v/>
      </c>
      <c r="Z552" s="41">
        <f>IFERROR(IF(Y552=0,"",ROUNDUP(Y552/H552,0)*0.01196),"")</f>
        <v/>
      </c>
      <c r="AA552" s="68" t="inlineStr"/>
      <c r="AB552" s="69" t="inlineStr"/>
      <c r="AC552" s="656" t="inlineStr">
        <is>
          <t>ЕАЭС N RU Д-RU.РА04.В.71173/24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 ht="27" customHeight="1">
      <c r="A553" s="63" t="inlineStr">
        <is>
          <t>SU002151</t>
        </is>
      </c>
      <c r="B553" s="63" t="inlineStr">
        <is>
          <t>P004470</t>
        </is>
      </c>
      <c r="C553" s="36" t="n">
        <v>4301031353</v>
      </c>
      <c r="D553" s="832" t="n">
        <v>4680115883109</v>
      </c>
      <c r="E553" s="1193" t="n"/>
      <c r="F553" s="1232" t="n">
        <v>0.88</v>
      </c>
      <c r="G553" s="37" t="n">
        <v>6</v>
      </c>
      <c r="H553" s="1232" t="n">
        <v>5.28</v>
      </c>
      <c r="I553" s="1232" t="n">
        <v>5.64</v>
      </c>
      <c r="J553" s="37" t="n">
        <v>104</v>
      </c>
      <c r="K553" s="37" t="inlineStr">
        <is>
          <t>8</t>
        </is>
      </c>
      <c r="L553" s="37" t="inlineStr"/>
      <c r="M553" s="38" t="inlineStr">
        <is>
          <t>СК2</t>
        </is>
      </c>
      <c r="N553" s="38" t="n"/>
      <c r="O553" s="37" t="n">
        <v>70</v>
      </c>
      <c r="P553" s="1527" t="inlineStr">
        <is>
          <t>В/к колбасы «Сервелат Запеченный» Весовые Вектор ТМ «Дугушка»</t>
        </is>
      </c>
      <c r="Q553" s="1234" t="n"/>
      <c r="R553" s="1234" t="n"/>
      <c r="S553" s="1234" t="n"/>
      <c r="T553" s="1235" t="n"/>
      <c r="U553" s="39" t="inlineStr"/>
      <c r="V553" s="39" t="inlineStr"/>
      <c r="W553" s="40" t="inlineStr">
        <is>
          <t>кг</t>
        </is>
      </c>
      <c r="X553" s="1236" t="n">
        <v>80</v>
      </c>
      <c r="Y553" s="1237">
        <f>IFERROR(IF(X553="",0,CEILING((X553/$H553),1)*$H553),"")</f>
        <v/>
      </c>
      <c r="Z553" s="41">
        <f>IFERROR(IF(Y553=0,"",ROUNDUP(Y553/H553,0)*0.01196),"")</f>
        <v/>
      </c>
      <c r="AA553" s="68" t="inlineStr"/>
      <c r="AB553" s="69" t="inlineStr"/>
      <c r="AC553" s="658" t="inlineStr">
        <is>
          <t>ЕАЭС N RU Д-RU.РА04.В.71301/24</t>
        </is>
      </c>
      <c r="AG553" s="78" t="n"/>
      <c r="AJ553" s="84" t="inlineStr"/>
      <c r="AK553" s="84" t="n">
        <v>0</v>
      </c>
      <c r="BB553" s="659" t="inlineStr">
        <is>
          <t>КИ</t>
        </is>
      </c>
      <c r="BM553" s="78">
        <f>IFERROR(X553*I553/H553,"0")</f>
        <v/>
      </c>
      <c r="BN553" s="78">
        <f>IFERROR(Y553*I553/H553,"0")</f>
        <v/>
      </c>
      <c r="BO553" s="78">
        <f>IFERROR(1/J553*(X553/H553),"0")</f>
        <v/>
      </c>
      <c r="BP553" s="78">
        <f>IFERROR(1/J553*(Y553/H553),"0")</f>
        <v/>
      </c>
    </row>
    <row r="554" ht="27" customHeight="1">
      <c r="A554" s="63" t="inlineStr">
        <is>
          <t>SU002916</t>
        </is>
      </c>
      <c r="B554" s="63" t="inlineStr">
        <is>
          <t>P004468</t>
        </is>
      </c>
      <c r="C554" s="36" t="n">
        <v>4301031351</v>
      </c>
      <c r="D554" s="832" t="n">
        <v>4680115882072</v>
      </c>
      <c r="E554" s="1193" t="n"/>
      <c r="F554" s="1232" t="n">
        <v>0.6</v>
      </c>
      <c r="G554" s="37" t="n">
        <v>6</v>
      </c>
      <c r="H554" s="1232" t="n">
        <v>3.6</v>
      </c>
      <c r="I554" s="1232" t="n">
        <v>3.81</v>
      </c>
      <c r="J554" s="37" t="n">
        <v>132</v>
      </c>
      <c r="K554" s="37" t="inlineStr">
        <is>
          <t>12</t>
        </is>
      </c>
      <c r="L554" s="37" t="inlineStr"/>
      <c r="M554" s="38" t="inlineStr">
        <is>
          <t>СК1</t>
        </is>
      </c>
      <c r="N554" s="38" t="n"/>
      <c r="O554" s="37" t="n">
        <v>70</v>
      </c>
      <c r="P554" s="1528" t="inlineStr">
        <is>
          <t>В/к колбасы «Рубленая Запеченная» Фикс.вес 0,6 Вектор ТМ «Дугушка»</t>
        </is>
      </c>
      <c r="Q554" s="1234" t="n"/>
      <c r="R554" s="1234" t="n"/>
      <c r="S554" s="1234" t="n"/>
      <c r="T554" s="1235" t="n"/>
      <c r="U554" s="39" t="inlineStr"/>
      <c r="V554" s="39" t="inlineStr"/>
      <c r="W554" s="40" t="inlineStr">
        <is>
          <t>кг</t>
        </is>
      </c>
      <c r="X554" s="1236" t="n">
        <v>0</v>
      </c>
      <c r="Y554" s="1237">
        <f>IFERROR(IF(X554="",0,CEILING((X554/$H554),1)*$H554),"")</f>
        <v/>
      </c>
      <c r="Z554" s="41">
        <f>IFERROR(IF(Y554=0,"",ROUNDUP(Y554/H554,0)*0.00902),"")</f>
        <v/>
      </c>
      <c r="AA554" s="68" t="inlineStr"/>
      <c r="AB554" s="69" t="inlineStr"/>
      <c r="AC554" s="660" t="inlineStr">
        <is>
          <t>ЕАЭС N RU Д-RU.РА04.В.72302/24</t>
        </is>
      </c>
      <c r="AG554" s="78" t="n"/>
      <c r="AJ554" s="84" t="inlineStr"/>
      <c r="AK554" s="84" t="n">
        <v>0</v>
      </c>
      <c r="BB554" s="661" t="inlineStr">
        <is>
          <t>КИ</t>
        </is>
      </c>
      <c r="BM554" s="78">
        <f>IFERROR(X554*I554/H554,"0")</f>
        <v/>
      </c>
      <c r="BN554" s="78">
        <f>IFERROR(Y554*I554/H554,"0")</f>
        <v/>
      </c>
      <c r="BO554" s="78">
        <f>IFERROR(1/J554*(X554/H554),"0")</f>
        <v/>
      </c>
      <c r="BP554" s="78">
        <f>IFERROR(1/J554*(Y554/H554),"0")</f>
        <v/>
      </c>
    </row>
    <row r="555" ht="27" customHeight="1">
      <c r="A555" s="63" t="inlineStr">
        <is>
          <t>SU002916</t>
        </is>
      </c>
      <c r="B555" s="63" t="inlineStr">
        <is>
          <t>P004692</t>
        </is>
      </c>
      <c r="C555" s="36" t="n">
        <v>4301031383</v>
      </c>
      <c r="D555" s="832" t="n">
        <v>4680115882072</v>
      </c>
      <c r="E555" s="1193" t="n"/>
      <c r="F555" s="1232" t="n">
        <v>0.6</v>
      </c>
      <c r="G555" s="37" t="n">
        <v>8</v>
      </c>
      <c r="H555" s="1232" t="n">
        <v>4.8</v>
      </c>
      <c r="I555" s="1232" t="n">
        <v>6.96</v>
      </c>
      <c r="J555" s="37" t="n">
        <v>120</v>
      </c>
      <c r="K555" s="37" t="inlineStr">
        <is>
          <t>12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29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55" s="1234" t="n"/>
      <c r="R555" s="1234" t="n"/>
      <c r="S555" s="1234" t="n"/>
      <c r="T555" s="1235" t="n"/>
      <c r="U555" s="39" t="inlineStr"/>
      <c r="V555" s="39" t="inlineStr"/>
      <c r="W555" s="40" t="inlineStr">
        <is>
          <t>кг</t>
        </is>
      </c>
      <c r="X555" s="1236" t="n">
        <v>0</v>
      </c>
      <c r="Y555" s="1237">
        <f>IFERROR(IF(X555="",0,CEILING((X555/$H555),1)*$H555),"")</f>
        <v/>
      </c>
      <c r="Z555" s="41">
        <f>IFERROR(IF(Y555=0,"",ROUNDUP(Y555/H555,0)*0.00937),"")</f>
        <v/>
      </c>
      <c r="AA555" s="68" t="inlineStr"/>
      <c r="AB555" s="69" t="inlineStr"/>
      <c r="AC555" s="662" t="inlineStr">
        <is>
          <t>ЕАЭС N RU Д-RU.РА05.В.41862/23</t>
        </is>
      </c>
      <c r="AG555" s="78" t="n"/>
      <c r="AJ555" s="84" t="inlineStr"/>
      <c r="AK555" s="84" t="n">
        <v>0</v>
      </c>
      <c r="BB555" s="663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 ht="27" customHeight="1">
      <c r="A556" s="63" t="inlineStr">
        <is>
          <t>SU002916</t>
        </is>
      </c>
      <c r="B556" s="63" t="inlineStr">
        <is>
          <t>P004934</t>
        </is>
      </c>
      <c r="C556" s="36" t="n">
        <v>4301031419</v>
      </c>
      <c r="D556" s="832" t="n">
        <v>4680115882072</v>
      </c>
      <c r="E556" s="1193" t="n"/>
      <c r="F556" s="1232" t="n">
        <v>0.6</v>
      </c>
      <c r="G556" s="37" t="n">
        <v>8</v>
      </c>
      <c r="H556" s="1232" t="n">
        <v>4.8</v>
      </c>
      <c r="I556" s="1232" t="n">
        <v>6.93</v>
      </c>
      <c r="J556" s="37" t="n">
        <v>132</v>
      </c>
      <c r="K556" s="37" t="inlineStr">
        <is>
          <t>12</t>
        </is>
      </c>
      <c r="L556" s="37" t="inlineStr"/>
      <c r="M556" s="38" t="inlineStr">
        <is>
          <t>СК1</t>
        </is>
      </c>
      <c r="N556" s="38" t="n"/>
      <c r="O556" s="37" t="n">
        <v>70</v>
      </c>
      <c r="P556" s="1530" t="inlineStr">
        <is>
          <t>В/к колбасы «Рубленая Запеченная» Фикс.вес 0,6 вектор ТМ «Дугушка»</t>
        </is>
      </c>
      <c r="Q556" s="1234" t="n"/>
      <c r="R556" s="1234" t="n"/>
      <c r="S556" s="1234" t="n"/>
      <c r="T556" s="1235" t="n"/>
      <c r="U556" s="39" t="inlineStr"/>
      <c r="V556" s="39" t="inlineStr"/>
      <c r="W556" s="40" t="inlineStr">
        <is>
          <t>кг</t>
        </is>
      </c>
      <c r="X556" s="1236" t="n">
        <v>0</v>
      </c>
      <c r="Y556" s="1237">
        <f>IFERROR(IF(X556="",0,CEILING((X556/$H556),1)*$H556),"")</f>
        <v/>
      </c>
      <c r="Z556" s="41">
        <f>IFERROR(IF(Y556=0,"",ROUNDUP(Y556/H556,0)*0.00902),"")</f>
        <v/>
      </c>
      <c r="AA556" s="68" t="inlineStr"/>
      <c r="AB556" s="69" t="inlineStr"/>
      <c r="AC556" s="664" t="inlineStr">
        <is>
          <t>ЕАЭС N RU Д-RU.РА04.В.72302/24</t>
        </is>
      </c>
      <c r="AG556" s="78" t="n"/>
      <c r="AJ556" s="84" t="inlineStr"/>
      <c r="AK556" s="84" t="n">
        <v>0</v>
      </c>
      <c r="BB556" s="665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SU002919</t>
        </is>
      </c>
      <c r="B557" s="63" t="inlineStr">
        <is>
          <t>P003635</t>
        </is>
      </c>
      <c r="C557" s="36" t="n">
        <v>4301031251</v>
      </c>
      <c r="D557" s="832" t="n">
        <v>4680115882102</v>
      </c>
      <c r="E557" s="1193" t="n"/>
      <c r="F557" s="1232" t="n">
        <v>0.6</v>
      </c>
      <c r="G557" s="37" t="n">
        <v>6</v>
      </c>
      <c r="H557" s="1232" t="n">
        <v>3.6</v>
      </c>
      <c r="I557" s="1232" t="n">
        <v>3.81</v>
      </c>
      <c r="J557" s="37" t="n">
        <v>132</v>
      </c>
      <c r="K557" s="37" t="inlineStr">
        <is>
          <t>12</t>
        </is>
      </c>
      <c r="L557" s="37" t="inlineStr"/>
      <c r="M557" s="38" t="inlineStr">
        <is>
          <t>СК2</t>
        </is>
      </c>
      <c r="N557" s="38" t="n"/>
      <c r="O557" s="37" t="n">
        <v>60</v>
      </c>
      <c r="P557" s="153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57" s="1234" t="n"/>
      <c r="R557" s="1234" t="n"/>
      <c r="S557" s="1234" t="n"/>
      <c r="T557" s="1235" t="n"/>
      <c r="U557" s="39" t="inlineStr"/>
      <c r="V557" s="39" t="inlineStr"/>
      <c r="W557" s="40" t="inlineStr">
        <is>
          <t>кг</t>
        </is>
      </c>
      <c r="X557" s="1236" t="n">
        <v>0</v>
      </c>
      <c r="Y557" s="1237">
        <f>IFERROR(IF(X557="",0,CEILING((X557/$H557),1)*$H557),"")</f>
        <v/>
      </c>
      <c r="Z557" s="41">
        <f>IFERROR(IF(Y557=0,"",ROUNDUP(Y557/H557,0)*0.00902),"")</f>
        <v/>
      </c>
      <c r="AA557" s="68" t="inlineStr"/>
      <c r="AB557" s="69" t="inlineStr"/>
      <c r="AC557" s="666" t="inlineStr">
        <is>
          <t>ЕАЭС № RU Д-RU.РА01.В.04512/20</t>
        </is>
      </c>
      <c r="AG557" s="78" t="n"/>
      <c r="AJ557" s="84" t="inlineStr"/>
      <c r="AK557" s="84" t="n">
        <v>0</v>
      </c>
      <c r="BB557" s="667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SU002919</t>
        </is>
      </c>
      <c r="B558" s="63" t="inlineStr">
        <is>
          <t>P004930</t>
        </is>
      </c>
      <c r="C558" s="36" t="n">
        <v>4301031418</v>
      </c>
      <c r="D558" s="832" t="n">
        <v>4680115882102</v>
      </c>
      <c r="E558" s="1193" t="n"/>
      <c r="F558" s="1232" t="n">
        <v>0.6</v>
      </c>
      <c r="G558" s="37" t="n">
        <v>8</v>
      </c>
      <c r="H558" s="1232" t="n">
        <v>4.8</v>
      </c>
      <c r="I558" s="1232" t="n">
        <v>6.69</v>
      </c>
      <c r="J558" s="37" t="n">
        <v>132</v>
      </c>
      <c r="K558" s="37" t="inlineStr">
        <is>
          <t>12</t>
        </is>
      </c>
      <c r="L558" s="37" t="inlineStr"/>
      <c r="M558" s="38" t="inlineStr">
        <is>
          <t>СК2</t>
        </is>
      </c>
      <c r="N558" s="38" t="n"/>
      <c r="O558" s="37" t="n">
        <v>70</v>
      </c>
      <c r="P558" s="1532" t="inlineStr">
        <is>
          <t>Копченые колбасы «Салями Запеченая» Фикс.вес 0,6 вектор ТМ «Стародворье»</t>
        </is>
      </c>
      <c r="Q558" s="1234" t="n"/>
      <c r="R558" s="1234" t="n"/>
      <c r="S558" s="1234" t="n"/>
      <c r="T558" s="1235" t="n"/>
      <c r="U558" s="39" t="inlineStr"/>
      <c r="V558" s="39" t="inlineStr"/>
      <c r="W558" s="40" t="inlineStr">
        <is>
          <t>кг</t>
        </is>
      </c>
      <c r="X558" s="1236" t="n">
        <v>0</v>
      </c>
      <c r="Y558" s="1237">
        <f>IFERROR(IF(X558="",0,CEILING((X558/$H558),1)*$H558),"")</f>
        <v/>
      </c>
      <c r="Z558" s="41">
        <f>IFERROR(IF(Y558=0,"",ROUNDUP(Y558/H558,0)*0.00902),"")</f>
        <v/>
      </c>
      <c r="AA558" s="68" t="inlineStr"/>
      <c r="AB558" s="69" t="inlineStr"/>
      <c r="AC558" s="668" t="inlineStr">
        <is>
          <t>ЕАЭС N RU Д-RU.РА04.В.71173/24</t>
        </is>
      </c>
      <c r="AG558" s="78" t="n"/>
      <c r="AJ558" s="84" t="inlineStr"/>
      <c r="AK558" s="84" t="n">
        <v>0</v>
      </c>
      <c r="BB558" s="669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SU002918</t>
        </is>
      </c>
      <c r="B559" s="63" t="inlineStr">
        <is>
          <t>P004693</t>
        </is>
      </c>
      <c r="C559" s="36" t="n">
        <v>4301031384</v>
      </c>
      <c r="D559" s="832" t="n">
        <v>4680115882096</v>
      </c>
      <c r="E559" s="1193" t="n"/>
      <c r="F559" s="1232" t="n">
        <v>0.6</v>
      </c>
      <c r="G559" s="37" t="n">
        <v>8</v>
      </c>
      <c r="H559" s="1232" t="n">
        <v>4.8</v>
      </c>
      <c r="I559" s="1232" t="n">
        <v>6.69</v>
      </c>
      <c r="J559" s="37" t="n">
        <v>120</v>
      </c>
      <c r="K559" s="37" t="inlineStr">
        <is>
          <t>12</t>
        </is>
      </c>
      <c r="L559" s="37" t="inlineStr"/>
      <c r="M559" s="38" t="inlineStr">
        <is>
          <t>СК2</t>
        </is>
      </c>
      <c r="N559" s="38" t="n"/>
      <c r="O559" s="37" t="n">
        <v>60</v>
      </c>
      <c r="P559" s="1533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59" s="1234" t="n"/>
      <c r="R559" s="1234" t="n"/>
      <c r="S559" s="1234" t="n"/>
      <c r="T559" s="1235" t="n"/>
      <c r="U559" s="39" t="inlineStr"/>
      <c r="V559" s="39" t="inlineStr"/>
      <c r="W559" s="40" t="inlineStr">
        <is>
          <t>кг</t>
        </is>
      </c>
      <c r="X559" s="1236" t="n">
        <v>0</v>
      </c>
      <c r="Y559" s="1237">
        <f>IFERROR(IF(X559="",0,CEILING((X559/$H559),1)*$H559),"")</f>
        <v/>
      </c>
      <c r="Z559" s="41">
        <f>IFERROR(IF(Y559=0,"",ROUNDUP(Y559/H559,0)*0.00937),"")</f>
        <v/>
      </c>
      <c r="AA559" s="68" t="inlineStr"/>
      <c r="AB559" s="69" t="inlineStr"/>
      <c r="AC559" s="670" t="inlineStr">
        <is>
          <t>ЕАЭС N RU Д-RU.РА04.В.71301/24</t>
        </is>
      </c>
      <c r="AG559" s="78" t="n"/>
      <c r="AJ559" s="84" t="inlineStr"/>
      <c r="AK559" s="84" t="n">
        <v>0</v>
      </c>
      <c r="BB559" s="671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SU002918</t>
        </is>
      </c>
      <c r="B560" s="63" t="inlineStr">
        <is>
          <t>P003637</t>
        </is>
      </c>
      <c r="C560" s="36" t="n">
        <v>4301031253</v>
      </c>
      <c r="D560" s="832" t="n">
        <v>4680115882096</v>
      </c>
      <c r="E560" s="1193" t="n"/>
      <c r="F560" s="1232" t="n">
        <v>0.6</v>
      </c>
      <c r="G560" s="37" t="n">
        <v>6</v>
      </c>
      <c r="H560" s="1232" t="n">
        <v>3.6</v>
      </c>
      <c r="I560" s="1232" t="n">
        <v>3.81</v>
      </c>
      <c r="J560" s="37" t="n">
        <v>132</v>
      </c>
      <c r="K560" s="37" t="inlineStr">
        <is>
          <t>12</t>
        </is>
      </c>
      <c r="L560" s="37" t="inlineStr"/>
      <c r="M560" s="38" t="inlineStr">
        <is>
          <t>СК2</t>
        </is>
      </c>
      <c r="N560" s="38" t="n"/>
      <c r="O560" s="37" t="n">
        <v>60</v>
      </c>
      <c r="P560" s="153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60" s="1234" t="n"/>
      <c r="R560" s="1234" t="n"/>
      <c r="S560" s="1234" t="n"/>
      <c r="T560" s="1235" t="n"/>
      <c r="U560" s="39" t="inlineStr"/>
      <c r="V560" s="39" t="inlineStr"/>
      <c r="W560" s="40" t="inlineStr">
        <is>
          <t>кг</t>
        </is>
      </c>
      <c r="X560" s="1236" t="n">
        <v>78</v>
      </c>
      <c r="Y560" s="1237">
        <f>IFERROR(IF(X560="",0,CEILING((X560/$H560),1)*$H560),"")</f>
        <v/>
      </c>
      <c r="Z560" s="41">
        <f>IFERROR(IF(Y560=0,"",ROUNDUP(Y560/H560,0)*0.00902),"")</f>
        <v/>
      </c>
      <c r="AA560" s="68" t="inlineStr"/>
      <c r="AB560" s="69" t="inlineStr"/>
      <c r="AC560" s="672" t="inlineStr">
        <is>
          <t>ЕАЭС N RU Д-RU.РА01.В.81823/20</t>
        </is>
      </c>
      <c r="AG560" s="78" t="n"/>
      <c r="AJ560" s="84" t="inlineStr"/>
      <c r="AK560" s="84" t="n">
        <v>0</v>
      </c>
      <c r="BB560" s="673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SU002918</t>
        </is>
      </c>
      <c r="B561" s="63" t="inlineStr">
        <is>
          <t>P004929</t>
        </is>
      </c>
      <c r="C561" s="36" t="n">
        <v>4301031417</v>
      </c>
      <c r="D561" s="832" t="n">
        <v>4680115882096</v>
      </c>
      <c r="E561" s="1193" t="n"/>
      <c r="F561" s="1232" t="n">
        <v>0.6</v>
      </c>
      <c r="G561" s="37" t="n">
        <v>8</v>
      </c>
      <c r="H561" s="1232" t="n">
        <v>4.8</v>
      </c>
      <c r="I561" s="1232" t="n">
        <v>6.69</v>
      </c>
      <c r="J561" s="37" t="n">
        <v>132</v>
      </c>
      <c r="K561" s="37" t="inlineStr">
        <is>
          <t>12</t>
        </is>
      </c>
      <c r="L561" s="37" t="inlineStr"/>
      <c r="M561" s="38" t="inlineStr">
        <is>
          <t>СК2</t>
        </is>
      </c>
      <c r="N561" s="38" t="n"/>
      <c r="O561" s="37" t="n">
        <v>70</v>
      </c>
      <c r="P561" s="1535" t="inlineStr">
        <is>
          <t>В/к колбасы «Сервелат Запеченный» Фикс.вес 0,6 вектор ТМ «Стародворье»</t>
        </is>
      </c>
      <c r="Q561" s="1234" t="n"/>
      <c r="R561" s="1234" t="n"/>
      <c r="S561" s="1234" t="n"/>
      <c r="T561" s="1235" t="n"/>
      <c r="U561" s="39" t="inlineStr"/>
      <c r="V561" s="39" t="inlineStr"/>
      <c r="W561" s="40" t="inlineStr">
        <is>
          <t>кг</t>
        </is>
      </c>
      <c r="X561" s="1236" t="n">
        <v>0</v>
      </c>
      <c r="Y561" s="1237">
        <f>IFERROR(IF(X561="",0,CEILING((X561/$H561),1)*$H561),"")</f>
        <v/>
      </c>
      <c r="Z561" s="41">
        <f>IFERROR(IF(Y561=0,"",ROUNDUP(Y561/H561,0)*0.00902),"")</f>
        <v/>
      </c>
      <c r="AA561" s="68" t="inlineStr"/>
      <c r="AB561" s="69" t="inlineStr"/>
      <c r="AC561" s="674" t="inlineStr">
        <is>
          <t>ЕАЭС N RU Д-RU.РА04.В.71301/24</t>
        </is>
      </c>
      <c r="AG561" s="78" t="n"/>
      <c r="AJ561" s="84" t="inlineStr"/>
      <c r="AK561" s="84" t="n">
        <v>0</v>
      </c>
      <c r="BB561" s="675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843" t="n"/>
      <c r="B562" s="1182" t="n"/>
      <c r="C562" s="1182" t="n"/>
      <c r="D562" s="1182" t="n"/>
      <c r="E562" s="1182" t="n"/>
      <c r="F562" s="1182" t="n"/>
      <c r="G562" s="1182" t="n"/>
      <c r="H562" s="1182" t="n"/>
      <c r="I562" s="1182" t="n"/>
      <c r="J562" s="1182" t="n"/>
      <c r="K562" s="1182" t="n"/>
      <c r="L562" s="1182" t="n"/>
      <c r="M562" s="1182" t="n"/>
      <c r="N562" s="1182" t="n"/>
      <c r="O562" s="1241" t="n"/>
      <c r="P562" s="1242" t="inlineStr">
        <is>
          <t>Итого</t>
        </is>
      </c>
      <c r="Q562" s="1201" t="n"/>
      <c r="R562" s="1201" t="n"/>
      <c r="S562" s="1201" t="n"/>
      <c r="T562" s="1201" t="n"/>
      <c r="U562" s="1201" t="n"/>
      <c r="V562" s="1202" t="n"/>
      <c r="W562" s="42" t="inlineStr">
        <is>
          <t>кор</t>
        </is>
      </c>
      <c r="X562" s="124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4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4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44" t="n"/>
      <c r="AB562" s="1244" t="n"/>
      <c r="AC562" s="1244" t="n"/>
    </row>
    <row r="563">
      <c r="A563" s="1182" t="n"/>
      <c r="B563" s="1182" t="n"/>
      <c r="C563" s="1182" t="n"/>
      <c r="D563" s="1182" t="n"/>
      <c r="E563" s="1182" t="n"/>
      <c r="F563" s="1182" t="n"/>
      <c r="G563" s="1182" t="n"/>
      <c r="H563" s="1182" t="n"/>
      <c r="I563" s="1182" t="n"/>
      <c r="J563" s="1182" t="n"/>
      <c r="K563" s="1182" t="n"/>
      <c r="L563" s="1182" t="n"/>
      <c r="M563" s="1182" t="n"/>
      <c r="N563" s="1182" t="n"/>
      <c r="O563" s="1241" t="n"/>
      <c r="P563" s="1242" t="inlineStr">
        <is>
          <t>Итого</t>
        </is>
      </c>
      <c r="Q563" s="1201" t="n"/>
      <c r="R563" s="1201" t="n"/>
      <c r="S563" s="1201" t="n"/>
      <c r="T563" s="1201" t="n"/>
      <c r="U563" s="1201" t="n"/>
      <c r="V563" s="1202" t="n"/>
      <c r="W563" s="42" t="inlineStr">
        <is>
          <t>кг</t>
        </is>
      </c>
      <c r="X563" s="1243">
        <f>IFERROR(SUM(X550:X561),"0")</f>
        <v/>
      </c>
      <c r="Y563" s="1243">
        <f>IFERROR(SUM(Y550:Y561),"0")</f>
        <v/>
      </c>
      <c r="Z563" s="42" t="n"/>
      <c r="AA563" s="1244" t="n"/>
      <c r="AB563" s="1244" t="n"/>
      <c r="AC563" s="1244" t="n"/>
    </row>
    <row r="564" ht="14.25" customHeight="1">
      <c r="A564" s="831" t="inlineStr">
        <is>
          <t>Сосиски</t>
        </is>
      </c>
      <c r="B564" s="1182" t="n"/>
      <c r="C564" s="1182" t="n"/>
      <c r="D564" s="1182" t="n"/>
      <c r="E564" s="1182" t="n"/>
      <c r="F564" s="1182" t="n"/>
      <c r="G564" s="1182" t="n"/>
      <c r="H564" s="1182" t="n"/>
      <c r="I564" s="1182" t="n"/>
      <c r="J564" s="1182" t="n"/>
      <c r="K564" s="1182" t="n"/>
      <c r="L564" s="1182" t="n"/>
      <c r="M564" s="1182" t="n"/>
      <c r="N564" s="1182" t="n"/>
      <c r="O564" s="1182" t="n"/>
      <c r="P564" s="1182" t="n"/>
      <c r="Q564" s="1182" t="n"/>
      <c r="R564" s="1182" t="n"/>
      <c r="S564" s="1182" t="n"/>
      <c r="T564" s="1182" t="n"/>
      <c r="U564" s="1182" t="n"/>
      <c r="V564" s="1182" t="n"/>
      <c r="W564" s="1182" t="n"/>
      <c r="X564" s="1182" t="n"/>
      <c r="Y564" s="1182" t="n"/>
      <c r="Z564" s="1182" t="n"/>
      <c r="AA564" s="831" t="n"/>
      <c r="AB564" s="831" t="n"/>
      <c r="AC564" s="831" t="n"/>
    </row>
    <row r="565" ht="27" customHeight="1">
      <c r="A565" s="63" t="inlineStr">
        <is>
          <t>SU002218</t>
        </is>
      </c>
      <c r="B565" s="63" t="inlineStr">
        <is>
          <t>P002854</t>
        </is>
      </c>
      <c r="C565" s="36" t="n">
        <v>4301051230</v>
      </c>
      <c r="D565" s="832" t="n">
        <v>4607091383409</v>
      </c>
      <c r="E565" s="1193" t="n"/>
      <c r="F565" s="1232" t="n">
        <v>1.3</v>
      </c>
      <c r="G565" s="37" t="n">
        <v>6</v>
      </c>
      <c r="H565" s="1232" t="n">
        <v>7.8</v>
      </c>
      <c r="I565" s="1232" t="n">
        <v>8.301</v>
      </c>
      <c r="J565" s="37" t="n">
        <v>64</v>
      </c>
      <c r="K565" s="37" t="inlineStr">
        <is>
          <t>8</t>
        </is>
      </c>
      <c r="L565" s="37" t="inlineStr"/>
      <c r="M565" s="38" t="inlineStr">
        <is>
          <t>СК2</t>
        </is>
      </c>
      <c r="N565" s="38" t="n"/>
      <c r="O565" s="37" t="n">
        <v>45</v>
      </c>
      <c r="P565" s="1536">
        <f>HYPERLINK("https://abi.ru/products/Охлажденные/Дугушка/Дугушка/Сосиски/P002854/","Сосиски «Молочные Дугушки» Весовые П/а мгс ТМ «Дугушка»")</f>
        <v/>
      </c>
      <c r="Q565" s="1234" t="n"/>
      <c r="R565" s="1234" t="n"/>
      <c r="S565" s="1234" t="n"/>
      <c r="T565" s="1235" t="n"/>
      <c r="U565" s="39" t="inlineStr"/>
      <c r="V565" s="39" t="inlineStr"/>
      <c r="W565" s="40" t="inlineStr">
        <is>
          <t>кг</t>
        </is>
      </c>
      <c r="X565" s="1236" t="n">
        <v>0</v>
      </c>
      <c r="Y565" s="1237">
        <f>IFERROR(IF(X565="",0,CEILING((X565/$H565),1)*$H565),"")</f>
        <v/>
      </c>
      <c r="Z565" s="41">
        <f>IFERROR(IF(Y565=0,"",ROUNDUP(Y565/H565,0)*0.01898),"")</f>
        <v/>
      </c>
      <c r="AA565" s="68" t="inlineStr"/>
      <c r="AB565" s="69" t="inlineStr"/>
      <c r="AC565" s="676" t="inlineStr">
        <is>
          <t>ЕАЭС N RU Д-RU.РА11.В.11513/23, ЕАЭС № RU Д-RU.РА01.В.93894/20</t>
        </is>
      </c>
      <c r="AG565" s="78" t="n"/>
      <c r="AJ565" s="84" t="inlineStr"/>
      <c r="AK565" s="84" t="n">
        <v>0</v>
      </c>
      <c r="BB565" s="677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SU002219</t>
        </is>
      </c>
      <c r="B566" s="63" t="inlineStr">
        <is>
          <t>P002855</t>
        </is>
      </c>
      <c r="C566" s="36" t="n">
        <v>4301051231</v>
      </c>
      <c r="D566" s="832" t="n">
        <v>4607091383416</v>
      </c>
      <c r="E566" s="1193" t="n"/>
      <c r="F566" s="1232" t="n">
        <v>1.3</v>
      </c>
      <c r="G566" s="37" t="n">
        <v>6</v>
      </c>
      <c r="H566" s="1232" t="n">
        <v>7.8</v>
      </c>
      <c r="I566" s="1232" t="n">
        <v>8.301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СК2</t>
        </is>
      </c>
      <c r="N566" s="38" t="n"/>
      <c r="O566" s="37" t="n">
        <v>45</v>
      </c>
      <c r="P566" s="1537">
        <f>HYPERLINK("https://abi.ru/products/Охлажденные/Дугушка/Дугушка/Сосиски/P002855/","Сосиски «Сливочные Дугушки» Весовые П/а мгс ТМ «Дугушка»")</f>
        <v/>
      </c>
      <c r="Q566" s="1234" t="n"/>
      <c r="R566" s="1234" t="n"/>
      <c r="S566" s="1234" t="n"/>
      <c r="T566" s="1235" t="n"/>
      <c r="U566" s="39" t="inlineStr"/>
      <c r="V566" s="39" t="inlineStr"/>
      <c r="W566" s="40" t="inlineStr">
        <is>
          <t>кг</t>
        </is>
      </c>
      <c r="X566" s="1236" t="n">
        <v>0</v>
      </c>
      <c r="Y566" s="1237">
        <f>IFERROR(IF(X566="",0,CEILING((X566/$H566),1)*$H566),"")</f>
        <v/>
      </c>
      <c r="Z566" s="41">
        <f>IFERROR(IF(Y566=0,"",ROUNDUP(Y566/H566,0)*0.01898),"")</f>
        <v/>
      </c>
      <c r="AA566" s="68" t="inlineStr"/>
      <c r="AB566" s="69" t="inlineStr"/>
      <c r="AC566" s="678" t="inlineStr">
        <is>
          <t>ЕАЭС N RU Д-RU.РА10.В.10687/23, ЕАЭС № RU Д-RU.РА01.В.93655/20</t>
        </is>
      </c>
      <c r="AG566" s="78" t="n"/>
      <c r="AJ566" s="84" t="inlineStr"/>
      <c r="AK566" s="84" t="n">
        <v>0</v>
      </c>
      <c r="BB566" s="679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37.5" customHeight="1">
      <c r="A567" s="63" t="inlineStr">
        <is>
          <t>SU002146</t>
        </is>
      </c>
      <c r="B567" s="63" t="inlineStr">
        <is>
          <t>P002319</t>
        </is>
      </c>
      <c r="C567" s="36" t="n">
        <v>4301051058</v>
      </c>
      <c r="D567" s="832" t="n">
        <v>4680115883536</v>
      </c>
      <c r="E567" s="1193" t="n"/>
      <c r="F567" s="1232" t="n">
        <v>0.3</v>
      </c>
      <c r="G567" s="37" t="n">
        <v>6</v>
      </c>
      <c r="H567" s="1232" t="n">
        <v>1.8</v>
      </c>
      <c r="I567" s="1232" t="n">
        <v>2.046</v>
      </c>
      <c r="J567" s="37" t="n">
        <v>182</v>
      </c>
      <c r="K567" s="37" t="inlineStr">
        <is>
          <t>14</t>
        </is>
      </c>
      <c r="L567" s="37" t="inlineStr"/>
      <c r="M567" s="38" t="inlineStr">
        <is>
          <t>СК2</t>
        </is>
      </c>
      <c r="N567" s="38" t="n"/>
      <c r="O567" s="37" t="n">
        <v>45</v>
      </c>
      <c r="P567" s="1538">
        <f>HYPERLINK("https://abi.ru/products/Охлажденные/Дугушка/Дугушка/Сосиски/P002319/","Сосиски «Молочные Дугушки» ф/в 0,3 амицел ТМ «Дугушка»")</f>
        <v/>
      </c>
      <c r="Q567" s="1234" t="n"/>
      <c r="R567" s="1234" t="n"/>
      <c r="S567" s="1234" t="n"/>
      <c r="T567" s="1235" t="n"/>
      <c r="U567" s="39" t="inlineStr"/>
      <c r="V567" s="39" t="inlineStr"/>
      <c r="W567" s="40" t="inlineStr">
        <is>
          <t>кг</t>
        </is>
      </c>
      <c r="X567" s="1236" t="n">
        <v>0</v>
      </c>
      <c r="Y567" s="1237">
        <f>IFERROR(IF(X567="",0,CEILING((X567/$H567),1)*$H567),"")</f>
        <v/>
      </c>
      <c r="Z567" s="41">
        <f>IFERROR(IF(Y567=0,"",ROUNDUP(Y567/H567,0)*0.00651),"")</f>
        <v/>
      </c>
      <c r="AA567" s="68" t="inlineStr"/>
      <c r="AB567" s="69" t="inlineStr"/>
      <c r="AC567" s="680" t="inlineStr">
        <is>
          <t>ЕАЭС N RU Д-RU.РА04.В.51196/23, ЕАЭС N RU Д-RU.РА04.В.72602/23, ЕАЭС N RU Д-RU.РА10.В.04165/24</t>
        </is>
      </c>
      <c r="AG567" s="78" t="n"/>
      <c r="AJ567" s="84" t="inlineStr"/>
      <c r="AK567" s="84" t="n">
        <v>0</v>
      </c>
      <c r="BB567" s="681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>
      <c r="A568" s="843" t="n"/>
      <c r="B568" s="1182" t="n"/>
      <c r="C568" s="1182" t="n"/>
      <c r="D568" s="1182" t="n"/>
      <c r="E568" s="1182" t="n"/>
      <c r="F568" s="1182" t="n"/>
      <c r="G568" s="1182" t="n"/>
      <c r="H568" s="1182" t="n"/>
      <c r="I568" s="1182" t="n"/>
      <c r="J568" s="1182" t="n"/>
      <c r="K568" s="1182" t="n"/>
      <c r="L568" s="1182" t="n"/>
      <c r="M568" s="1182" t="n"/>
      <c r="N568" s="1182" t="n"/>
      <c r="O568" s="1241" t="n"/>
      <c r="P568" s="1242" t="inlineStr">
        <is>
          <t>Итого</t>
        </is>
      </c>
      <c r="Q568" s="1201" t="n"/>
      <c r="R568" s="1201" t="n"/>
      <c r="S568" s="1201" t="n"/>
      <c r="T568" s="1201" t="n"/>
      <c r="U568" s="1201" t="n"/>
      <c r="V568" s="1202" t="n"/>
      <c r="W568" s="42" t="inlineStr">
        <is>
          <t>кор</t>
        </is>
      </c>
      <c r="X568" s="1243">
        <f>IFERROR(X565/H565,"0")+IFERROR(X566/H566,"0")+IFERROR(X567/H567,"0")</f>
        <v/>
      </c>
      <c r="Y568" s="1243">
        <f>IFERROR(Y565/H565,"0")+IFERROR(Y566/H566,"0")+IFERROR(Y567/H567,"0")</f>
        <v/>
      </c>
      <c r="Z568" s="1243">
        <f>IFERROR(IF(Z565="",0,Z565),"0")+IFERROR(IF(Z566="",0,Z566),"0")+IFERROR(IF(Z567="",0,Z567),"0")</f>
        <v/>
      </c>
      <c r="AA568" s="1244" t="n"/>
      <c r="AB568" s="1244" t="n"/>
      <c r="AC568" s="1244" t="n"/>
    </row>
    <row r="569">
      <c r="A569" s="1182" t="n"/>
      <c r="B569" s="1182" t="n"/>
      <c r="C569" s="1182" t="n"/>
      <c r="D569" s="1182" t="n"/>
      <c r="E569" s="1182" t="n"/>
      <c r="F569" s="1182" t="n"/>
      <c r="G569" s="1182" t="n"/>
      <c r="H569" s="1182" t="n"/>
      <c r="I569" s="1182" t="n"/>
      <c r="J569" s="1182" t="n"/>
      <c r="K569" s="1182" t="n"/>
      <c r="L569" s="1182" t="n"/>
      <c r="M569" s="1182" t="n"/>
      <c r="N569" s="1182" t="n"/>
      <c r="O569" s="1241" t="n"/>
      <c r="P569" s="1242" t="inlineStr">
        <is>
          <t>Итого</t>
        </is>
      </c>
      <c r="Q569" s="1201" t="n"/>
      <c r="R569" s="1201" t="n"/>
      <c r="S569" s="1201" t="n"/>
      <c r="T569" s="1201" t="n"/>
      <c r="U569" s="1201" t="n"/>
      <c r="V569" s="1202" t="n"/>
      <c r="W569" s="42" t="inlineStr">
        <is>
          <t>кг</t>
        </is>
      </c>
      <c r="X569" s="1243">
        <f>IFERROR(SUM(X565:X567),"0")</f>
        <v/>
      </c>
      <c r="Y569" s="1243">
        <f>IFERROR(SUM(Y565:Y567),"0")</f>
        <v/>
      </c>
      <c r="Z569" s="42" t="n"/>
      <c r="AA569" s="1244" t="n"/>
      <c r="AB569" s="1244" t="n"/>
      <c r="AC569" s="1244" t="n"/>
    </row>
    <row r="570" ht="14.25" customHeight="1">
      <c r="A570" s="831" t="inlineStr">
        <is>
          <t>Сардельки</t>
        </is>
      </c>
      <c r="B570" s="1182" t="n"/>
      <c r="C570" s="1182" t="n"/>
      <c r="D570" s="1182" t="n"/>
      <c r="E570" s="1182" t="n"/>
      <c r="F570" s="1182" t="n"/>
      <c r="G570" s="1182" t="n"/>
      <c r="H570" s="1182" t="n"/>
      <c r="I570" s="1182" t="n"/>
      <c r="J570" s="1182" t="n"/>
      <c r="K570" s="1182" t="n"/>
      <c r="L570" s="1182" t="n"/>
      <c r="M570" s="1182" t="n"/>
      <c r="N570" s="1182" t="n"/>
      <c r="O570" s="1182" t="n"/>
      <c r="P570" s="1182" t="n"/>
      <c r="Q570" s="1182" t="n"/>
      <c r="R570" s="1182" t="n"/>
      <c r="S570" s="1182" t="n"/>
      <c r="T570" s="1182" t="n"/>
      <c r="U570" s="1182" t="n"/>
      <c r="V570" s="1182" t="n"/>
      <c r="W570" s="1182" t="n"/>
      <c r="X570" s="1182" t="n"/>
      <c r="Y570" s="1182" t="n"/>
      <c r="Z570" s="1182" t="n"/>
      <c r="AA570" s="831" t="n"/>
      <c r="AB570" s="831" t="n"/>
      <c r="AC570" s="831" t="n"/>
    </row>
    <row r="571" ht="37.5" customHeight="1">
      <c r="A571" s="63" t="inlineStr">
        <is>
          <t>SU003136</t>
        </is>
      </c>
      <c r="B571" s="63" t="inlineStr">
        <is>
          <t>P003722</t>
        </is>
      </c>
      <c r="C571" s="36" t="n">
        <v>4301060363</v>
      </c>
      <c r="D571" s="832" t="n">
        <v>4680115885035</v>
      </c>
      <c r="E571" s="1193" t="n"/>
      <c r="F571" s="1232" t="n">
        <v>1</v>
      </c>
      <c r="G571" s="37" t="n">
        <v>4</v>
      </c>
      <c r="H571" s="1232" t="n">
        <v>4</v>
      </c>
      <c r="I571" s="1232" t="n">
        <v>4.416</v>
      </c>
      <c r="J571" s="37" t="n">
        <v>104</v>
      </c>
      <c r="K571" s="37" t="inlineStr">
        <is>
          <t>8</t>
        </is>
      </c>
      <c r="L571" s="37" t="inlineStr"/>
      <c r="M571" s="38" t="inlineStr">
        <is>
          <t>СК2</t>
        </is>
      </c>
      <c r="N571" s="38" t="n"/>
      <c r="O571" s="37" t="n">
        <v>35</v>
      </c>
      <c r="P571" s="1539">
        <f>HYPERLINK("https://abi.ru/products/Охлажденные/Дугушка/Дугушка/Сардельки/P003722/","Сардельки «Дугушки» Весовой н/о ТМ «Дугушка»")</f>
        <v/>
      </c>
      <c r="Q571" s="1234" t="n"/>
      <c r="R571" s="1234" t="n"/>
      <c r="S571" s="1234" t="n"/>
      <c r="T571" s="1235" t="n"/>
      <c r="U571" s="39" t="inlineStr"/>
      <c r="V571" s="39" t="inlineStr"/>
      <c r="W571" s="40" t="inlineStr">
        <is>
          <t>кг</t>
        </is>
      </c>
      <c r="X571" s="1236" t="n">
        <v>0</v>
      </c>
      <c r="Y571" s="1237">
        <f>IFERROR(IF(X571="",0,CEILING((X571/$H571),1)*$H571),"")</f>
        <v/>
      </c>
      <c r="Z571" s="41">
        <f>IFERROR(IF(Y571=0,"",ROUNDUP(Y571/H571,0)*0.01196),"")</f>
        <v/>
      </c>
      <c r="AA571" s="68" t="inlineStr"/>
      <c r="AB571" s="69" t="inlineStr"/>
      <c r="AC571" s="682" t="inlineStr">
        <is>
          <t>ЕАЭС N RU Д-RU.РА02.В.61682/24, ЕАЭС N RU Д-RU.РА10.В.25236/24, ЕАЭС N RU Д-RU.РА10.В.25345/24</t>
        </is>
      </c>
      <c r="AG571" s="78" t="n"/>
      <c r="AJ571" s="84" t="inlineStr"/>
      <c r="AK571" s="84" t="n">
        <v>0</v>
      </c>
      <c r="BB571" s="683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 ht="37.5" customHeight="1">
      <c r="A572" s="63" t="inlineStr">
        <is>
          <t>SU003687</t>
        </is>
      </c>
      <c r="B572" s="63" t="inlineStr">
        <is>
          <t>P004680</t>
        </is>
      </c>
      <c r="C572" s="36" t="n">
        <v>4301060436</v>
      </c>
      <c r="D572" s="832" t="n">
        <v>4680115885936</v>
      </c>
      <c r="E572" s="1193" t="n"/>
      <c r="F572" s="1232" t="n">
        <v>1.3</v>
      </c>
      <c r="G572" s="37" t="n">
        <v>6</v>
      </c>
      <c r="H572" s="1232" t="n">
        <v>7.8</v>
      </c>
      <c r="I572" s="1232" t="n">
        <v>8.234999999999999</v>
      </c>
      <c r="J572" s="37" t="n">
        <v>64</v>
      </c>
      <c r="K572" s="37" t="inlineStr">
        <is>
          <t>8</t>
        </is>
      </c>
      <c r="L572" s="37" t="inlineStr"/>
      <c r="M572" s="38" t="inlineStr">
        <is>
          <t>СК2</t>
        </is>
      </c>
      <c r="N572" s="38" t="n"/>
      <c r="O572" s="37" t="n">
        <v>35</v>
      </c>
      <c r="P572" s="1540" t="inlineStr">
        <is>
          <t>Сардельки «Дугушки» Весовой черева ТМ «Стародворье»</t>
        </is>
      </c>
      <c r="Q572" s="1234" t="n"/>
      <c r="R572" s="1234" t="n"/>
      <c r="S572" s="1234" t="n"/>
      <c r="T572" s="1235" t="n"/>
      <c r="U572" s="39" t="inlineStr"/>
      <c r="V572" s="39" t="inlineStr"/>
      <c r="W572" s="40" t="inlineStr">
        <is>
          <t>кг</t>
        </is>
      </c>
      <c r="X572" s="1236" t="n">
        <v>10</v>
      </c>
      <c r="Y572" s="1237">
        <f>IFERROR(IF(X572="",0,CEILING((X572/$H572),1)*$H572),"")</f>
        <v/>
      </c>
      <c r="Z572" s="41">
        <f>IFERROR(IF(Y572=0,"",ROUNDUP(Y572/H572,0)*0.01898),"")</f>
        <v/>
      </c>
      <c r="AA572" s="68" t="inlineStr"/>
      <c r="AB572" s="69" t="inlineStr"/>
      <c r="AC572" s="684" t="inlineStr">
        <is>
          <t>ЕАЭС N RU Д-RU.РА02.В.61682/24, ЕАЭС N RU Д-RU.РА10.В.25236/24, ЕАЭС N RU Д-RU.РА10.В.25345/24</t>
        </is>
      </c>
      <c r="AG572" s="78" t="n"/>
      <c r="AJ572" s="84" t="inlineStr"/>
      <c r="AK572" s="84" t="n">
        <v>0</v>
      </c>
      <c r="BB572" s="685" t="inlineStr">
        <is>
          <t>КИ</t>
        </is>
      </c>
      <c r="BM572" s="78">
        <f>IFERROR(X572*I572/H572,"0")</f>
        <v/>
      </c>
      <c r="BN572" s="78">
        <f>IFERROR(Y572*I572/H572,"0")</f>
        <v/>
      </c>
      <c r="BO572" s="78">
        <f>IFERROR(1/J572*(X572/H572),"0")</f>
        <v/>
      </c>
      <c r="BP572" s="78">
        <f>IFERROR(1/J572*(Y572/H572),"0")</f>
        <v/>
      </c>
    </row>
    <row r="573">
      <c r="A573" s="843" t="n"/>
      <c r="B573" s="1182" t="n"/>
      <c r="C573" s="1182" t="n"/>
      <c r="D573" s="1182" t="n"/>
      <c r="E573" s="1182" t="n"/>
      <c r="F573" s="1182" t="n"/>
      <c r="G573" s="1182" t="n"/>
      <c r="H573" s="1182" t="n"/>
      <c r="I573" s="1182" t="n"/>
      <c r="J573" s="1182" t="n"/>
      <c r="K573" s="1182" t="n"/>
      <c r="L573" s="1182" t="n"/>
      <c r="M573" s="1182" t="n"/>
      <c r="N573" s="1182" t="n"/>
      <c r="O573" s="1241" t="n"/>
      <c r="P573" s="1242" t="inlineStr">
        <is>
          <t>Итого</t>
        </is>
      </c>
      <c r="Q573" s="1201" t="n"/>
      <c r="R573" s="1201" t="n"/>
      <c r="S573" s="1201" t="n"/>
      <c r="T573" s="1201" t="n"/>
      <c r="U573" s="1201" t="n"/>
      <c r="V573" s="1202" t="n"/>
      <c r="W573" s="42" t="inlineStr">
        <is>
          <t>кор</t>
        </is>
      </c>
      <c r="X573" s="1243">
        <f>IFERROR(X571/H571,"0")+IFERROR(X572/H572,"0")</f>
        <v/>
      </c>
      <c r="Y573" s="1243">
        <f>IFERROR(Y571/H571,"0")+IFERROR(Y572/H572,"0")</f>
        <v/>
      </c>
      <c r="Z573" s="1243">
        <f>IFERROR(IF(Z571="",0,Z571),"0")+IFERROR(IF(Z572="",0,Z572),"0")</f>
        <v/>
      </c>
      <c r="AA573" s="1244" t="n"/>
      <c r="AB573" s="1244" t="n"/>
      <c r="AC573" s="1244" t="n"/>
    </row>
    <row r="574">
      <c r="A574" s="1182" t="n"/>
      <c r="B574" s="1182" t="n"/>
      <c r="C574" s="1182" t="n"/>
      <c r="D574" s="1182" t="n"/>
      <c r="E574" s="1182" t="n"/>
      <c r="F574" s="1182" t="n"/>
      <c r="G574" s="1182" t="n"/>
      <c r="H574" s="1182" t="n"/>
      <c r="I574" s="1182" t="n"/>
      <c r="J574" s="1182" t="n"/>
      <c r="K574" s="1182" t="n"/>
      <c r="L574" s="1182" t="n"/>
      <c r="M574" s="1182" t="n"/>
      <c r="N574" s="1182" t="n"/>
      <c r="O574" s="1241" t="n"/>
      <c r="P574" s="1242" t="inlineStr">
        <is>
          <t>Итого</t>
        </is>
      </c>
      <c r="Q574" s="1201" t="n"/>
      <c r="R574" s="1201" t="n"/>
      <c r="S574" s="1201" t="n"/>
      <c r="T574" s="1201" t="n"/>
      <c r="U574" s="1201" t="n"/>
      <c r="V574" s="1202" t="n"/>
      <c r="W574" s="42" t="inlineStr">
        <is>
          <t>кг</t>
        </is>
      </c>
      <c r="X574" s="1243">
        <f>IFERROR(SUM(X571:X572),"0")</f>
        <v/>
      </c>
      <c r="Y574" s="1243">
        <f>IFERROR(SUM(Y571:Y572),"0")</f>
        <v/>
      </c>
      <c r="Z574" s="42" t="n"/>
      <c r="AA574" s="1244" t="n"/>
      <c r="AB574" s="1244" t="n"/>
      <c r="AC574" s="1244" t="n"/>
    </row>
    <row r="575" ht="27.75" customHeight="1">
      <c r="A575" s="829" t="inlineStr">
        <is>
          <t>Сафияль</t>
        </is>
      </c>
      <c r="B575" s="1231" t="n"/>
      <c r="C575" s="1231" t="n"/>
      <c r="D575" s="1231" t="n"/>
      <c r="E575" s="1231" t="n"/>
      <c r="F575" s="1231" t="n"/>
      <c r="G575" s="1231" t="n"/>
      <c r="H575" s="1231" t="n"/>
      <c r="I575" s="1231" t="n"/>
      <c r="J575" s="1231" t="n"/>
      <c r="K575" s="1231" t="n"/>
      <c r="L575" s="1231" t="n"/>
      <c r="M575" s="1231" t="n"/>
      <c r="N575" s="1231" t="n"/>
      <c r="O575" s="1231" t="n"/>
      <c r="P575" s="1231" t="n"/>
      <c r="Q575" s="1231" t="n"/>
      <c r="R575" s="1231" t="n"/>
      <c r="S575" s="1231" t="n"/>
      <c r="T575" s="1231" t="n"/>
      <c r="U575" s="1231" t="n"/>
      <c r="V575" s="1231" t="n"/>
      <c r="W575" s="1231" t="n"/>
      <c r="X575" s="1231" t="n"/>
      <c r="Y575" s="1231" t="n"/>
      <c r="Z575" s="1231" t="n"/>
      <c r="AA575" s="54" t="n"/>
      <c r="AB575" s="54" t="n"/>
      <c r="AC575" s="54" t="n"/>
    </row>
    <row r="576" ht="16.5" customHeight="1">
      <c r="A576" s="830" t="inlineStr">
        <is>
          <t>Сафияль</t>
        </is>
      </c>
      <c r="B576" s="1182" t="n"/>
      <c r="C576" s="1182" t="n"/>
      <c r="D576" s="1182" t="n"/>
      <c r="E576" s="1182" t="n"/>
      <c r="F576" s="1182" t="n"/>
      <c r="G576" s="1182" t="n"/>
      <c r="H576" s="1182" t="n"/>
      <c r="I576" s="1182" t="n"/>
      <c r="J576" s="1182" t="n"/>
      <c r="K576" s="1182" t="n"/>
      <c r="L576" s="1182" t="n"/>
      <c r="M576" s="1182" t="n"/>
      <c r="N576" s="1182" t="n"/>
      <c r="O576" s="1182" t="n"/>
      <c r="P576" s="1182" t="n"/>
      <c r="Q576" s="1182" t="n"/>
      <c r="R576" s="1182" t="n"/>
      <c r="S576" s="1182" t="n"/>
      <c r="T576" s="1182" t="n"/>
      <c r="U576" s="1182" t="n"/>
      <c r="V576" s="1182" t="n"/>
      <c r="W576" s="1182" t="n"/>
      <c r="X576" s="1182" t="n"/>
      <c r="Y576" s="1182" t="n"/>
      <c r="Z576" s="1182" t="n"/>
      <c r="AA576" s="830" t="n"/>
      <c r="AB576" s="830" t="n"/>
      <c r="AC576" s="830" t="n"/>
    </row>
    <row r="577" ht="14.25" customHeight="1">
      <c r="A577" s="831" t="inlineStr">
        <is>
          <t>Вареные колбасы</t>
        </is>
      </c>
      <c r="B577" s="1182" t="n"/>
      <c r="C577" s="1182" t="n"/>
      <c r="D577" s="1182" t="n"/>
      <c r="E577" s="1182" t="n"/>
      <c r="F577" s="1182" t="n"/>
      <c r="G577" s="1182" t="n"/>
      <c r="H577" s="1182" t="n"/>
      <c r="I577" s="1182" t="n"/>
      <c r="J577" s="1182" t="n"/>
      <c r="K577" s="1182" t="n"/>
      <c r="L577" s="1182" t="n"/>
      <c r="M577" s="1182" t="n"/>
      <c r="N577" s="1182" t="n"/>
      <c r="O577" s="1182" t="n"/>
      <c r="P577" s="1182" t="n"/>
      <c r="Q577" s="1182" t="n"/>
      <c r="R577" s="1182" t="n"/>
      <c r="S577" s="1182" t="n"/>
      <c r="T577" s="1182" t="n"/>
      <c r="U577" s="1182" t="n"/>
      <c r="V577" s="1182" t="n"/>
      <c r="W577" s="1182" t="n"/>
      <c r="X577" s="1182" t="n"/>
      <c r="Y577" s="1182" t="n"/>
      <c r="Z577" s="1182" t="n"/>
      <c r="AA577" s="831" t="n"/>
      <c r="AB577" s="831" t="n"/>
      <c r="AC577" s="831" t="n"/>
    </row>
    <row r="578" ht="27" customHeight="1">
      <c r="A578" s="63" t="inlineStr">
        <is>
          <t>SU003401</t>
        </is>
      </c>
      <c r="B578" s="63" t="inlineStr">
        <is>
          <t>P004243</t>
        </is>
      </c>
      <c r="C578" s="36" t="n">
        <v>4301011862</v>
      </c>
      <c r="D578" s="832" t="n">
        <v>4680115885523</v>
      </c>
      <c r="E578" s="1193" t="n"/>
      <c r="F578" s="1232" t="n">
        <v>1</v>
      </c>
      <c r="G578" s="37" t="n">
        <v>6</v>
      </c>
      <c r="H578" s="1232" t="n">
        <v>6</v>
      </c>
      <c r="I578" s="1232" t="n">
        <v>6.36</v>
      </c>
      <c r="J578" s="37" t="n">
        <v>104</v>
      </c>
      <c r="K578" s="37" t="inlineStr">
        <is>
          <t>8</t>
        </is>
      </c>
      <c r="L578" s="37" t="inlineStr"/>
      <c r="M578" s="38" t="inlineStr">
        <is>
          <t>САМ</t>
        </is>
      </c>
      <c r="N578" s="38" t="n"/>
      <c r="O578" s="37" t="n">
        <v>90</v>
      </c>
      <c r="P578" s="1541" t="inlineStr">
        <is>
          <t>Вареные колбасы «Исламская халяль» Весовой п/а ТМ «Сафияль»</t>
        </is>
      </c>
      <c r="Q578" s="1234" t="n"/>
      <c r="R578" s="1234" t="n"/>
      <c r="S578" s="1234" t="n"/>
      <c r="T578" s="1235" t="n"/>
      <c r="U578" s="39" t="inlineStr"/>
      <c r="V578" s="39" t="inlineStr"/>
      <c r="W578" s="40" t="inlineStr">
        <is>
          <t>кг</t>
        </is>
      </c>
      <c r="X578" s="1236" t="n">
        <v>0</v>
      </c>
      <c r="Y578" s="1237">
        <f>IFERROR(IF(X578="",0,CEILING((X578/$H578),1)*$H578),"")</f>
        <v/>
      </c>
      <c r="Z578" s="41">
        <f>IFERROR(IF(Y578=0,"",ROUNDUP(Y578/H578,0)*0.01196),"")</f>
        <v/>
      </c>
      <c r="AA578" s="68" t="inlineStr"/>
      <c r="AB578" s="69" t="inlineStr"/>
      <c r="AC578" s="686" t="inlineStr">
        <is>
          <t>ЕАЭС N RU Д-RU.РА05.В.47527/24</t>
        </is>
      </c>
      <c r="AG578" s="78" t="n"/>
      <c r="AJ578" s="84" t="inlineStr"/>
      <c r="AK578" s="84" t="n">
        <v>0</v>
      </c>
      <c r="BB578" s="687" t="inlineStr">
        <is>
          <t>КИ</t>
        </is>
      </c>
      <c r="BM578" s="78">
        <f>IFERROR(X578*I578/H578,"0")</f>
        <v/>
      </c>
      <c r="BN578" s="78">
        <f>IFERROR(Y578*I578/H578,"0")</f>
        <v/>
      </c>
      <c r="BO578" s="78">
        <f>IFERROR(1/J578*(X578/H578),"0")</f>
        <v/>
      </c>
      <c r="BP578" s="78">
        <f>IFERROR(1/J578*(Y578/H578),"0")</f>
        <v/>
      </c>
    </row>
    <row r="579">
      <c r="A579" s="843" t="n"/>
      <c r="B579" s="1182" t="n"/>
      <c r="C579" s="1182" t="n"/>
      <c r="D579" s="1182" t="n"/>
      <c r="E579" s="1182" t="n"/>
      <c r="F579" s="1182" t="n"/>
      <c r="G579" s="1182" t="n"/>
      <c r="H579" s="1182" t="n"/>
      <c r="I579" s="1182" t="n"/>
      <c r="J579" s="1182" t="n"/>
      <c r="K579" s="1182" t="n"/>
      <c r="L579" s="1182" t="n"/>
      <c r="M579" s="1182" t="n"/>
      <c r="N579" s="1182" t="n"/>
      <c r="O579" s="1241" t="n"/>
      <c r="P579" s="1242" t="inlineStr">
        <is>
          <t>Итого</t>
        </is>
      </c>
      <c r="Q579" s="1201" t="n"/>
      <c r="R579" s="1201" t="n"/>
      <c r="S579" s="1201" t="n"/>
      <c r="T579" s="1201" t="n"/>
      <c r="U579" s="1201" t="n"/>
      <c r="V579" s="1202" t="n"/>
      <c r="W579" s="42" t="inlineStr">
        <is>
          <t>кор</t>
        </is>
      </c>
      <c r="X579" s="1243">
        <f>IFERROR(X578/H578,"0")</f>
        <v/>
      </c>
      <c r="Y579" s="1243">
        <f>IFERROR(Y578/H578,"0")</f>
        <v/>
      </c>
      <c r="Z579" s="1243">
        <f>IFERROR(IF(Z578="",0,Z578),"0")</f>
        <v/>
      </c>
      <c r="AA579" s="1244" t="n"/>
      <c r="AB579" s="1244" t="n"/>
      <c r="AC579" s="1244" t="n"/>
    </row>
    <row r="580">
      <c r="A580" s="1182" t="n"/>
      <c r="B580" s="1182" t="n"/>
      <c r="C580" s="1182" t="n"/>
      <c r="D580" s="1182" t="n"/>
      <c r="E580" s="1182" t="n"/>
      <c r="F580" s="1182" t="n"/>
      <c r="G580" s="1182" t="n"/>
      <c r="H580" s="1182" t="n"/>
      <c r="I580" s="1182" t="n"/>
      <c r="J580" s="1182" t="n"/>
      <c r="K580" s="1182" t="n"/>
      <c r="L580" s="1182" t="n"/>
      <c r="M580" s="1182" t="n"/>
      <c r="N580" s="1182" t="n"/>
      <c r="O580" s="1241" t="n"/>
      <c r="P580" s="1242" t="inlineStr">
        <is>
          <t>Итого</t>
        </is>
      </c>
      <c r="Q580" s="1201" t="n"/>
      <c r="R580" s="1201" t="n"/>
      <c r="S580" s="1201" t="n"/>
      <c r="T580" s="1201" t="n"/>
      <c r="U580" s="1201" t="n"/>
      <c r="V580" s="1202" t="n"/>
      <c r="W580" s="42" t="inlineStr">
        <is>
          <t>кг</t>
        </is>
      </c>
      <c r="X580" s="1243">
        <f>IFERROR(SUM(X578:X578),"0")</f>
        <v/>
      </c>
      <c r="Y580" s="1243">
        <f>IFERROR(SUM(Y578:Y578),"0")</f>
        <v/>
      </c>
      <c r="Z580" s="42" t="n"/>
      <c r="AA580" s="1244" t="n"/>
      <c r="AB580" s="1244" t="n"/>
      <c r="AC580" s="1244" t="n"/>
    </row>
    <row r="581" ht="27.75" customHeight="1">
      <c r="A581" s="829" t="inlineStr">
        <is>
          <t>Зареченские продукты</t>
        </is>
      </c>
      <c r="B581" s="1231" t="n"/>
      <c r="C581" s="1231" t="n"/>
      <c r="D581" s="1231" t="n"/>
      <c r="E581" s="1231" t="n"/>
      <c r="F581" s="1231" t="n"/>
      <c r="G581" s="1231" t="n"/>
      <c r="H581" s="1231" t="n"/>
      <c r="I581" s="1231" t="n"/>
      <c r="J581" s="1231" t="n"/>
      <c r="K581" s="1231" t="n"/>
      <c r="L581" s="1231" t="n"/>
      <c r="M581" s="1231" t="n"/>
      <c r="N581" s="1231" t="n"/>
      <c r="O581" s="1231" t="n"/>
      <c r="P581" s="1231" t="n"/>
      <c r="Q581" s="1231" t="n"/>
      <c r="R581" s="1231" t="n"/>
      <c r="S581" s="1231" t="n"/>
      <c r="T581" s="1231" t="n"/>
      <c r="U581" s="1231" t="n"/>
      <c r="V581" s="1231" t="n"/>
      <c r="W581" s="1231" t="n"/>
      <c r="X581" s="1231" t="n"/>
      <c r="Y581" s="1231" t="n"/>
      <c r="Z581" s="1231" t="n"/>
      <c r="AA581" s="54" t="n"/>
      <c r="AB581" s="54" t="n"/>
      <c r="AC581" s="54" t="n"/>
    </row>
    <row r="582" ht="16.5" customHeight="1">
      <c r="A582" s="830" t="inlineStr">
        <is>
          <t>Зареченские продукты</t>
        </is>
      </c>
      <c r="B582" s="1182" t="n"/>
      <c r="C582" s="1182" t="n"/>
      <c r="D582" s="1182" t="n"/>
      <c r="E582" s="1182" t="n"/>
      <c r="F582" s="1182" t="n"/>
      <c r="G582" s="1182" t="n"/>
      <c r="H582" s="1182" t="n"/>
      <c r="I582" s="1182" t="n"/>
      <c r="J582" s="1182" t="n"/>
      <c r="K582" s="1182" t="n"/>
      <c r="L582" s="1182" t="n"/>
      <c r="M582" s="1182" t="n"/>
      <c r="N582" s="1182" t="n"/>
      <c r="O582" s="1182" t="n"/>
      <c r="P582" s="1182" t="n"/>
      <c r="Q582" s="1182" t="n"/>
      <c r="R582" s="1182" t="n"/>
      <c r="S582" s="1182" t="n"/>
      <c r="T582" s="1182" t="n"/>
      <c r="U582" s="1182" t="n"/>
      <c r="V582" s="1182" t="n"/>
      <c r="W582" s="1182" t="n"/>
      <c r="X582" s="1182" t="n"/>
      <c r="Y582" s="1182" t="n"/>
      <c r="Z582" s="1182" t="n"/>
      <c r="AA582" s="830" t="n"/>
      <c r="AB582" s="830" t="n"/>
      <c r="AC582" s="830" t="n"/>
    </row>
    <row r="583" ht="14.25" customHeight="1">
      <c r="A583" s="831" t="inlineStr">
        <is>
          <t>Вареные колбасы</t>
        </is>
      </c>
      <c r="B583" s="1182" t="n"/>
      <c r="C583" s="1182" t="n"/>
      <c r="D583" s="1182" t="n"/>
      <c r="E583" s="1182" t="n"/>
      <c r="F583" s="1182" t="n"/>
      <c r="G583" s="1182" t="n"/>
      <c r="H583" s="1182" t="n"/>
      <c r="I583" s="1182" t="n"/>
      <c r="J583" s="1182" t="n"/>
      <c r="K583" s="1182" t="n"/>
      <c r="L583" s="1182" t="n"/>
      <c r="M583" s="1182" t="n"/>
      <c r="N583" s="1182" t="n"/>
      <c r="O583" s="1182" t="n"/>
      <c r="P583" s="1182" t="n"/>
      <c r="Q583" s="1182" t="n"/>
      <c r="R583" s="1182" t="n"/>
      <c r="S583" s="1182" t="n"/>
      <c r="T583" s="1182" t="n"/>
      <c r="U583" s="1182" t="n"/>
      <c r="V583" s="1182" t="n"/>
      <c r="W583" s="1182" t="n"/>
      <c r="X583" s="1182" t="n"/>
      <c r="Y583" s="1182" t="n"/>
      <c r="Z583" s="1182" t="n"/>
      <c r="AA583" s="831" t="n"/>
      <c r="AB583" s="831" t="n"/>
      <c r="AC583" s="831" t="n"/>
    </row>
    <row r="584" ht="27" customHeight="1">
      <c r="A584" s="63" t="inlineStr">
        <is>
          <t>SU003290</t>
        </is>
      </c>
      <c r="B584" s="63" t="inlineStr">
        <is>
          <t>P004000</t>
        </is>
      </c>
      <c r="C584" s="36" t="n">
        <v>4301011763</v>
      </c>
      <c r="D584" s="832" t="n">
        <v>4640242181011</v>
      </c>
      <c r="E584" s="1193" t="n"/>
      <c r="F584" s="1232" t="n">
        <v>1.35</v>
      </c>
      <c r="G584" s="37" t="n">
        <v>8</v>
      </c>
      <c r="H584" s="1232" t="n">
        <v>10.8</v>
      </c>
      <c r="I584" s="1232" t="n">
        <v>11.235</v>
      </c>
      <c r="J584" s="37" t="n">
        <v>64</v>
      </c>
      <c r="K584" s="37" t="inlineStr">
        <is>
          <t>8</t>
        </is>
      </c>
      <c r="L584" s="37" t="inlineStr"/>
      <c r="M584" s="38" t="inlineStr">
        <is>
          <t>СК3</t>
        </is>
      </c>
      <c r="N584" s="38" t="n"/>
      <c r="O584" s="37" t="n">
        <v>55</v>
      </c>
      <c r="P584" s="1542" t="inlineStr">
        <is>
          <t>Вареные колбасы «Молочная» Весовой п/а ТМ «Зареченские»</t>
        </is>
      </c>
      <c r="Q584" s="1234" t="n"/>
      <c r="R584" s="1234" t="n"/>
      <c r="S584" s="1234" t="n"/>
      <c r="T584" s="1235" t="n"/>
      <c r="U584" s="39" t="inlineStr"/>
      <c r="V584" s="39" t="inlineStr"/>
      <c r="W584" s="40" t="inlineStr">
        <is>
          <t>кг</t>
        </is>
      </c>
      <c r="X584" s="1236" t="n">
        <v>0</v>
      </c>
      <c r="Y584" s="1237">
        <f>IFERROR(IF(X584="",0,CEILING((X584/$H584),1)*$H584),"")</f>
        <v/>
      </c>
      <c r="Z584" s="41">
        <f>IFERROR(IF(Y584=0,"",ROUNDUP(Y584/H584,0)*0.01898),"")</f>
        <v/>
      </c>
      <c r="AA584" s="68" t="inlineStr"/>
      <c r="AB584" s="69" t="inlineStr"/>
      <c r="AC584" s="688" t="inlineStr">
        <is>
          <t>ЕАЭС N RU Д-RU.РА10.В.50054/23</t>
        </is>
      </c>
      <c r="AG584" s="78" t="n"/>
      <c r="AJ584" s="84" t="inlineStr"/>
      <c r="AK584" s="84" t="n">
        <v>0</v>
      </c>
      <c r="BB584" s="689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SU002807</t>
        </is>
      </c>
      <c r="B585" s="63" t="inlineStr">
        <is>
          <t>P003583</t>
        </is>
      </c>
      <c r="C585" s="36" t="n">
        <v>4301011585</v>
      </c>
      <c r="D585" s="832" t="n">
        <v>4640242180441</v>
      </c>
      <c r="E585" s="1193" t="n"/>
      <c r="F585" s="1232" t="n">
        <v>1.5</v>
      </c>
      <c r="G585" s="37" t="n">
        <v>8</v>
      </c>
      <c r="H585" s="1232" t="n">
        <v>12</v>
      </c>
      <c r="I585" s="1232" t="n">
        <v>12.435</v>
      </c>
      <c r="J585" s="37" t="n">
        <v>64</v>
      </c>
      <c r="K585" s="37" t="inlineStr">
        <is>
          <t>8</t>
        </is>
      </c>
      <c r="L585" s="37" t="inlineStr"/>
      <c r="M585" s="38" t="inlineStr">
        <is>
          <t>СК1</t>
        </is>
      </c>
      <c r="N585" s="38" t="n"/>
      <c r="O585" s="37" t="n">
        <v>50</v>
      </c>
      <c r="P585" s="1543" t="inlineStr">
        <is>
          <t>Вареные колбасы «Муромская» Весовой п/а ТМ «Зареченские»</t>
        </is>
      </c>
      <c r="Q585" s="1234" t="n"/>
      <c r="R585" s="1234" t="n"/>
      <c r="S585" s="1234" t="n"/>
      <c r="T585" s="1235" t="n"/>
      <c r="U585" s="39" t="inlineStr"/>
      <c r="V585" s="39" t="inlineStr"/>
      <c r="W585" s="40" t="inlineStr">
        <is>
          <t>кг</t>
        </is>
      </c>
      <c r="X585" s="1236" t="n">
        <v>0</v>
      </c>
      <c r="Y585" s="1237">
        <f>IFERROR(IF(X585="",0,CEILING((X585/$H585),1)*$H585),"")</f>
        <v/>
      </c>
      <c r="Z585" s="41">
        <f>IFERROR(IF(Y585=0,"",ROUNDUP(Y585/H585,0)*0.01898),"")</f>
        <v/>
      </c>
      <c r="AA585" s="68" t="inlineStr"/>
      <c r="AB585" s="69" t="inlineStr"/>
      <c r="AC585" s="690" t="inlineStr">
        <is>
          <t>ЕАЭС N RU Д-RU.РА05.В.98227/23</t>
        </is>
      </c>
      <c r="AG585" s="78" t="n"/>
      <c r="AJ585" s="84" t="inlineStr"/>
      <c r="AK585" s="84" t="n">
        <v>0</v>
      </c>
      <c r="BB585" s="691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 ht="27" customHeight="1">
      <c r="A586" s="63" t="inlineStr">
        <is>
          <t>SU002808</t>
        </is>
      </c>
      <c r="B586" s="63" t="inlineStr">
        <is>
          <t>P003582</t>
        </is>
      </c>
      <c r="C586" s="36" t="n">
        <v>4301011584</v>
      </c>
      <c r="D586" s="832" t="n">
        <v>4640242180564</v>
      </c>
      <c r="E586" s="1193" t="n"/>
      <c r="F586" s="1232" t="n">
        <v>1.5</v>
      </c>
      <c r="G586" s="37" t="n">
        <v>8</v>
      </c>
      <c r="H586" s="1232" t="n">
        <v>12</v>
      </c>
      <c r="I586" s="1232" t="n">
        <v>12.435</v>
      </c>
      <c r="J586" s="37" t="n">
        <v>64</v>
      </c>
      <c r="K586" s="37" t="inlineStr">
        <is>
          <t>8</t>
        </is>
      </c>
      <c r="L586" s="37" t="inlineStr"/>
      <c r="M586" s="38" t="inlineStr">
        <is>
          <t>СК1</t>
        </is>
      </c>
      <c r="N586" s="38" t="n"/>
      <c r="O586" s="37" t="n">
        <v>50</v>
      </c>
      <c r="P586" s="1544" t="inlineStr">
        <is>
          <t>Вареные колбасы «Нежная» НТУ Весовые П/а ТМ «Зареченские»</t>
        </is>
      </c>
      <c r="Q586" s="1234" t="n"/>
      <c r="R586" s="1234" t="n"/>
      <c r="S586" s="1234" t="n"/>
      <c r="T586" s="1235" t="n"/>
      <c r="U586" s="39" t="inlineStr"/>
      <c r="V586" s="39" t="inlineStr"/>
      <c r="W586" s="40" t="inlineStr">
        <is>
          <t>кг</t>
        </is>
      </c>
      <c r="X586" s="1236" t="n">
        <v>50</v>
      </c>
      <c r="Y586" s="1237">
        <f>IFERROR(IF(X586="",0,CEILING((X586/$H586),1)*$H586),"")</f>
        <v/>
      </c>
      <c r="Z586" s="41">
        <f>IFERROR(IF(Y586=0,"",ROUNDUP(Y586/H586,0)*0.01898),"")</f>
        <v/>
      </c>
      <c r="AA586" s="68" t="inlineStr"/>
      <c r="AB586" s="69" t="inlineStr"/>
      <c r="AC586" s="692" t="inlineStr">
        <is>
          <t>ЕАЭС N RU Д-RU.РА05.В.95257/23</t>
        </is>
      </c>
      <c r="AG586" s="78" t="n"/>
      <c r="AJ586" s="84" t="inlineStr"/>
      <c r="AK586" s="84" t="n">
        <v>0</v>
      </c>
      <c r="BB586" s="693" t="inlineStr">
        <is>
          <t>КИ</t>
        </is>
      </c>
      <c r="BM586" s="78">
        <f>IFERROR(X586*I586/H586,"0")</f>
        <v/>
      </c>
      <c r="BN586" s="78">
        <f>IFERROR(Y586*I586/H586,"0")</f>
        <v/>
      </c>
      <c r="BO586" s="78">
        <f>IFERROR(1/J586*(X586/H586),"0")</f>
        <v/>
      </c>
      <c r="BP586" s="78">
        <f>IFERROR(1/J586*(Y586/H586),"0")</f>
        <v/>
      </c>
    </row>
    <row r="587" ht="27" customHeight="1">
      <c r="A587" s="63" t="inlineStr">
        <is>
          <t>SU003289</t>
        </is>
      </c>
      <c r="B587" s="63" t="inlineStr">
        <is>
          <t>P003999</t>
        </is>
      </c>
      <c r="C587" s="36" t="n">
        <v>4301011762</v>
      </c>
      <c r="D587" s="832" t="n">
        <v>4640242180922</v>
      </c>
      <c r="E587" s="1193" t="n"/>
      <c r="F587" s="1232" t="n">
        <v>1.35</v>
      </c>
      <c r="G587" s="37" t="n">
        <v>8</v>
      </c>
      <c r="H587" s="1232" t="n">
        <v>10.8</v>
      </c>
      <c r="I587" s="1232" t="n">
        <v>11.235</v>
      </c>
      <c r="J587" s="37" t="n">
        <v>64</v>
      </c>
      <c r="K587" s="37" t="inlineStr">
        <is>
          <t>8</t>
        </is>
      </c>
      <c r="L587" s="37" t="inlineStr"/>
      <c r="M587" s="38" t="inlineStr">
        <is>
          <t>СК1</t>
        </is>
      </c>
      <c r="N587" s="38" t="n"/>
      <c r="O587" s="37" t="n">
        <v>55</v>
      </c>
      <c r="P587" s="1545" t="inlineStr">
        <is>
          <t>Вареные колбасы «Нежная со шпиком» Весовой п/а ТМ «Зареченские»</t>
        </is>
      </c>
      <c r="Q587" s="1234" t="n"/>
      <c r="R587" s="1234" t="n"/>
      <c r="S587" s="1234" t="n"/>
      <c r="T587" s="1235" t="n"/>
      <c r="U587" s="39" t="inlineStr"/>
      <c r="V587" s="39" t="inlineStr"/>
      <c r="W587" s="40" t="inlineStr">
        <is>
          <t>кг</t>
        </is>
      </c>
      <c r="X587" s="1236" t="n">
        <v>0</v>
      </c>
      <c r="Y587" s="1237">
        <f>IFERROR(IF(X587="",0,CEILING((X587/$H587),1)*$H587),"")</f>
        <v/>
      </c>
      <c r="Z587" s="41">
        <f>IFERROR(IF(Y587=0,"",ROUNDUP(Y587/H587,0)*0.01898),"")</f>
        <v/>
      </c>
      <c r="AA587" s="68" t="inlineStr"/>
      <c r="AB587" s="69" t="inlineStr"/>
      <c r="AC587" s="694" t="inlineStr">
        <is>
          <t>ЕАЭС N RU Д-RU.РА10.В.53840/23</t>
        </is>
      </c>
      <c r="AG587" s="78" t="n"/>
      <c r="AJ587" s="84" t="inlineStr"/>
      <c r="AK587" s="84" t="n">
        <v>0</v>
      </c>
      <c r="BB587" s="695" t="inlineStr">
        <is>
          <t>КИ</t>
        </is>
      </c>
      <c r="BM587" s="78">
        <f>IFERROR(X587*I587/H587,"0")</f>
        <v/>
      </c>
      <c r="BN587" s="78">
        <f>IFERROR(Y587*I587/H587,"0")</f>
        <v/>
      </c>
      <c r="BO587" s="78">
        <f>IFERROR(1/J587*(X587/H587),"0")</f>
        <v/>
      </c>
      <c r="BP587" s="78">
        <f>IFERROR(1/J587*(Y587/H587),"0")</f>
        <v/>
      </c>
    </row>
    <row r="588" ht="27" customHeight="1">
      <c r="A588" s="63" t="inlineStr">
        <is>
          <t>SU003296</t>
        </is>
      </c>
      <c r="B588" s="63" t="inlineStr">
        <is>
          <t>P004002</t>
        </is>
      </c>
      <c r="C588" s="36" t="n">
        <v>4301011764</v>
      </c>
      <c r="D588" s="832" t="n">
        <v>4640242181189</v>
      </c>
      <c r="E588" s="1193" t="n"/>
      <c r="F588" s="1232" t="n">
        <v>0.4</v>
      </c>
      <c r="G588" s="37" t="n">
        <v>10</v>
      </c>
      <c r="H588" s="1232" t="n">
        <v>4</v>
      </c>
      <c r="I588" s="1232" t="n">
        <v>4.21</v>
      </c>
      <c r="J588" s="37" t="n">
        <v>132</v>
      </c>
      <c r="K588" s="37" t="inlineStr">
        <is>
          <t>12</t>
        </is>
      </c>
      <c r="L588" s="37" t="inlineStr"/>
      <c r="M588" s="38" t="inlineStr">
        <is>
          <t>СК3</t>
        </is>
      </c>
      <c r="N588" s="38" t="n"/>
      <c r="O588" s="37" t="n">
        <v>55</v>
      </c>
      <c r="P588" s="1546" t="inlineStr">
        <is>
          <t>Вареные колбасы «Молочная» Фикс.вес 0,4 п/а ТМ «Зареченские»</t>
        </is>
      </c>
      <c r="Q588" s="1234" t="n"/>
      <c r="R588" s="1234" t="n"/>
      <c r="S588" s="1234" t="n"/>
      <c r="T588" s="1235" t="n"/>
      <c r="U588" s="39" t="inlineStr"/>
      <c r="V588" s="39" t="inlineStr"/>
      <c r="W588" s="40" t="inlineStr">
        <is>
          <t>кг</t>
        </is>
      </c>
      <c r="X588" s="1236" t="n">
        <v>0</v>
      </c>
      <c r="Y588" s="1237">
        <f>IFERROR(IF(X588="",0,CEILING((X588/$H588),1)*$H588),"")</f>
        <v/>
      </c>
      <c r="Z588" s="41">
        <f>IFERROR(IF(Y588=0,"",ROUNDUP(Y588/H588,0)*0.00902),"")</f>
        <v/>
      </c>
      <c r="AA588" s="68" t="inlineStr"/>
      <c r="AB588" s="69" t="inlineStr"/>
      <c r="AC588" s="696" t="inlineStr">
        <is>
          <t>ЕАЭС N RU Д-RU.РА10.В.50054/23</t>
        </is>
      </c>
      <c r="AG588" s="78" t="n"/>
      <c r="AJ588" s="84" t="inlineStr"/>
      <c r="AK588" s="84" t="n">
        <v>0</v>
      </c>
      <c r="BB588" s="697" t="inlineStr">
        <is>
          <t>КИ</t>
        </is>
      </c>
      <c r="BM588" s="78">
        <f>IFERROR(X588*I588/H588,"0")</f>
        <v/>
      </c>
      <c r="BN588" s="78">
        <f>IFERROR(Y588*I588/H588,"0")</f>
        <v/>
      </c>
      <c r="BO588" s="78">
        <f>IFERROR(1/J588*(X588/H588),"0")</f>
        <v/>
      </c>
      <c r="BP588" s="78">
        <f>IFERROR(1/J588*(Y588/H588),"0")</f>
        <v/>
      </c>
    </row>
    <row r="589" ht="27" customHeight="1">
      <c r="A589" s="63" t="inlineStr">
        <is>
          <t>SU002974</t>
        </is>
      </c>
      <c r="B589" s="63" t="inlineStr">
        <is>
          <t>P003426</t>
        </is>
      </c>
      <c r="C589" s="36" t="n">
        <v>4301011551</v>
      </c>
      <c r="D589" s="832" t="n">
        <v>4640242180038</v>
      </c>
      <c r="E589" s="1193" t="n"/>
      <c r="F589" s="1232" t="n">
        <v>0.4</v>
      </c>
      <c r="G589" s="37" t="n">
        <v>10</v>
      </c>
      <c r="H589" s="1232" t="n">
        <v>4</v>
      </c>
      <c r="I589" s="1232" t="n">
        <v>4.21</v>
      </c>
      <c r="J589" s="37" t="n">
        <v>132</v>
      </c>
      <c r="K589" s="37" t="inlineStr">
        <is>
          <t>12</t>
        </is>
      </c>
      <c r="L589" s="37" t="inlineStr"/>
      <c r="M589" s="38" t="inlineStr">
        <is>
          <t>СК1</t>
        </is>
      </c>
      <c r="N589" s="38" t="n"/>
      <c r="O589" s="37" t="n">
        <v>50</v>
      </c>
      <c r="P589" s="1547" t="inlineStr">
        <is>
          <t>Вареные колбасы «Нежная» ф/в 0,4 п/а ТМ «Зареченские»</t>
        </is>
      </c>
      <c r="Q589" s="1234" t="n"/>
      <c r="R589" s="1234" t="n"/>
      <c r="S589" s="1234" t="n"/>
      <c r="T589" s="1235" t="n"/>
      <c r="U589" s="39" t="inlineStr"/>
      <c r="V589" s="39" t="inlineStr"/>
      <c r="W589" s="40" t="inlineStr">
        <is>
          <t>кг</t>
        </is>
      </c>
      <c r="X589" s="1236" t="n">
        <v>0</v>
      </c>
      <c r="Y589" s="1237">
        <f>IFERROR(IF(X589="",0,CEILING((X589/$H589),1)*$H589),"")</f>
        <v/>
      </c>
      <c r="Z589" s="41">
        <f>IFERROR(IF(Y589=0,"",ROUNDUP(Y589/H589,0)*0.00902),"")</f>
        <v/>
      </c>
      <c r="AA589" s="68" t="inlineStr"/>
      <c r="AB589" s="69" t="inlineStr"/>
      <c r="AC589" s="698" t="inlineStr">
        <is>
          <t>ЕАЭС N RU Д-RU.РА05.В.95257/23</t>
        </is>
      </c>
      <c r="AG589" s="78" t="n"/>
      <c r="AJ589" s="84" t="inlineStr"/>
      <c r="AK589" s="84" t="n">
        <v>0</v>
      </c>
      <c r="BB589" s="699" t="inlineStr">
        <is>
          <t>КИ</t>
        </is>
      </c>
      <c r="BM589" s="78">
        <f>IFERROR(X589*I589/H589,"0")</f>
        <v/>
      </c>
      <c r="BN589" s="78">
        <f>IFERROR(Y589*I589/H589,"0")</f>
        <v/>
      </c>
      <c r="BO589" s="78">
        <f>IFERROR(1/J589*(X589/H589),"0")</f>
        <v/>
      </c>
      <c r="BP589" s="78">
        <f>IFERROR(1/J589*(Y589/H589),"0")</f>
        <v/>
      </c>
    </row>
    <row r="590" ht="27" customHeight="1">
      <c r="A590" s="63" t="inlineStr">
        <is>
          <t>SU003295</t>
        </is>
      </c>
      <c r="B590" s="63" t="inlineStr">
        <is>
          <t>P004004</t>
        </is>
      </c>
      <c r="C590" s="36" t="n">
        <v>4301011765</v>
      </c>
      <c r="D590" s="832" t="n">
        <v>4640242181172</v>
      </c>
      <c r="E590" s="1193" t="n"/>
      <c r="F590" s="1232" t="n">
        <v>0.4</v>
      </c>
      <c r="G590" s="37" t="n">
        <v>10</v>
      </c>
      <c r="H590" s="1232" t="n">
        <v>4</v>
      </c>
      <c r="I590" s="1232" t="n">
        <v>4.21</v>
      </c>
      <c r="J590" s="37" t="n">
        <v>132</v>
      </c>
      <c r="K590" s="37" t="inlineStr">
        <is>
          <t>12</t>
        </is>
      </c>
      <c r="L590" s="37" t="inlineStr"/>
      <c r="M590" s="38" t="inlineStr">
        <is>
          <t>СК1</t>
        </is>
      </c>
      <c r="N590" s="38" t="n"/>
      <c r="O590" s="37" t="n">
        <v>55</v>
      </c>
      <c r="P590" s="1548" t="inlineStr">
        <is>
          <t>Вареные колбасы «Нежная со шпиком» Фикс.вес 0,4 п/а ТМ «Зареченские»</t>
        </is>
      </c>
      <c r="Q590" s="1234" t="n"/>
      <c r="R590" s="1234" t="n"/>
      <c r="S590" s="1234" t="n"/>
      <c r="T590" s="1235" t="n"/>
      <c r="U590" s="39" t="inlineStr"/>
      <c r="V590" s="39" t="inlineStr"/>
      <c r="W590" s="40" t="inlineStr">
        <is>
          <t>кг</t>
        </is>
      </c>
      <c r="X590" s="1236" t="n">
        <v>0</v>
      </c>
      <c r="Y590" s="1237">
        <f>IFERROR(IF(X590="",0,CEILING((X590/$H590),1)*$H590),"")</f>
        <v/>
      </c>
      <c r="Z590" s="41">
        <f>IFERROR(IF(Y590=0,"",ROUNDUP(Y590/H590,0)*0.00902),"")</f>
        <v/>
      </c>
      <c r="AA590" s="68" t="inlineStr"/>
      <c r="AB590" s="69" t="inlineStr"/>
      <c r="AC590" s="700" t="inlineStr">
        <is>
          <t>ЕАЭС N RU Д-RU.РА10.В.53840/23</t>
        </is>
      </c>
      <c r="AG590" s="78" t="n"/>
      <c r="AJ590" s="84" t="inlineStr"/>
      <c r="AK590" s="84" t="n">
        <v>0</v>
      </c>
      <c r="BB590" s="701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>
      <c r="A591" s="843" t="n"/>
      <c r="B591" s="1182" t="n"/>
      <c r="C591" s="1182" t="n"/>
      <c r="D591" s="1182" t="n"/>
      <c r="E591" s="1182" t="n"/>
      <c r="F591" s="1182" t="n"/>
      <c r="G591" s="1182" t="n"/>
      <c r="H591" s="1182" t="n"/>
      <c r="I591" s="1182" t="n"/>
      <c r="J591" s="1182" t="n"/>
      <c r="K591" s="1182" t="n"/>
      <c r="L591" s="1182" t="n"/>
      <c r="M591" s="1182" t="n"/>
      <c r="N591" s="1182" t="n"/>
      <c r="O591" s="1241" t="n"/>
      <c r="P591" s="1242" t="inlineStr">
        <is>
          <t>Итого</t>
        </is>
      </c>
      <c r="Q591" s="1201" t="n"/>
      <c r="R591" s="1201" t="n"/>
      <c r="S591" s="1201" t="n"/>
      <c r="T591" s="1201" t="n"/>
      <c r="U591" s="1201" t="n"/>
      <c r="V591" s="1202" t="n"/>
      <c r="W591" s="42" t="inlineStr">
        <is>
          <t>кор</t>
        </is>
      </c>
      <c r="X591" s="1243">
        <f>IFERROR(X584/H584,"0")+IFERROR(X585/H585,"0")+IFERROR(X586/H586,"0")+IFERROR(X587/H587,"0")+IFERROR(X588/H588,"0")+IFERROR(X589/H589,"0")+IFERROR(X590/H590,"0")</f>
        <v/>
      </c>
      <c r="Y591" s="1243">
        <f>IFERROR(Y584/H584,"0")+IFERROR(Y585/H585,"0")+IFERROR(Y586/H586,"0")+IFERROR(Y587/H587,"0")+IFERROR(Y588/H588,"0")+IFERROR(Y589/H589,"0")+IFERROR(Y590/H590,"0")</f>
        <v/>
      </c>
      <c r="Z591" s="1243">
        <f>IFERROR(IF(Z584="",0,Z584),"0")+IFERROR(IF(Z585="",0,Z585),"0")+IFERROR(IF(Z586="",0,Z586),"0")+IFERROR(IF(Z587="",0,Z587),"0")+IFERROR(IF(Z588="",0,Z588),"0")+IFERROR(IF(Z589="",0,Z589),"0")+IFERROR(IF(Z590="",0,Z590),"0")</f>
        <v/>
      </c>
      <c r="AA591" s="1244" t="n"/>
      <c r="AB591" s="1244" t="n"/>
      <c r="AC591" s="1244" t="n"/>
    </row>
    <row r="592">
      <c r="A592" s="1182" t="n"/>
      <c r="B592" s="1182" t="n"/>
      <c r="C592" s="1182" t="n"/>
      <c r="D592" s="1182" t="n"/>
      <c r="E592" s="1182" t="n"/>
      <c r="F592" s="1182" t="n"/>
      <c r="G592" s="1182" t="n"/>
      <c r="H592" s="1182" t="n"/>
      <c r="I592" s="1182" t="n"/>
      <c r="J592" s="1182" t="n"/>
      <c r="K592" s="1182" t="n"/>
      <c r="L592" s="1182" t="n"/>
      <c r="M592" s="1182" t="n"/>
      <c r="N592" s="1182" t="n"/>
      <c r="O592" s="1241" t="n"/>
      <c r="P592" s="1242" t="inlineStr">
        <is>
          <t>Итого</t>
        </is>
      </c>
      <c r="Q592" s="1201" t="n"/>
      <c r="R592" s="1201" t="n"/>
      <c r="S592" s="1201" t="n"/>
      <c r="T592" s="1201" t="n"/>
      <c r="U592" s="1201" t="n"/>
      <c r="V592" s="1202" t="n"/>
      <c r="W592" s="42" t="inlineStr">
        <is>
          <t>кг</t>
        </is>
      </c>
      <c r="X592" s="1243">
        <f>IFERROR(SUM(X584:X590),"0")</f>
        <v/>
      </c>
      <c r="Y592" s="1243">
        <f>IFERROR(SUM(Y584:Y590),"0")</f>
        <v/>
      </c>
      <c r="Z592" s="42" t="n"/>
      <c r="AA592" s="1244" t="n"/>
      <c r="AB592" s="1244" t="n"/>
      <c r="AC592" s="1244" t="n"/>
    </row>
    <row r="593" ht="14.25" customHeight="1">
      <c r="A593" s="831" t="inlineStr">
        <is>
          <t>Ветчины</t>
        </is>
      </c>
      <c r="B593" s="1182" t="n"/>
      <c r="C593" s="1182" t="n"/>
      <c r="D593" s="1182" t="n"/>
      <c r="E593" s="1182" t="n"/>
      <c r="F593" s="1182" t="n"/>
      <c r="G593" s="1182" t="n"/>
      <c r="H593" s="1182" t="n"/>
      <c r="I593" s="1182" t="n"/>
      <c r="J593" s="1182" t="n"/>
      <c r="K593" s="1182" t="n"/>
      <c r="L593" s="1182" t="n"/>
      <c r="M593" s="1182" t="n"/>
      <c r="N593" s="1182" t="n"/>
      <c r="O593" s="1182" t="n"/>
      <c r="P593" s="1182" t="n"/>
      <c r="Q593" s="1182" t="n"/>
      <c r="R593" s="1182" t="n"/>
      <c r="S593" s="1182" t="n"/>
      <c r="T593" s="1182" t="n"/>
      <c r="U593" s="1182" t="n"/>
      <c r="V593" s="1182" t="n"/>
      <c r="W593" s="1182" t="n"/>
      <c r="X593" s="1182" t="n"/>
      <c r="Y593" s="1182" t="n"/>
      <c r="Z593" s="1182" t="n"/>
      <c r="AA593" s="831" t="n"/>
      <c r="AB593" s="831" t="n"/>
      <c r="AC593" s="831" t="n"/>
    </row>
    <row r="594" ht="16.5" customHeight="1">
      <c r="A594" s="63" t="inlineStr">
        <is>
          <t>SU002806</t>
        </is>
      </c>
      <c r="B594" s="63" t="inlineStr">
        <is>
          <t>P003591</t>
        </is>
      </c>
      <c r="C594" s="36" t="n">
        <v>4301020269</v>
      </c>
      <c r="D594" s="832" t="n">
        <v>4640242180519</v>
      </c>
      <c r="E594" s="1193" t="n"/>
      <c r="F594" s="1232" t="n">
        <v>1.35</v>
      </c>
      <c r="G594" s="37" t="n">
        <v>8</v>
      </c>
      <c r="H594" s="1232" t="n">
        <v>10.8</v>
      </c>
      <c r="I594" s="1232" t="n">
        <v>11.235</v>
      </c>
      <c r="J594" s="37" t="n">
        <v>64</v>
      </c>
      <c r="K594" s="37" t="inlineStr">
        <is>
          <t>8</t>
        </is>
      </c>
      <c r="L594" s="37" t="inlineStr"/>
      <c r="M594" s="38" t="inlineStr">
        <is>
          <t>СК3</t>
        </is>
      </c>
      <c r="N594" s="38" t="n"/>
      <c r="O594" s="37" t="n">
        <v>50</v>
      </c>
      <c r="P594" s="1549" t="inlineStr">
        <is>
          <t>Ветчины «Нежная» Весовой п/а ТМ «Зареченские»</t>
        </is>
      </c>
      <c r="Q594" s="1234" t="n"/>
      <c r="R594" s="1234" t="n"/>
      <c r="S594" s="1234" t="n"/>
      <c r="T594" s="1235" t="n"/>
      <c r="U594" s="39" t="inlineStr"/>
      <c r="V594" s="39" t="inlineStr"/>
      <c r="W594" s="40" t="inlineStr">
        <is>
          <t>кг</t>
        </is>
      </c>
      <c r="X594" s="1236" t="n">
        <v>0</v>
      </c>
      <c r="Y594" s="1237">
        <f>IFERROR(IF(X594="",0,CEILING((X594/$H594),1)*$H594),"")</f>
        <v/>
      </c>
      <c r="Z594" s="41">
        <f>IFERROR(IF(Y594=0,"",ROUNDUP(Y594/H594,0)*0.01898),"")</f>
        <v/>
      </c>
      <c r="AA594" s="68" t="inlineStr"/>
      <c r="AB594" s="69" t="inlineStr"/>
      <c r="AC594" s="702" t="inlineStr">
        <is>
          <t>ЕАЭС № RU Д-RU.РА01.В.93655/20</t>
        </is>
      </c>
      <c r="AG594" s="78" t="n"/>
      <c r="AJ594" s="84" t="inlineStr"/>
      <c r="AK594" s="84" t="n">
        <v>0</v>
      </c>
      <c r="BB594" s="703" t="inlineStr">
        <is>
          <t>КИ</t>
        </is>
      </c>
      <c r="BM594" s="78">
        <f>IFERROR(X594*I594/H594,"0")</f>
        <v/>
      </c>
      <c r="BN594" s="78">
        <f>IFERROR(Y594*I594/H594,"0")</f>
        <v/>
      </c>
      <c r="BO594" s="78">
        <f>IFERROR(1/J594*(X594/H594),"0")</f>
        <v/>
      </c>
      <c r="BP594" s="78">
        <f>IFERROR(1/J594*(Y594/H594),"0")</f>
        <v/>
      </c>
    </row>
    <row r="595" ht="27" customHeight="1">
      <c r="A595" s="63" t="inlineStr">
        <is>
          <t>SU002811</t>
        </is>
      </c>
      <c r="B595" s="63" t="inlineStr">
        <is>
          <t>P003588</t>
        </is>
      </c>
      <c r="C595" s="36" t="n">
        <v>4301020260</v>
      </c>
      <c r="D595" s="832" t="n">
        <v>4640242180526</v>
      </c>
      <c r="E595" s="1193" t="n"/>
      <c r="F595" s="1232" t="n">
        <v>1.8</v>
      </c>
      <c r="G595" s="37" t="n">
        <v>6</v>
      </c>
      <c r="H595" s="1232" t="n">
        <v>10.8</v>
      </c>
      <c r="I595" s="1232" t="n">
        <v>11.235</v>
      </c>
      <c r="J595" s="37" t="n">
        <v>64</v>
      </c>
      <c r="K595" s="37" t="inlineStr">
        <is>
          <t>8</t>
        </is>
      </c>
      <c r="L595" s="37" t="inlineStr"/>
      <c r="M595" s="38" t="inlineStr">
        <is>
          <t>СК1</t>
        </is>
      </c>
      <c r="N595" s="38" t="n"/>
      <c r="O595" s="37" t="n">
        <v>50</v>
      </c>
      <c r="P595" s="1550" t="inlineStr">
        <is>
          <t>Ветчины «Нежная» Весовой п/а ТМ «Зареченские» большой батон</t>
        </is>
      </c>
      <c r="Q595" s="1234" t="n"/>
      <c r="R595" s="1234" t="n"/>
      <c r="S595" s="1234" t="n"/>
      <c r="T595" s="1235" t="n"/>
      <c r="U595" s="39" t="inlineStr"/>
      <c r="V595" s="39" t="inlineStr"/>
      <c r="W595" s="40" t="inlineStr">
        <is>
          <t>кг</t>
        </is>
      </c>
      <c r="X595" s="1236" t="n">
        <v>0</v>
      </c>
      <c r="Y595" s="1237">
        <f>IFERROR(IF(X595="",0,CEILING((X595/$H595),1)*$H595),"")</f>
        <v/>
      </c>
      <c r="Z595" s="41">
        <f>IFERROR(IF(Y595=0,"",ROUNDUP(Y595/H595,0)*0.01898),"")</f>
        <v/>
      </c>
      <c r="AA595" s="68" t="inlineStr"/>
      <c r="AB595" s="69" t="inlineStr"/>
      <c r="AC595" s="704" t="inlineStr">
        <is>
          <t>ЕАЭС № RU Д-RU.РА01.В.93655/20</t>
        </is>
      </c>
      <c r="AG595" s="78" t="n"/>
      <c r="AJ595" s="84" t="inlineStr"/>
      <c r="AK595" s="84" t="n">
        <v>0</v>
      </c>
      <c r="BB595" s="705" t="inlineStr">
        <is>
          <t>КИ</t>
        </is>
      </c>
      <c r="BM595" s="78">
        <f>IFERROR(X595*I595/H595,"0")</f>
        <v/>
      </c>
      <c r="BN595" s="78">
        <f>IFERROR(Y595*I595/H595,"0")</f>
        <v/>
      </c>
      <c r="BO595" s="78">
        <f>IFERROR(1/J595*(X595/H595),"0")</f>
        <v/>
      </c>
      <c r="BP595" s="78">
        <f>IFERROR(1/J595*(Y595/H595),"0")</f>
        <v/>
      </c>
    </row>
    <row r="596" ht="27" customHeight="1">
      <c r="A596" s="63" t="inlineStr">
        <is>
          <t>SU003398</t>
        </is>
      </c>
      <c r="B596" s="63" t="inlineStr">
        <is>
          <t>P004217</t>
        </is>
      </c>
      <c r="C596" s="36" t="n">
        <v>4301020309</v>
      </c>
      <c r="D596" s="832" t="n">
        <v>4640242180090</v>
      </c>
      <c r="E596" s="1193" t="n"/>
      <c r="F596" s="1232" t="n">
        <v>1.35</v>
      </c>
      <c r="G596" s="37" t="n">
        <v>8</v>
      </c>
      <c r="H596" s="1232" t="n">
        <v>10.8</v>
      </c>
      <c r="I596" s="1232" t="n">
        <v>11.235</v>
      </c>
      <c r="J596" s="37" t="n">
        <v>64</v>
      </c>
      <c r="K596" s="37" t="inlineStr">
        <is>
          <t>8</t>
        </is>
      </c>
      <c r="L596" s="37" t="inlineStr"/>
      <c r="M596" s="38" t="inlineStr">
        <is>
          <t>СК1</t>
        </is>
      </c>
      <c r="N596" s="38" t="n"/>
      <c r="O596" s="37" t="n">
        <v>50</v>
      </c>
      <c r="P596" s="1551" t="inlineStr">
        <is>
          <t>Ветчины «Рубленая» Весовой п/а ТМ «Зареченские»</t>
        </is>
      </c>
      <c r="Q596" s="1234" t="n"/>
      <c r="R596" s="1234" t="n"/>
      <c r="S596" s="1234" t="n"/>
      <c r="T596" s="1235" t="n"/>
      <c r="U596" s="39" t="inlineStr"/>
      <c r="V596" s="39" t="inlineStr"/>
      <c r="W596" s="40" t="inlineStr">
        <is>
          <t>кг</t>
        </is>
      </c>
      <c r="X596" s="1236" t="n">
        <v>0</v>
      </c>
      <c r="Y596" s="1237">
        <f>IFERROR(IF(X596="",0,CEILING((X596/$H596),1)*$H596),"")</f>
        <v/>
      </c>
      <c r="Z596" s="41">
        <f>IFERROR(IF(Y596=0,"",ROUNDUP(Y596/H596,0)*0.01898),"")</f>
        <v/>
      </c>
      <c r="AA596" s="68" t="inlineStr"/>
      <c r="AB596" s="69" t="inlineStr"/>
      <c r="AC596" s="706" t="inlineStr">
        <is>
          <t>ЕАЭС N RU Д-RU.РА01.В.73138/24</t>
        </is>
      </c>
      <c r="AG596" s="78" t="n"/>
      <c r="AJ596" s="84" t="inlineStr"/>
      <c r="AK596" s="84" t="n">
        <v>0</v>
      </c>
      <c r="BB596" s="707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 ht="27" customHeight="1">
      <c r="A597" s="63" t="inlineStr">
        <is>
          <t>SU003298</t>
        </is>
      </c>
      <c r="B597" s="63" t="inlineStr">
        <is>
          <t>P004003</t>
        </is>
      </c>
      <c r="C597" s="36" t="n">
        <v>4301020295</v>
      </c>
      <c r="D597" s="832" t="n">
        <v>4640242181363</v>
      </c>
      <c r="E597" s="1193" t="n"/>
      <c r="F597" s="1232" t="n">
        <v>0.4</v>
      </c>
      <c r="G597" s="37" t="n">
        <v>10</v>
      </c>
      <c r="H597" s="1232" t="n">
        <v>4</v>
      </c>
      <c r="I597" s="1232" t="n">
        <v>4.21</v>
      </c>
      <c r="J597" s="37" t="n">
        <v>132</v>
      </c>
      <c r="K597" s="37" t="inlineStr">
        <is>
          <t>12</t>
        </is>
      </c>
      <c r="L597" s="37" t="inlineStr"/>
      <c r="M597" s="38" t="inlineStr">
        <is>
          <t>СК1</t>
        </is>
      </c>
      <c r="N597" s="38" t="n"/>
      <c r="O597" s="37" t="n">
        <v>50</v>
      </c>
      <c r="P597" s="1552" t="inlineStr">
        <is>
          <t>Ветчины «Рубленая» Фикс.вес 0,4 п/а ТМ «Зареченские»</t>
        </is>
      </c>
      <c r="Q597" s="1234" t="n"/>
      <c r="R597" s="1234" t="n"/>
      <c r="S597" s="1234" t="n"/>
      <c r="T597" s="1235" t="n"/>
      <c r="U597" s="39" t="inlineStr"/>
      <c r="V597" s="39" t="inlineStr"/>
      <c r="W597" s="40" t="inlineStr">
        <is>
          <t>кг</t>
        </is>
      </c>
      <c r="X597" s="1236" t="n">
        <v>0</v>
      </c>
      <c r="Y597" s="1237">
        <f>IFERROR(IF(X597="",0,CEILING((X597/$H597),1)*$H597),"")</f>
        <v/>
      </c>
      <c r="Z597" s="41">
        <f>IFERROR(IF(Y597=0,"",ROUNDUP(Y597/H597,0)*0.00902),"")</f>
        <v/>
      </c>
      <c r="AA597" s="68" t="inlineStr"/>
      <c r="AB597" s="69" t="inlineStr"/>
      <c r="AC597" s="708" t="inlineStr">
        <is>
          <t>ЕАЭС N RU Д-RU.РА01.В.73138/24</t>
        </is>
      </c>
      <c r="AG597" s="78" t="n"/>
      <c r="AJ597" s="84" t="inlineStr"/>
      <c r="AK597" s="84" t="n">
        <v>0</v>
      </c>
      <c r="BB597" s="709" t="inlineStr">
        <is>
          <t>КИ</t>
        </is>
      </c>
      <c r="BM597" s="78">
        <f>IFERROR(X597*I597/H597,"0")</f>
        <v/>
      </c>
      <c r="BN597" s="78">
        <f>IFERROR(Y597*I597/H597,"0")</f>
        <v/>
      </c>
      <c r="BO597" s="78">
        <f>IFERROR(1/J597*(X597/H597),"0")</f>
        <v/>
      </c>
      <c r="BP597" s="78">
        <f>IFERROR(1/J597*(Y597/H597),"0")</f>
        <v/>
      </c>
    </row>
    <row r="598">
      <c r="A598" s="843" t="n"/>
      <c r="B598" s="1182" t="n"/>
      <c r="C598" s="1182" t="n"/>
      <c r="D598" s="1182" t="n"/>
      <c r="E598" s="1182" t="n"/>
      <c r="F598" s="1182" t="n"/>
      <c r="G598" s="1182" t="n"/>
      <c r="H598" s="1182" t="n"/>
      <c r="I598" s="1182" t="n"/>
      <c r="J598" s="1182" t="n"/>
      <c r="K598" s="1182" t="n"/>
      <c r="L598" s="1182" t="n"/>
      <c r="M598" s="1182" t="n"/>
      <c r="N598" s="1182" t="n"/>
      <c r="O598" s="1241" t="n"/>
      <c r="P598" s="1242" t="inlineStr">
        <is>
          <t>Итого</t>
        </is>
      </c>
      <c r="Q598" s="1201" t="n"/>
      <c r="R598" s="1201" t="n"/>
      <c r="S598" s="1201" t="n"/>
      <c r="T598" s="1201" t="n"/>
      <c r="U598" s="1201" t="n"/>
      <c r="V598" s="1202" t="n"/>
      <c r="W598" s="42" t="inlineStr">
        <is>
          <t>кор</t>
        </is>
      </c>
      <c r="X598" s="1243">
        <f>IFERROR(X594/H594,"0")+IFERROR(X595/H595,"0")+IFERROR(X596/H596,"0")+IFERROR(X597/H597,"0")</f>
        <v/>
      </c>
      <c r="Y598" s="1243">
        <f>IFERROR(Y594/H594,"0")+IFERROR(Y595/H595,"0")+IFERROR(Y596/H596,"0")+IFERROR(Y597/H597,"0")</f>
        <v/>
      </c>
      <c r="Z598" s="1243">
        <f>IFERROR(IF(Z594="",0,Z594),"0")+IFERROR(IF(Z595="",0,Z595),"0")+IFERROR(IF(Z596="",0,Z596),"0")+IFERROR(IF(Z597="",0,Z597),"0")</f>
        <v/>
      </c>
      <c r="AA598" s="1244" t="n"/>
      <c r="AB598" s="1244" t="n"/>
      <c r="AC598" s="1244" t="n"/>
    </row>
    <row r="599">
      <c r="A599" s="1182" t="n"/>
      <c r="B599" s="1182" t="n"/>
      <c r="C599" s="1182" t="n"/>
      <c r="D599" s="1182" t="n"/>
      <c r="E599" s="1182" t="n"/>
      <c r="F599" s="1182" t="n"/>
      <c r="G599" s="1182" t="n"/>
      <c r="H599" s="1182" t="n"/>
      <c r="I599" s="1182" t="n"/>
      <c r="J599" s="1182" t="n"/>
      <c r="K599" s="1182" t="n"/>
      <c r="L599" s="1182" t="n"/>
      <c r="M599" s="1182" t="n"/>
      <c r="N599" s="1182" t="n"/>
      <c r="O599" s="1241" t="n"/>
      <c r="P599" s="1242" t="inlineStr">
        <is>
          <t>Итого</t>
        </is>
      </c>
      <c r="Q599" s="1201" t="n"/>
      <c r="R599" s="1201" t="n"/>
      <c r="S599" s="1201" t="n"/>
      <c r="T599" s="1201" t="n"/>
      <c r="U599" s="1201" t="n"/>
      <c r="V599" s="1202" t="n"/>
      <c r="W599" s="42" t="inlineStr">
        <is>
          <t>кг</t>
        </is>
      </c>
      <c r="X599" s="1243">
        <f>IFERROR(SUM(X594:X597),"0")</f>
        <v/>
      </c>
      <c r="Y599" s="1243">
        <f>IFERROR(SUM(Y594:Y597),"0")</f>
        <v/>
      </c>
      <c r="Z599" s="42" t="n"/>
      <c r="AA599" s="1244" t="n"/>
      <c r="AB599" s="1244" t="n"/>
      <c r="AC599" s="1244" t="n"/>
    </row>
    <row r="600" ht="14.25" customHeight="1">
      <c r="A600" s="831" t="inlineStr">
        <is>
          <t>Копченые колбасы</t>
        </is>
      </c>
      <c r="B600" s="1182" t="n"/>
      <c r="C600" s="1182" t="n"/>
      <c r="D600" s="1182" t="n"/>
      <c r="E600" s="1182" t="n"/>
      <c r="F600" s="1182" t="n"/>
      <c r="G600" s="1182" t="n"/>
      <c r="H600" s="1182" t="n"/>
      <c r="I600" s="1182" t="n"/>
      <c r="J600" s="1182" t="n"/>
      <c r="K600" s="1182" t="n"/>
      <c r="L600" s="1182" t="n"/>
      <c r="M600" s="1182" t="n"/>
      <c r="N600" s="1182" t="n"/>
      <c r="O600" s="1182" t="n"/>
      <c r="P600" s="1182" t="n"/>
      <c r="Q600" s="1182" t="n"/>
      <c r="R600" s="1182" t="n"/>
      <c r="S600" s="1182" t="n"/>
      <c r="T600" s="1182" t="n"/>
      <c r="U600" s="1182" t="n"/>
      <c r="V600" s="1182" t="n"/>
      <c r="W600" s="1182" t="n"/>
      <c r="X600" s="1182" t="n"/>
      <c r="Y600" s="1182" t="n"/>
      <c r="Z600" s="1182" t="n"/>
      <c r="AA600" s="831" t="n"/>
      <c r="AB600" s="831" t="n"/>
      <c r="AC600" s="831" t="n"/>
    </row>
    <row r="601" ht="27" customHeight="1">
      <c r="A601" s="63" t="inlineStr">
        <is>
          <t>SU002805</t>
        </is>
      </c>
      <c r="B601" s="63" t="inlineStr">
        <is>
          <t>P003584</t>
        </is>
      </c>
      <c r="C601" s="36" t="n">
        <v>4301031280</v>
      </c>
      <c r="D601" s="832" t="n">
        <v>4640242180816</v>
      </c>
      <c r="E601" s="1193" t="n"/>
      <c r="F601" s="1232" t="n">
        <v>0.7</v>
      </c>
      <c r="G601" s="37" t="n">
        <v>6</v>
      </c>
      <c r="H601" s="1232" t="n">
        <v>4.2</v>
      </c>
      <c r="I601" s="1232" t="n">
        <v>4.47</v>
      </c>
      <c r="J601" s="37" t="n">
        <v>132</v>
      </c>
      <c r="K601" s="37" t="inlineStr">
        <is>
          <t>12</t>
        </is>
      </c>
      <c r="L601" s="37" t="inlineStr"/>
      <c r="M601" s="38" t="inlineStr">
        <is>
          <t>СК2</t>
        </is>
      </c>
      <c r="N601" s="38" t="n"/>
      <c r="O601" s="37" t="n">
        <v>40</v>
      </c>
      <c r="P601" s="1553" t="inlineStr">
        <is>
          <t>Копченые колбасы «Сервелат Пражский» Весовой фиброуз ТМ «Зареченские»</t>
        </is>
      </c>
      <c r="Q601" s="1234" t="n"/>
      <c r="R601" s="1234" t="n"/>
      <c r="S601" s="1234" t="n"/>
      <c r="T601" s="1235" t="n"/>
      <c r="U601" s="39" t="inlineStr"/>
      <c r="V601" s="39" t="inlineStr"/>
      <c r="W601" s="40" t="inlineStr">
        <is>
          <t>кг</t>
        </is>
      </c>
      <c r="X601" s="1236" t="n">
        <v>0</v>
      </c>
      <c r="Y601" s="1237">
        <f>IFERROR(IF(X601="",0,CEILING((X601/$H601),1)*$H601),"")</f>
        <v/>
      </c>
      <c r="Z601" s="41">
        <f>IFERROR(IF(Y601=0,"",ROUNDUP(Y601/H601,0)*0.00902),"")</f>
        <v/>
      </c>
      <c r="AA601" s="68" t="inlineStr"/>
      <c r="AB601" s="69" t="inlineStr"/>
      <c r="AC601" s="710" t="inlineStr">
        <is>
          <t>ЕАЭС N RU Д-RU.РА05.В.95896/23</t>
        </is>
      </c>
      <c r="AG601" s="78" t="n"/>
      <c r="AJ601" s="84" t="inlineStr"/>
      <c r="AK601" s="84" t="n">
        <v>0</v>
      </c>
      <c r="BB601" s="711" t="inlineStr">
        <is>
          <t>КИ</t>
        </is>
      </c>
      <c r="BM601" s="78">
        <f>IFERROR(X601*I601/H601,"0")</f>
        <v/>
      </c>
      <c r="BN601" s="78">
        <f>IFERROR(Y601*I601/H601,"0")</f>
        <v/>
      </c>
      <c r="BO601" s="78">
        <f>IFERROR(1/J601*(X601/H601),"0")</f>
        <v/>
      </c>
      <c r="BP601" s="78">
        <f>IFERROR(1/J601*(Y601/H601),"0")</f>
        <v/>
      </c>
    </row>
    <row r="602" ht="27" customHeight="1">
      <c r="A602" s="63" t="inlineStr">
        <is>
          <t>SU002809</t>
        </is>
      </c>
      <c r="B602" s="63" t="inlineStr">
        <is>
          <t>P003586</t>
        </is>
      </c>
      <c r="C602" s="36" t="n">
        <v>4301031244</v>
      </c>
      <c r="D602" s="832" t="n">
        <v>4640242180595</v>
      </c>
      <c r="E602" s="1193" t="n"/>
      <c r="F602" s="1232" t="n">
        <v>0.7</v>
      </c>
      <c r="G602" s="37" t="n">
        <v>6</v>
      </c>
      <c r="H602" s="1232" t="n">
        <v>4.2</v>
      </c>
      <c r="I602" s="1232" t="n">
        <v>4.47</v>
      </c>
      <c r="J602" s="37" t="n">
        <v>132</v>
      </c>
      <c r="K602" s="37" t="inlineStr">
        <is>
          <t>12</t>
        </is>
      </c>
      <c r="L602" s="37" t="inlineStr"/>
      <c r="M602" s="38" t="inlineStr">
        <is>
          <t>СК2</t>
        </is>
      </c>
      <c r="N602" s="38" t="n"/>
      <c r="O602" s="37" t="n">
        <v>40</v>
      </c>
      <c r="P602" s="1554" t="inlineStr">
        <is>
          <t>В/к колбасы «Сервелат Рижский» НТУ Весовые Фиброуз в/у ТМ «Зареченские»</t>
        </is>
      </c>
      <c r="Q602" s="1234" t="n"/>
      <c r="R602" s="1234" t="n"/>
      <c r="S602" s="1234" t="n"/>
      <c r="T602" s="1235" t="n"/>
      <c r="U602" s="39" t="inlineStr"/>
      <c r="V602" s="39" t="inlineStr"/>
      <c r="W602" s="40" t="inlineStr">
        <is>
          <t>кг</t>
        </is>
      </c>
      <c r="X602" s="1236" t="n">
        <v>0</v>
      </c>
      <c r="Y602" s="1237">
        <f>IFERROR(IF(X602="",0,CEILING((X602/$H602),1)*$H602),"")</f>
        <v/>
      </c>
      <c r="Z602" s="41">
        <f>IFERROR(IF(Y602=0,"",ROUNDUP(Y602/H602,0)*0.00902),"")</f>
        <v/>
      </c>
      <c r="AA602" s="68" t="inlineStr"/>
      <c r="AB602" s="69" t="inlineStr"/>
      <c r="AC602" s="712" t="inlineStr">
        <is>
          <t>ЕАЭС N RU Д-RU.РА05.В.94332/23</t>
        </is>
      </c>
      <c r="AG602" s="78" t="n"/>
      <c r="AJ602" s="84" t="inlineStr"/>
      <c r="AK602" s="84" t="n">
        <v>0</v>
      </c>
      <c r="BB602" s="713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 ht="27" customHeight="1">
      <c r="A603" s="63" t="inlineStr">
        <is>
          <t>SU003303</t>
        </is>
      </c>
      <c r="B603" s="63" t="inlineStr">
        <is>
          <t>P004010</t>
        </is>
      </c>
      <c r="C603" s="36" t="n">
        <v>4301031289</v>
      </c>
      <c r="D603" s="832" t="n">
        <v>4640242181615</v>
      </c>
      <c r="E603" s="1193" t="n"/>
      <c r="F603" s="1232" t="n">
        <v>0.7</v>
      </c>
      <c r="G603" s="37" t="n">
        <v>6</v>
      </c>
      <c r="H603" s="1232" t="n">
        <v>4.2</v>
      </c>
      <c r="I603" s="1232" t="n">
        <v>4.41</v>
      </c>
      <c r="J603" s="37" t="n">
        <v>132</v>
      </c>
      <c r="K603" s="37" t="inlineStr">
        <is>
          <t>12</t>
        </is>
      </c>
      <c r="L603" s="37" t="inlineStr"/>
      <c r="M603" s="38" t="inlineStr">
        <is>
          <t>СК2</t>
        </is>
      </c>
      <c r="N603" s="38" t="n"/>
      <c r="O603" s="37" t="n">
        <v>45</v>
      </c>
      <c r="P603" s="1555" t="inlineStr">
        <is>
          <t>В/к колбасы «Салями Мясная » Весовой Айцел ТМ «Зареченские»</t>
        </is>
      </c>
      <c r="Q603" s="1234" t="n"/>
      <c r="R603" s="1234" t="n"/>
      <c r="S603" s="1234" t="n"/>
      <c r="T603" s="1235" t="n"/>
      <c r="U603" s="39" t="inlineStr"/>
      <c r="V603" s="39" t="inlineStr"/>
      <c r="W603" s="40" t="inlineStr">
        <is>
          <t>кг</t>
        </is>
      </c>
      <c r="X603" s="1236" t="n">
        <v>0</v>
      </c>
      <c r="Y603" s="1237">
        <f>IFERROR(IF(X603="",0,CEILING((X603/$H603),1)*$H603),"")</f>
        <v/>
      </c>
      <c r="Z603" s="41">
        <f>IFERROR(IF(Y603=0,"",ROUNDUP(Y603/H603,0)*0.00902),"")</f>
        <v/>
      </c>
      <c r="AA603" s="68" t="inlineStr"/>
      <c r="AB603" s="69" t="inlineStr"/>
      <c r="AC603" s="714" t="inlineStr">
        <is>
          <t>ЕАЭС N RU Д-RU.РА04.В.24528/24</t>
        </is>
      </c>
      <c r="AG603" s="78" t="n"/>
      <c r="AJ603" s="84" t="inlineStr"/>
      <c r="AK603" s="84" t="n">
        <v>0</v>
      </c>
      <c r="BB603" s="715" t="inlineStr">
        <is>
          <t>КИ</t>
        </is>
      </c>
      <c r="BM603" s="78">
        <f>IFERROR(X603*I603/H603,"0")</f>
        <v/>
      </c>
      <c r="BN603" s="78">
        <f>IFERROR(Y603*I603/H603,"0")</f>
        <v/>
      </c>
      <c r="BO603" s="78">
        <f>IFERROR(1/J603*(X603/H603),"0")</f>
        <v/>
      </c>
      <c r="BP603" s="78">
        <f>IFERROR(1/J603*(Y603/H603),"0")</f>
        <v/>
      </c>
    </row>
    <row r="604" ht="27" customHeight="1">
      <c r="A604" s="63" t="inlineStr">
        <is>
          <t>SU003299</t>
        </is>
      </c>
      <c r="B604" s="63" t="inlineStr">
        <is>
          <t>P004005</t>
        </is>
      </c>
      <c r="C604" s="36" t="n">
        <v>4301031285</v>
      </c>
      <c r="D604" s="832" t="n">
        <v>4640242181639</v>
      </c>
      <c r="E604" s="1193" t="n"/>
      <c r="F604" s="1232" t="n">
        <v>0.7</v>
      </c>
      <c r="G604" s="37" t="n">
        <v>6</v>
      </c>
      <c r="H604" s="1232" t="n">
        <v>4.2</v>
      </c>
      <c r="I604" s="1232" t="n">
        <v>4.41</v>
      </c>
      <c r="J604" s="37" t="n">
        <v>132</v>
      </c>
      <c r="K604" s="37" t="inlineStr">
        <is>
          <t>12</t>
        </is>
      </c>
      <c r="L604" s="37" t="inlineStr"/>
      <c r="M604" s="38" t="inlineStr">
        <is>
          <t>СК2</t>
        </is>
      </c>
      <c r="N604" s="38" t="n"/>
      <c r="O604" s="37" t="n">
        <v>45</v>
      </c>
      <c r="P604" s="1556" t="inlineStr">
        <is>
          <t>В/к колбасы «Сервелат Мясной с ароматными пряностями» Весовой Айцел ТМ «Зареченские»</t>
        </is>
      </c>
      <c r="Q604" s="1234" t="n"/>
      <c r="R604" s="1234" t="n"/>
      <c r="S604" s="1234" t="n"/>
      <c r="T604" s="1235" t="n"/>
      <c r="U604" s="39" t="inlineStr"/>
      <c r="V604" s="39" t="inlineStr"/>
      <c r="W604" s="40" t="inlineStr">
        <is>
          <t>кг</t>
        </is>
      </c>
      <c r="X604" s="1236" t="n">
        <v>0</v>
      </c>
      <c r="Y604" s="1237">
        <f>IFERROR(IF(X604="",0,CEILING((X604/$H604),1)*$H604),"")</f>
        <v/>
      </c>
      <c r="Z604" s="41">
        <f>IFERROR(IF(Y604=0,"",ROUNDUP(Y604/H604,0)*0.00902),"")</f>
        <v/>
      </c>
      <c r="AA604" s="68" t="inlineStr"/>
      <c r="AB604" s="69" t="inlineStr"/>
      <c r="AC604" s="716" t="inlineStr">
        <is>
          <t>ЕАЭС N RU Д-RU.РА04.В.24720/24</t>
        </is>
      </c>
      <c r="AG604" s="78" t="n"/>
      <c r="AJ604" s="84" t="inlineStr"/>
      <c r="AK604" s="84" t="n">
        <v>0</v>
      </c>
      <c r="BB604" s="717" t="inlineStr">
        <is>
          <t>КИ</t>
        </is>
      </c>
      <c r="BM604" s="78">
        <f>IFERROR(X604*I604/H604,"0")</f>
        <v/>
      </c>
      <c r="BN604" s="78">
        <f>IFERROR(Y604*I604/H604,"0")</f>
        <v/>
      </c>
      <c r="BO604" s="78">
        <f>IFERROR(1/J604*(X604/H604),"0")</f>
        <v/>
      </c>
      <c r="BP604" s="78">
        <f>IFERROR(1/J604*(Y604/H604),"0")</f>
        <v/>
      </c>
    </row>
    <row r="605" ht="27" customHeight="1">
      <c r="A605" s="63" t="inlineStr">
        <is>
          <t>SU003301</t>
        </is>
      </c>
      <c r="B605" s="63" t="inlineStr">
        <is>
          <t>P004007</t>
        </is>
      </c>
      <c r="C605" s="36" t="n">
        <v>4301031287</v>
      </c>
      <c r="D605" s="832" t="n">
        <v>4640242181622</v>
      </c>
      <c r="E605" s="1193" t="n"/>
      <c r="F605" s="1232" t="n">
        <v>0.7</v>
      </c>
      <c r="G605" s="37" t="n">
        <v>6</v>
      </c>
      <c r="H605" s="1232" t="n">
        <v>4.2</v>
      </c>
      <c r="I605" s="1232" t="n">
        <v>4.41</v>
      </c>
      <c r="J605" s="37" t="n">
        <v>132</v>
      </c>
      <c r="K605" s="37" t="inlineStr">
        <is>
          <t>12</t>
        </is>
      </c>
      <c r="L605" s="37" t="inlineStr"/>
      <c r="M605" s="38" t="inlineStr">
        <is>
          <t>СК2</t>
        </is>
      </c>
      <c r="N605" s="38" t="n"/>
      <c r="O605" s="37" t="n">
        <v>45</v>
      </c>
      <c r="P605" s="1557" t="inlineStr">
        <is>
          <t>В/к колбасы «Сервелат Мясной с душистым чесноком» Весовой Айцел ТМ «Зареченские»</t>
        </is>
      </c>
      <c r="Q605" s="1234" t="n"/>
      <c r="R605" s="1234" t="n"/>
      <c r="S605" s="1234" t="n"/>
      <c r="T605" s="1235" t="n"/>
      <c r="U605" s="39" t="inlineStr"/>
      <c r="V605" s="39" t="inlineStr"/>
      <c r="W605" s="40" t="inlineStr">
        <is>
          <t>кг</t>
        </is>
      </c>
      <c r="X605" s="1236" t="n">
        <v>0</v>
      </c>
      <c r="Y605" s="1237">
        <f>IFERROR(IF(X605="",0,CEILING((X605/$H605),1)*$H605),"")</f>
        <v/>
      </c>
      <c r="Z605" s="41">
        <f>IFERROR(IF(Y605=0,"",ROUNDUP(Y605/H605,0)*0.00902),"")</f>
        <v/>
      </c>
      <c r="AA605" s="68" t="inlineStr"/>
      <c r="AB605" s="69" t="inlineStr"/>
      <c r="AC605" s="718" t="inlineStr">
        <is>
          <t>ЕАЭС N RU Д-RU.РА04.В.24352/24</t>
        </is>
      </c>
      <c r="AG605" s="78" t="n"/>
      <c r="AJ605" s="84" t="inlineStr"/>
      <c r="AK605" s="84" t="n">
        <v>0</v>
      </c>
      <c r="BB605" s="719" t="inlineStr">
        <is>
          <t>КИ</t>
        </is>
      </c>
      <c r="BM605" s="78">
        <f>IFERROR(X605*I605/H605,"0")</f>
        <v/>
      </c>
      <c r="BN605" s="78">
        <f>IFERROR(Y605*I605/H605,"0")</f>
        <v/>
      </c>
      <c r="BO605" s="78">
        <f>IFERROR(1/J605*(X605/H605),"0")</f>
        <v/>
      </c>
      <c r="BP605" s="78">
        <f>IFERROR(1/J605*(Y605/H605),"0")</f>
        <v/>
      </c>
    </row>
    <row r="606" ht="27" customHeight="1">
      <c r="A606" s="63" t="inlineStr">
        <is>
          <t>SU002855</t>
        </is>
      </c>
      <c r="B606" s="63" t="inlineStr">
        <is>
          <t>P003261</t>
        </is>
      </c>
      <c r="C606" s="36" t="n">
        <v>4301031203</v>
      </c>
      <c r="D606" s="832" t="n">
        <v>4640242180908</v>
      </c>
      <c r="E606" s="1193" t="n"/>
      <c r="F606" s="1232" t="n">
        <v>0.28</v>
      </c>
      <c r="G606" s="37" t="n">
        <v>6</v>
      </c>
      <c r="H606" s="1232" t="n">
        <v>1.68</v>
      </c>
      <c r="I606" s="1232" t="n">
        <v>1.81</v>
      </c>
      <c r="J606" s="37" t="n">
        <v>234</v>
      </c>
      <c r="K606" s="37" t="inlineStr">
        <is>
          <t>18</t>
        </is>
      </c>
      <c r="L606" s="37" t="inlineStr"/>
      <c r="M606" s="38" t="inlineStr">
        <is>
          <t>СК2</t>
        </is>
      </c>
      <c r="N606" s="38" t="n"/>
      <c r="O606" s="37" t="n">
        <v>40</v>
      </c>
      <c r="P606" s="1558" t="inlineStr">
        <is>
          <t>Копченые колбасы «Сервелат Пражский» срез Фикс.вес 0,28 фиброуз в/у ТМ «Зареченские»</t>
        </is>
      </c>
      <c r="Q606" s="1234" t="n"/>
      <c r="R606" s="1234" t="n"/>
      <c r="S606" s="1234" t="n"/>
      <c r="T606" s="1235" t="n"/>
      <c r="U606" s="39" t="inlineStr"/>
      <c r="V606" s="39" t="inlineStr"/>
      <c r="W606" s="40" t="inlineStr">
        <is>
          <t>кг</t>
        </is>
      </c>
      <c r="X606" s="1236" t="n">
        <v>0</v>
      </c>
      <c r="Y606" s="1237">
        <f>IFERROR(IF(X606="",0,CEILING((X606/$H606),1)*$H606),"")</f>
        <v/>
      </c>
      <c r="Z606" s="41">
        <f>IFERROR(IF(Y606=0,"",ROUNDUP(Y606/H606,0)*0.00502),"")</f>
        <v/>
      </c>
      <c r="AA606" s="68" t="inlineStr"/>
      <c r="AB606" s="69" t="inlineStr"/>
      <c r="AC606" s="720" t="inlineStr">
        <is>
          <t>ЕАЭС N RU Д-RU.РА05.В.95896/23</t>
        </is>
      </c>
      <c r="AG606" s="78" t="n"/>
      <c r="AJ606" s="84" t="inlineStr"/>
      <c r="AK606" s="84" t="n">
        <v>0</v>
      </c>
      <c r="BB606" s="721" t="inlineStr">
        <is>
          <t>КИ</t>
        </is>
      </c>
      <c r="BM606" s="78">
        <f>IFERROR(X606*I606/H606,"0")</f>
        <v/>
      </c>
      <c r="BN606" s="78">
        <f>IFERROR(Y606*I606/H606,"0")</f>
        <v/>
      </c>
      <c r="BO606" s="78">
        <f>IFERROR(1/J606*(X606/H606),"0")</f>
        <v/>
      </c>
      <c r="BP606" s="78">
        <f>IFERROR(1/J606*(Y606/H606),"0")</f>
        <v/>
      </c>
    </row>
    <row r="607" ht="27" customHeight="1">
      <c r="A607" s="63" t="inlineStr">
        <is>
          <t>SU002856</t>
        </is>
      </c>
      <c r="B607" s="63" t="inlineStr">
        <is>
          <t>P003257</t>
        </is>
      </c>
      <c r="C607" s="36" t="n">
        <v>4301031200</v>
      </c>
      <c r="D607" s="832" t="n">
        <v>4640242180489</v>
      </c>
      <c r="E607" s="1193" t="n"/>
      <c r="F607" s="1232" t="n">
        <v>0.28</v>
      </c>
      <c r="G607" s="37" t="n">
        <v>6</v>
      </c>
      <c r="H607" s="1232" t="n">
        <v>1.68</v>
      </c>
      <c r="I607" s="1232" t="n">
        <v>1.84</v>
      </c>
      <c r="J607" s="37" t="n">
        <v>234</v>
      </c>
      <c r="K607" s="37" t="inlineStr">
        <is>
          <t>18</t>
        </is>
      </c>
      <c r="L607" s="37" t="inlineStr"/>
      <c r="M607" s="38" t="inlineStr">
        <is>
          <t>СК2</t>
        </is>
      </c>
      <c r="N607" s="38" t="n"/>
      <c r="O607" s="37" t="n">
        <v>40</v>
      </c>
      <c r="P607" s="1559" t="inlineStr">
        <is>
          <t>В/к колбасы «Сервелат Рижский» срез Фикс.вес 0,28 Фиброуз в/у ТМ «Зареченские»</t>
        </is>
      </c>
      <c r="Q607" s="1234" t="n"/>
      <c r="R607" s="1234" t="n"/>
      <c r="S607" s="1234" t="n"/>
      <c r="T607" s="1235" t="n"/>
      <c r="U607" s="39" t="inlineStr"/>
      <c r="V607" s="39" t="inlineStr"/>
      <c r="W607" s="40" t="inlineStr">
        <is>
          <t>кг</t>
        </is>
      </c>
      <c r="X607" s="1236" t="n">
        <v>0</v>
      </c>
      <c r="Y607" s="1237">
        <f>IFERROR(IF(X607="",0,CEILING((X607/$H607),1)*$H607),"")</f>
        <v/>
      </c>
      <c r="Z607" s="41">
        <f>IFERROR(IF(Y607=0,"",ROUNDUP(Y607/H607,0)*0.00502),"")</f>
        <v/>
      </c>
      <c r="AA607" s="68" t="inlineStr"/>
      <c r="AB607" s="69" t="inlineStr"/>
      <c r="AC607" s="722" t="inlineStr">
        <is>
          <t>ЕАЭС N RU Д-RU.РА05.В.94332/23</t>
        </is>
      </c>
      <c r="AG607" s="78" t="n"/>
      <c r="AJ607" s="84" t="inlineStr"/>
      <c r="AK607" s="84" t="n">
        <v>0</v>
      </c>
      <c r="BB607" s="723" t="inlineStr">
        <is>
          <t>КИ</t>
        </is>
      </c>
      <c r="BM607" s="78">
        <f>IFERROR(X607*I607/H607,"0")</f>
        <v/>
      </c>
      <c r="BN607" s="78">
        <f>IFERROR(Y607*I607/H607,"0")</f>
        <v/>
      </c>
      <c r="BO607" s="78">
        <f>IFERROR(1/J607*(X607/H607),"0")</f>
        <v/>
      </c>
      <c r="BP607" s="78">
        <f>IFERROR(1/J607*(Y607/H607),"0")</f>
        <v/>
      </c>
    </row>
    <row r="608">
      <c r="A608" s="843" t="n"/>
      <c r="B608" s="1182" t="n"/>
      <c r="C608" s="1182" t="n"/>
      <c r="D608" s="1182" t="n"/>
      <c r="E608" s="1182" t="n"/>
      <c r="F608" s="1182" t="n"/>
      <c r="G608" s="1182" t="n"/>
      <c r="H608" s="1182" t="n"/>
      <c r="I608" s="1182" t="n"/>
      <c r="J608" s="1182" t="n"/>
      <c r="K608" s="1182" t="n"/>
      <c r="L608" s="1182" t="n"/>
      <c r="M608" s="1182" t="n"/>
      <c r="N608" s="1182" t="n"/>
      <c r="O608" s="1241" t="n"/>
      <c r="P608" s="1242" t="inlineStr">
        <is>
          <t>Итого</t>
        </is>
      </c>
      <c r="Q608" s="1201" t="n"/>
      <c r="R608" s="1201" t="n"/>
      <c r="S608" s="1201" t="n"/>
      <c r="T608" s="1201" t="n"/>
      <c r="U608" s="1201" t="n"/>
      <c r="V608" s="1202" t="n"/>
      <c r="W608" s="42" t="inlineStr">
        <is>
          <t>кор</t>
        </is>
      </c>
      <c r="X608" s="1243">
        <f>IFERROR(X601/H601,"0")+IFERROR(X602/H602,"0")+IFERROR(X603/H603,"0")+IFERROR(X604/H604,"0")+IFERROR(X605/H605,"0")+IFERROR(X606/H606,"0")+IFERROR(X607/H607,"0")</f>
        <v/>
      </c>
      <c r="Y608" s="1243">
        <f>IFERROR(Y601/H601,"0")+IFERROR(Y602/H602,"0")+IFERROR(Y603/H603,"0")+IFERROR(Y604/H604,"0")+IFERROR(Y605/H605,"0")+IFERROR(Y606/H606,"0")+IFERROR(Y607/H607,"0")</f>
        <v/>
      </c>
      <c r="Z608" s="1243">
        <f>IFERROR(IF(Z601="",0,Z601),"0")+IFERROR(IF(Z602="",0,Z602),"0")+IFERROR(IF(Z603="",0,Z603),"0")+IFERROR(IF(Z604="",0,Z604),"0")+IFERROR(IF(Z605="",0,Z605),"0")+IFERROR(IF(Z606="",0,Z606),"0")+IFERROR(IF(Z607="",0,Z607),"0")</f>
        <v/>
      </c>
      <c r="AA608" s="1244" t="n"/>
      <c r="AB608" s="1244" t="n"/>
      <c r="AC608" s="1244" t="n"/>
    </row>
    <row r="609">
      <c r="A609" s="1182" t="n"/>
      <c r="B609" s="1182" t="n"/>
      <c r="C609" s="1182" t="n"/>
      <c r="D609" s="1182" t="n"/>
      <c r="E609" s="1182" t="n"/>
      <c r="F609" s="1182" t="n"/>
      <c r="G609" s="1182" t="n"/>
      <c r="H609" s="1182" t="n"/>
      <c r="I609" s="1182" t="n"/>
      <c r="J609" s="1182" t="n"/>
      <c r="K609" s="1182" t="n"/>
      <c r="L609" s="1182" t="n"/>
      <c r="M609" s="1182" t="n"/>
      <c r="N609" s="1182" t="n"/>
      <c r="O609" s="1241" t="n"/>
      <c r="P609" s="1242" t="inlineStr">
        <is>
          <t>Итого</t>
        </is>
      </c>
      <c r="Q609" s="1201" t="n"/>
      <c r="R609" s="1201" t="n"/>
      <c r="S609" s="1201" t="n"/>
      <c r="T609" s="1201" t="n"/>
      <c r="U609" s="1201" t="n"/>
      <c r="V609" s="1202" t="n"/>
      <c r="W609" s="42" t="inlineStr">
        <is>
          <t>кг</t>
        </is>
      </c>
      <c r="X609" s="1243">
        <f>IFERROR(SUM(X601:X607),"0")</f>
        <v/>
      </c>
      <c r="Y609" s="1243">
        <f>IFERROR(SUM(Y601:Y607),"0")</f>
        <v/>
      </c>
      <c r="Z609" s="42" t="n"/>
      <c r="AA609" s="1244" t="n"/>
      <c r="AB609" s="1244" t="n"/>
      <c r="AC609" s="1244" t="n"/>
    </row>
    <row r="610" ht="14.25" customHeight="1">
      <c r="A610" s="831" t="inlineStr">
        <is>
          <t>Сосиски</t>
        </is>
      </c>
      <c r="B610" s="1182" t="n"/>
      <c r="C610" s="1182" t="n"/>
      <c r="D610" s="1182" t="n"/>
      <c r="E610" s="1182" t="n"/>
      <c r="F610" s="1182" t="n"/>
      <c r="G610" s="1182" t="n"/>
      <c r="H610" s="1182" t="n"/>
      <c r="I610" s="1182" t="n"/>
      <c r="J610" s="1182" t="n"/>
      <c r="K610" s="1182" t="n"/>
      <c r="L610" s="1182" t="n"/>
      <c r="M610" s="1182" t="n"/>
      <c r="N610" s="1182" t="n"/>
      <c r="O610" s="1182" t="n"/>
      <c r="P610" s="1182" t="n"/>
      <c r="Q610" s="1182" t="n"/>
      <c r="R610" s="1182" t="n"/>
      <c r="S610" s="1182" t="n"/>
      <c r="T610" s="1182" t="n"/>
      <c r="U610" s="1182" t="n"/>
      <c r="V610" s="1182" t="n"/>
      <c r="W610" s="1182" t="n"/>
      <c r="X610" s="1182" t="n"/>
      <c r="Y610" s="1182" t="n"/>
      <c r="Z610" s="1182" t="n"/>
      <c r="AA610" s="831" t="n"/>
      <c r="AB610" s="831" t="n"/>
      <c r="AC610" s="831" t="n"/>
    </row>
    <row r="611" ht="27" customHeight="1">
      <c r="A611" s="63" t="inlineStr">
        <is>
          <t>SU002655</t>
        </is>
      </c>
      <c r="B611" s="63" t="inlineStr">
        <is>
          <t>P004737</t>
        </is>
      </c>
      <c r="C611" s="36" t="n">
        <v>4301051887</v>
      </c>
      <c r="D611" s="832" t="n">
        <v>4640242180533</v>
      </c>
      <c r="E611" s="1193" t="n"/>
      <c r="F611" s="1232" t="n">
        <v>1.3</v>
      </c>
      <c r="G611" s="37" t="n">
        <v>6</v>
      </c>
      <c r="H611" s="1232" t="n">
        <v>7.8</v>
      </c>
      <c r="I611" s="1232" t="n">
        <v>8.319000000000001</v>
      </c>
      <c r="J611" s="37" t="n">
        <v>64</v>
      </c>
      <c r="K611" s="37" t="inlineStr">
        <is>
          <t>8</t>
        </is>
      </c>
      <c r="L611" s="37" t="inlineStr"/>
      <c r="M611" s="38" t="inlineStr">
        <is>
          <t>СК3</t>
        </is>
      </c>
      <c r="N611" s="38" t="n"/>
      <c r="O611" s="37" t="n">
        <v>45</v>
      </c>
      <c r="P611" s="1560" t="inlineStr">
        <is>
          <t>Сосиски «Датские» Весовой п/а ТМ «Зареченские продукты»</t>
        </is>
      </c>
      <c r="Q611" s="1234" t="n"/>
      <c r="R611" s="1234" t="n"/>
      <c r="S611" s="1234" t="n"/>
      <c r="T611" s="1235" t="n"/>
      <c r="U611" s="39" t="inlineStr"/>
      <c r="V611" s="39" t="inlineStr"/>
      <c r="W611" s="40" t="inlineStr">
        <is>
          <t>кг</t>
        </is>
      </c>
      <c r="X611" s="1236" t="n">
        <v>0</v>
      </c>
      <c r="Y611" s="1237">
        <f>IFERROR(IF(X611="",0,CEILING((X611/$H611),1)*$H611),"")</f>
        <v/>
      </c>
      <c r="Z611" s="41">
        <f>IFERROR(IF(Y611=0,"",ROUNDUP(Y611/H611,0)*0.01898),"")</f>
        <v/>
      </c>
      <c r="AA611" s="68" t="inlineStr"/>
      <c r="AB611" s="69" t="inlineStr"/>
      <c r="AC611" s="724" t="inlineStr">
        <is>
          <t>ЕАЭС N RU Д-RU.РА05.В.94085/23</t>
        </is>
      </c>
      <c r="AG611" s="78" t="n"/>
      <c r="AJ611" s="84" t="inlineStr"/>
      <c r="AK611" s="84" t="n">
        <v>0</v>
      </c>
      <c r="BB611" s="725" t="inlineStr">
        <is>
          <t>КИ</t>
        </is>
      </c>
      <c r="BM611" s="78">
        <f>IFERROR(X611*I611/H611,"0")</f>
        <v/>
      </c>
      <c r="BN611" s="78">
        <f>IFERROR(Y611*I611/H611,"0")</f>
        <v/>
      </c>
      <c r="BO611" s="78">
        <f>IFERROR(1/J611*(X611/H611),"0")</f>
        <v/>
      </c>
      <c r="BP611" s="78">
        <f>IFERROR(1/J611*(Y611/H611),"0")</f>
        <v/>
      </c>
    </row>
    <row r="612" ht="27" customHeight="1">
      <c r="A612" s="63" t="inlineStr">
        <is>
          <t>SU002655</t>
        </is>
      </c>
      <c r="B612" s="63" t="inlineStr">
        <is>
          <t>P004115</t>
        </is>
      </c>
      <c r="C612" s="36" t="n">
        <v>4301051746</v>
      </c>
      <c r="D612" s="832" t="n">
        <v>4640242180533</v>
      </c>
      <c r="E612" s="1193" t="n"/>
      <c r="F612" s="1232" t="n">
        <v>1.3</v>
      </c>
      <c r="G612" s="37" t="n">
        <v>6</v>
      </c>
      <c r="H612" s="1232" t="n">
        <v>7.8</v>
      </c>
      <c r="I612" s="1232" t="n">
        <v>8.319000000000001</v>
      </c>
      <c r="J612" s="37" t="n">
        <v>64</v>
      </c>
      <c r="K612" s="37" t="inlineStr">
        <is>
          <t>8</t>
        </is>
      </c>
      <c r="L612" s="37" t="inlineStr"/>
      <c r="M612" s="38" t="inlineStr">
        <is>
          <t>СК3</t>
        </is>
      </c>
      <c r="N612" s="38" t="n"/>
      <c r="O612" s="37" t="n">
        <v>40</v>
      </c>
      <c r="P612" s="1561" t="inlineStr">
        <is>
          <t>Сосиски Датские Зареченские продукты Весовые П/а мгс Зареченские</t>
        </is>
      </c>
      <c r="Q612" s="1234" t="n"/>
      <c r="R612" s="1234" t="n"/>
      <c r="S612" s="1234" t="n"/>
      <c r="T612" s="1235" t="n"/>
      <c r="U612" s="39" t="inlineStr"/>
      <c r="V612" s="39" t="inlineStr"/>
      <c r="W612" s="40" t="inlineStr">
        <is>
          <t>кг</t>
        </is>
      </c>
      <c r="X612" s="1236" t="n">
        <v>500</v>
      </c>
      <c r="Y612" s="1237">
        <f>IFERROR(IF(X612="",0,CEILING((X612/$H612),1)*$H612),"")</f>
        <v/>
      </c>
      <c r="Z612" s="41">
        <f>IFERROR(IF(Y612=0,"",ROUNDUP(Y612/H612,0)*0.01898),"")</f>
        <v/>
      </c>
      <c r="AA612" s="68" t="inlineStr"/>
      <c r="AB612" s="69" t="inlineStr"/>
      <c r="AC612" s="726" t="inlineStr">
        <is>
          <t>ЕАЭС N RU Д-RU.РА05.В.94085/23</t>
        </is>
      </c>
      <c r="AG612" s="78" t="n"/>
      <c r="AJ612" s="84" t="inlineStr"/>
      <c r="AK612" s="84" t="n">
        <v>0</v>
      </c>
      <c r="BB612" s="727" t="inlineStr">
        <is>
          <t>КИ</t>
        </is>
      </c>
      <c r="BM612" s="78">
        <f>IFERROR(X612*I612/H612,"0")</f>
        <v/>
      </c>
      <c r="BN612" s="78">
        <f>IFERROR(Y612*I612/H612,"0")</f>
        <v/>
      </c>
      <c r="BO612" s="78">
        <f>IFERROR(1/J612*(X612/H612),"0")</f>
        <v/>
      </c>
      <c r="BP612" s="78">
        <f>IFERROR(1/J612*(Y612/H612),"0")</f>
        <v/>
      </c>
    </row>
    <row r="613" ht="27" customHeight="1">
      <c r="A613" s="63" t="inlineStr">
        <is>
          <t>SU002803</t>
        </is>
      </c>
      <c r="B613" s="63" t="inlineStr">
        <is>
          <t>P004738</t>
        </is>
      </c>
      <c r="C613" s="36" t="n">
        <v>4301051933</v>
      </c>
      <c r="D613" s="832" t="n">
        <v>4640242180540</v>
      </c>
      <c r="E613" s="1193" t="n"/>
      <c r="F613" s="1232" t="n">
        <v>1.3</v>
      </c>
      <c r="G613" s="37" t="n">
        <v>6</v>
      </c>
      <c r="H613" s="1232" t="n">
        <v>7.8</v>
      </c>
      <c r="I613" s="1232" t="n">
        <v>8.319000000000001</v>
      </c>
      <c r="J613" s="37" t="n">
        <v>64</v>
      </c>
      <c r="K613" s="37" t="inlineStr">
        <is>
          <t>8</t>
        </is>
      </c>
      <c r="L613" s="37" t="inlineStr"/>
      <c r="M613" s="38" t="inlineStr">
        <is>
          <t>СК3</t>
        </is>
      </c>
      <c r="N613" s="38" t="n"/>
      <c r="O613" s="37" t="n">
        <v>45</v>
      </c>
      <c r="P613" s="1562" t="inlineStr">
        <is>
          <t>Сосиски «Сочные» Весовой п/а ТМ «Зареченские продукты»</t>
        </is>
      </c>
      <c r="Q613" s="1234" t="n"/>
      <c r="R613" s="1234" t="n"/>
      <c r="S613" s="1234" t="n"/>
      <c r="T613" s="1235" t="n"/>
      <c r="U613" s="39" t="inlineStr"/>
      <c r="V613" s="39" t="inlineStr"/>
      <c r="W613" s="40" t="inlineStr">
        <is>
          <t>кг</t>
        </is>
      </c>
      <c r="X613" s="1236" t="n">
        <v>0</v>
      </c>
      <c r="Y613" s="1237">
        <f>IFERROR(IF(X613="",0,CEILING((X613/$H613),1)*$H613),"")</f>
        <v/>
      </c>
      <c r="Z613" s="41">
        <f>IFERROR(IF(Y613=0,"",ROUNDUP(Y613/H613,0)*0.01898),"")</f>
        <v/>
      </c>
      <c r="AA613" s="68" t="inlineStr"/>
      <c r="AB613" s="69" t="inlineStr"/>
      <c r="AC613" s="728" t="inlineStr">
        <is>
          <t>ЕАЭС N RU Д-RU.РА05.В.94245/23</t>
        </is>
      </c>
      <c r="AG613" s="78" t="n"/>
      <c r="AJ613" s="84" t="inlineStr"/>
      <c r="AK613" s="84" t="n">
        <v>0</v>
      </c>
      <c r="BB613" s="729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 ht="27" customHeight="1">
      <c r="A614" s="63" t="inlineStr">
        <is>
          <t>SU002803</t>
        </is>
      </c>
      <c r="B614" s="63" t="inlineStr">
        <is>
          <t>P003590</t>
        </is>
      </c>
      <c r="C614" s="36" t="n">
        <v>4301051510</v>
      </c>
      <c r="D614" s="832" t="n">
        <v>4640242180540</v>
      </c>
      <c r="E614" s="1193" t="n"/>
      <c r="F614" s="1232" t="n">
        <v>1.3</v>
      </c>
      <c r="G614" s="37" t="n">
        <v>6</v>
      </c>
      <c r="H614" s="1232" t="n">
        <v>7.8</v>
      </c>
      <c r="I614" s="1232" t="n">
        <v>8.319000000000001</v>
      </c>
      <c r="J614" s="37" t="n">
        <v>64</v>
      </c>
      <c r="K614" s="37" t="inlineStr">
        <is>
          <t>8</t>
        </is>
      </c>
      <c r="L614" s="37" t="inlineStr"/>
      <c r="M614" s="38" t="inlineStr">
        <is>
          <t>СК2</t>
        </is>
      </c>
      <c r="N614" s="38" t="n"/>
      <c r="O614" s="37" t="n">
        <v>30</v>
      </c>
      <c r="P614" s="1563" t="inlineStr">
        <is>
          <t>Сосиски «Сочные» Весовой п/а ТМ «Зареченские»</t>
        </is>
      </c>
      <c r="Q614" s="1234" t="n"/>
      <c r="R614" s="1234" t="n"/>
      <c r="S614" s="1234" t="n"/>
      <c r="T614" s="1235" t="n"/>
      <c r="U614" s="39" t="inlineStr"/>
      <c r="V614" s="39" t="inlineStr"/>
      <c r="W614" s="40" t="inlineStr">
        <is>
          <t>кг</t>
        </is>
      </c>
      <c r="X614" s="1236" t="n">
        <v>0</v>
      </c>
      <c r="Y614" s="1237">
        <f>IFERROR(IF(X614="",0,CEILING((X614/$H614),1)*$H614),"")</f>
        <v/>
      </c>
      <c r="Z614" s="41">
        <f>IFERROR(IF(Y614=0,"",ROUNDUP(Y614/H614,0)*0.01898),"")</f>
        <v/>
      </c>
      <c r="AA614" s="68" t="inlineStr"/>
      <c r="AB614" s="69" t="inlineStr"/>
      <c r="AC614" s="730" t="inlineStr">
        <is>
          <t>ЕАЭС N RU Д-RU.РА05.В.94245/23</t>
        </is>
      </c>
      <c r="AG614" s="78" t="n"/>
      <c r="AJ614" s="84" t="inlineStr"/>
      <c r="AK614" s="84" t="n">
        <v>0</v>
      </c>
      <c r="BB614" s="731" t="inlineStr">
        <is>
          <t>КИ</t>
        </is>
      </c>
      <c r="BM614" s="78">
        <f>IFERROR(X614*I614/H614,"0")</f>
        <v/>
      </c>
      <c r="BN614" s="78">
        <f>IFERROR(Y614*I614/H614,"0")</f>
        <v/>
      </c>
      <c r="BO614" s="78">
        <f>IFERROR(1/J614*(X614/H614),"0")</f>
        <v/>
      </c>
      <c r="BP614" s="78">
        <f>IFERROR(1/J614*(Y614/H614),"0")</f>
        <v/>
      </c>
    </row>
    <row r="615" ht="27" customHeight="1">
      <c r="A615" s="63" t="inlineStr">
        <is>
          <t>SU002812</t>
        </is>
      </c>
      <c r="B615" s="63" t="inlineStr">
        <is>
          <t>P003218</t>
        </is>
      </c>
      <c r="C615" s="36" t="n">
        <v>4301051390</v>
      </c>
      <c r="D615" s="832" t="n">
        <v>4640242181233</v>
      </c>
      <c r="E615" s="1193" t="n"/>
      <c r="F615" s="1232" t="n">
        <v>0.3</v>
      </c>
      <c r="G615" s="37" t="n">
        <v>6</v>
      </c>
      <c r="H615" s="1232" t="n">
        <v>1.8</v>
      </c>
      <c r="I615" s="1232" t="n">
        <v>1.984</v>
      </c>
      <c r="J615" s="37" t="n">
        <v>234</v>
      </c>
      <c r="K615" s="37" t="inlineStr">
        <is>
          <t>18</t>
        </is>
      </c>
      <c r="L615" s="37" t="inlineStr"/>
      <c r="M615" s="38" t="inlineStr">
        <is>
          <t>СК2</t>
        </is>
      </c>
      <c r="N615" s="38" t="n"/>
      <c r="O615" s="37" t="n">
        <v>40</v>
      </c>
      <c r="P615" s="1564" t="inlineStr">
        <is>
          <t>Сосиски «Датские» Фикс.вес 0,3 П/а мгс ТМ «Зареченские»</t>
        </is>
      </c>
      <c r="Q615" s="1234" t="n"/>
      <c r="R615" s="1234" t="n"/>
      <c r="S615" s="1234" t="n"/>
      <c r="T615" s="1235" t="n"/>
      <c r="U615" s="39" t="inlineStr"/>
      <c r="V615" s="39" t="inlineStr"/>
      <c r="W615" s="40" t="inlineStr">
        <is>
          <t>кг</t>
        </is>
      </c>
      <c r="X615" s="1236" t="n">
        <v>0</v>
      </c>
      <c r="Y615" s="1237">
        <f>IFERROR(IF(X615="",0,CEILING((X615/$H615),1)*$H615),"")</f>
        <v/>
      </c>
      <c r="Z615" s="41">
        <f>IFERROR(IF(Y615=0,"",ROUNDUP(Y615/H615,0)*0.00502),"")</f>
        <v/>
      </c>
      <c r="AA615" s="68" t="inlineStr"/>
      <c r="AB615" s="69" t="inlineStr"/>
      <c r="AC615" s="732" t="inlineStr">
        <is>
          <t>ЕАЭС N RU Д-RU.РА05.В.94085/23</t>
        </is>
      </c>
      <c r="AG615" s="78" t="n"/>
      <c r="AJ615" s="84" t="inlineStr"/>
      <c r="AK615" s="84" t="n">
        <v>0</v>
      </c>
      <c r="BB615" s="733" t="inlineStr">
        <is>
          <t>КИ</t>
        </is>
      </c>
      <c r="BM615" s="78">
        <f>IFERROR(X615*I615/H615,"0")</f>
        <v/>
      </c>
      <c r="BN615" s="78">
        <f>IFERROR(Y615*I615/H615,"0")</f>
        <v/>
      </c>
      <c r="BO615" s="78">
        <f>IFERROR(1/J615*(X615/H615),"0")</f>
        <v/>
      </c>
      <c r="BP615" s="78">
        <f>IFERROR(1/J615*(Y615/H615),"0")</f>
        <v/>
      </c>
    </row>
    <row r="616" ht="27" customHeight="1">
      <c r="A616" s="63" t="inlineStr">
        <is>
          <t>SU002812</t>
        </is>
      </c>
      <c r="B616" s="63" t="inlineStr">
        <is>
          <t>P004879</t>
        </is>
      </c>
      <c r="C616" s="36" t="n">
        <v>4301051920</v>
      </c>
      <c r="D616" s="832" t="n">
        <v>4640242181233</v>
      </c>
      <c r="E616" s="1193" t="n"/>
      <c r="F616" s="1232" t="n">
        <v>0.3</v>
      </c>
      <c r="G616" s="37" t="n">
        <v>6</v>
      </c>
      <c r="H616" s="1232" t="n">
        <v>1.8</v>
      </c>
      <c r="I616" s="1232" t="n">
        <v>2.064</v>
      </c>
      <c r="J616" s="37" t="n">
        <v>182</v>
      </c>
      <c r="K616" s="37" t="inlineStr">
        <is>
          <t>14</t>
        </is>
      </c>
      <c r="L616" s="37" t="inlineStr"/>
      <c r="M616" s="38" t="inlineStr">
        <is>
          <t>СК4</t>
        </is>
      </c>
      <c r="N616" s="38" t="n"/>
      <c r="O616" s="37" t="n">
        <v>45</v>
      </c>
      <c r="P616" s="1565" t="inlineStr">
        <is>
          <t>Сосиски «Датские» Фикс.вес 0,3 п/а ТМ «Зареченские продукты»</t>
        </is>
      </c>
      <c r="Q616" s="1234" t="n"/>
      <c r="R616" s="1234" t="n"/>
      <c r="S616" s="1234" t="n"/>
      <c r="T616" s="1235" t="n"/>
      <c r="U616" s="39" t="inlineStr"/>
      <c r="V616" s="39" t="inlineStr"/>
      <c r="W616" s="40" t="inlineStr">
        <is>
          <t>кг</t>
        </is>
      </c>
      <c r="X616" s="1236" t="n">
        <v>0</v>
      </c>
      <c r="Y616" s="1237">
        <f>IFERROR(IF(X616="",0,CEILING((X616/$H616),1)*$H616),"")</f>
        <v/>
      </c>
      <c r="Z616" s="41">
        <f>IFERROR(IF(Y616=0,"",ROUNDUP(Y616/H616,0)*0.00651),"")</f>
        <v/>
      </c>
      <c r="AA616" s="68" t="inlineStr"/>
      <c r="AB616" s="69" t="inlineStr"/>
      <c r="AC616" s="734" t="inlineStr">
        <is>
          <t>ЕАЭС N RU Д-RU.РА05.В.94085/23</t>
        </is>
      </c>
      <c r="AG616" s="78" t="n"/>
      <c r="AJ616" s="84" t="inlineStr"/>
      <c r="AK616" s="84" t="n">
        <v>0</v>
      </c>
      <c r="BB616" s="735" t="inlineStr">
        <is>
          <t>КИ</t>
        </is>
      </c>
      <c r="BM616" s="78">
        <f>IFERROR(X616*I616/H616,"0")</f>
        <v/>
      </c>
      <c r="BN616" s="78">
        <f>IFERROR(Y616*I616/H616,"0")</f>
        <v/>
      </c>
      <c r="BO616" s="78">
        <f>IFERROR(1/J616*(X616/H616),"0")</f>
        <v/>
      </c>
      <c r="BP616" s="78">
        <f>IFERROR(1/J616*(Y616/H616),"0")</f>
        <v/>
      </c>
    </row>
    <row r="617" ht="27" customHeight="1">
      <c r="A617" s="63" t="inlineStr">
        <is>
          <t>SU002922</t>
        </is>
      </c>
      <c r="B617" s="63" t="inlineStr">
        <is>
          <t>P003358</t>
        </is>
      </c>
      <c r="C617" s="36" t="n">
        <v>4301051448</v>
      </c>
      <c r="D617" s="832" t="n">
        <v>4640242181226</v>
      </c>
      <c r="E617" s="1193" t="n"/>
      <c r="F617" s="1232" t="n">
        <v>0.3</v>
      </c>
      <c r="G617" s="37" t="n">
        <v>6</v>
      </c>
      <c r="H617" s="1232" t="n">
        <v>1.8</v>
      </c>
      <c r="I617" s="1232" t="n">
        <v>1.972</v>
      </c>
      <c r="J617" s="37" t="n">
        <v>234</v>
      </c>
      <c r="K617" s="37" t="inlineStr">
        <is>
          <t>18</t>
        </is>
      </c>
      <c r="L617" s="37" t="inlineStr"/>
      <c r="M617" s="38" t="inlineStr">
        <is>
          <t>СК2</t>
        </is>
      </c>
      <c r="N617" s="38" t="n"/>
      <c r="O617" s="37" t="n">
        <v>30</v>
      </c>
      <c r="P617" s="1566" t="inlineStr">
        <is>
          <t>Сосиски «Сочные» Фикс.Вес 0,3 п/а ТМ «Зареченские»</t>
        </is>
      </c>
      <c r="Q617" s="1234" t="n"/>
      <c r="R617" s="1234" t="n"/>
      <c r="S617" s="1234" t="n"/>
      <c r="T617" s="1235" t="n"/>
      <c r="U617" s="39" t="inlineStr"/>
      <c r="V617" s="39" t="inlineStr"/>
      <c r="W617" s="40" t="inlineStr">
        <is>
          <t>кг</t>
        </is>
      </c>
      <c r="X617" s="1236" t="n">
        <v>0</v>
      </c>
      <c r="Y617" s="1237">
        <f>IFERROR(IF(X617="",0,CEILING((X617/$H617),1)*$H617),"")</f>
        <v/>
      </c>
      <c r="Z617" s="41">
        <f>IFERROR(IF(Y617=0,"",ROUNDUP(Y617/H617,0)*0.00502),"")</f>
        <v/>
      </c>
      <c r="AA617" s="68" t="inlineStr"/>
      <c r="AB617" s="69" t="inlineStr"/>
      <c r="AC617" s="736" t="inlineStr">
        <is>
          <t>ЕАЭС N RU Д-RU.РА05.В.94245/23</t>
        </is>
      </c>
      <c r="AG617" s="78" t="n"/>
      <c r="AJ617" s="84" t="inlineStr"/>
      <c r="AK617" s="84" t="n">
        <v>0</v>
      </c>
      <c r="BB617" s="737" t="inlineStr">
        <is>
          <t>КИ</t>
        </is>
      </c>
      <c r="BM617" s="78">
        <f>IFERROR(X617*I617/H617,"0")</f>
        <v/>
      </c>
      <c r="BN617" s="78">
        <f>IFERROR(Y617*I617/H617,"0")</f>
        <v/>
      </c>
      <c r="BO617" s="78">
        <f>IFERROR(1/J617*(X617/H617),"0")</f>
        <v/>
      </c>
      <c r="BP617" s="78">
        <f>IFERROR(1/J617*(Y617/H617),"0")</f>
        <v/>
      </c>
    </row>
    <row r="618" ht="27" customHeight="1">
      <c r="A618" s="63" t="inlineStr">
        <is>
          <t>SU002922</t>
        </is>
      </c>
      <c r="B618" s="63" t="inlineStr">
        <is>
          <t>P004880</t>
        </is>
      </c>
      <c r="C618" s="36" t="n">
        <v>4301051921</v>
      </c>
      <c r="D618" s="832" t="n">
        <v>4640242181226</v>
      </c>
      <c r="E618" s="1193" t="n"/>
      <c r="F618" s="1232" t="n">
        <v>0.3</v>
      </c>
      <c r="G618" s="37" t="n">
        <v>6</v>
      </c>
      <c r="H618" s="1232" t="n">
        <v>1.8</v>
      </c>
      <c r="I618" s="1232" t="n">
        <v>2.052</v>
      </c>
      <c r="J618" s="37" t="n">
        <v>182</v>
      </c>
      <c r="K618" s="37" t="inlineStr">
        <is>
          <t>14</t>
        </is>
      </c>
      <c r="L618" s="37" t="inlineStr"/>
      <c r="M618" s="38" t="inlineStr">
        <is>
          <t>СК4</t>
        </is>
      </c>
      <c r="N618" s="38" t="n"/>
      <c r="O618" s="37" t="n">
        <v>45</v>
      </c>
      <c r="P618" s="1567" t="inlineStr">
        <is>
          <t>Сосиски «Сочные» Фикс.вес 0,3 п/а ТМ «Зареченские продукты»</t>
        </is>
      </c>
      <c r="Q618" s="1234" t="n"/>
      <c r="R618" s="1234" t="n"/>
      <c r="S618" s="1234" t="n"/>
      <c r="T618" s="1235" t="n"/>
      <c r="U618" s="39" t="inlineStr"/>
      <c r="V618" s="39" t="inlineStr"/>
      <c r="W618" s="40" t="inlineStr">
        <is>
          <t>кг</t>
        </is>
      </c>
      <c r="X618" s="1236" t="n">
        <v>0</v>
      </c>
      <c r="Y618" s="1237">
        <f>IFERROR(IF(X618="",0,CEILING((X618/$H618),1)*$H618),"")</f>
        <v/>
      </c>
      <c r="Z618" s="41">
        <f>IFERROR(IF(Y618=0,"",ROUNDUP(Y618/H618,0)*0.00651),"")</f>
        <v/>
      </c>
      <c r="AA618" s="68" t="inlineStr"/>
      <c r="AB618" s="69" t="inlineStr"/>
      <c r="AC618" s="738" t="inlineStr">
        <is>
          <t>ЕАЭС N RU Д-RU.РА05.В.94245/23</t>
        </is>
      </c>
      <c r="AG618" s="78" t="n"/>
      <c r="AJ618" s="84" t="inlineStr"/>
      <c r="AK618" s="84" t="n">
        <v>0</v>
      </c>
      <c r="BB618" s="739" t="inlineStr">
        <is>
          <t>КИ</t>
        </is>
      </c>
      <c r="BM618" s="78">
        <f>IFERROR(X618*I618/H618,"0")</f>
        <v/>
      </c>
      <c r="BN618" s="78">
        <f>IFERROR(Y618*I618/H618,"0")</f>
        <v/>
      </c>
      <c r="BO618" s="78">
        <f>IFERROR(1/J618*(X618/H618),"0")</f>
        <v/>
      </c>
      <c r="BP618" s="78">
        <f>IFERROR(1/J618*(Y618/H618),"0")</f>
        <v/>
      </c>
    </row>
    <row r="619">
      <c r="A619" s="843" t="n"/>
      <c r="B619" s="1182" t="n"/>
      <c r="C619" s="1182" t="n"/>
      <c r="D619" s="1182" t="n"/>
      <c r="E619" s="1182" t="n"/>
      <c r="F619" s="1182" t="n"/>
      <c r="G619" s="1182" t="n"/>
      <c r="H619" s="1182" t="n"/>
      <c r="I619" s="1182" t="n"/>
      <c r="J619" s="1182" t="n"/>
      <c r="K619" s="1182" t="n"/>
      <c r="L619" s="1182" t="n"/>
      <c r="M619" s="1182" t="n"/>
      <c r="N619" s="1182" t="n"/>
      <c r="O619" s="1241" t="n"/>
      <c r="P619" s="1242" t="inlineStr">
        <is>
          <t>Итого</t>
        </is>
      </c>
      <c r="Q619" s="1201" t="n"/>
      <c r="R619" s="1201" t="n"/>
      <c r="S619" s="1201" t="n"/>
      <c r="T619" s="1201" t="n"/>
      <c r="U619" s="1201" t="n"/>
      <c r="V619" s="1202" t="n"/>
      <c r="W619" s="42" t="inlineStr">
        <is>
          <t>кор</t>
        </is>
      </c>
      <c r="X619" s="1243">
        <f>IFERROR(X611/H611,"0")+IFERROR(X612/H612,"0")+IFERROR(X613/H613,"0")+IFERROR(X614/H614,"0")+IFERROR(X615/H615,"0")+IFERROR(X616/H616,"0")+IFERROR(X617/H617,"0")+IFERROR(X618/H618,"0")</f>
        <v/>
      </c>
      <c r="Y619" s="1243">
        <f>IFERROR(Y611/H611,"0")+IFERROR(Y612/H612,"0")+IFERROR(Y613/H613,"0")+IFERROR(Y614/H614,"0")+IFERROR(Y615/H615,"0")+IFERROR(Y616/H616,"0")+IFERROR(Y617/H617,"0")+IFERROR(Y618/H618,"0")</f>
        <v/>
      </c>
      <c r="Z619" s="124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/>
      </c>
      <c r="AA619" s="1244" t="n"/>
      <c r="AB619" s="1244" t="n"/>
      <c r="AC619" s="1244" t="n"/>
    </row>
    <row r="620">
      <c r="A620" s="1182" t="n"/>
      <c r="B620" s="1182" t="n"/>
      <c r="C620" s="1182" t="n"/>
      <c r="D620" s="1182" t="n"/>
      <c r="E620" s="1182" t="n"/>
      <c r="F620" s="1182" t="n"/>
      <c r="G620" s="1182" t="n"/>
      <c r="H620" s="1182" t="n"/>
      <c r="I620" s="1182" t="n"/>
      <c r="J620" s="1182" t="n"/>
      <c r="K620" s="1182" t="n"/>
      <c r="L620" s="1182" t="n"/>
      <c r="M620" s="1182" t="n"/>
      <c r="N620" s="1182" t="n"/>
      <c r="O620" s="1241" t="n"/>
      <c r="P620" s="1242" t="inlineStr">
        <is>
          <t>Итого</t>
        </is>
      </c>
      <c r="Q620" s="1201" t="n"/>
      <c r="R620" s="1201" t="n"/>
      <c r="S620" s="1201" t="n"/>
      <c r="T620" s="1201" t="n"/>
      <c r="U620" s="1201" t="n"/>
      <c r="V620" s="1202" t="n"/>
      <c r="W620" s="42" t="inlineStr">
        <is>
          <t>кг</t>
        </is>
      </c>
      <c r="X620" s="1243">
        <f>IFERROR(SUM(X611:X618),"0")</f>
        <v/>
      </c>
      <c r="Y620" s="1243">
        <f>IFERROR(SUM(Y611:Y618),"0")</f>
        <v/>
      </c>
      <c r="Z620" s="42" t="n"/>
      <c r="AA620" s="1244" t="n"/>
      <c r="AB620" s="1244" t="n"/>
      <c r="AC620" s="1244" t="n"/>
    </row>
    <row r="621" ht="14.25" customHeight="1">
      <c r="A621" s="831" t="inlineStr">
        <is>
          <t>Сардельки</t>
        </is>
      </c>
      <c r="B621" s="1182" t="n"/>
      <c r="C621" s="1182" t="n"/>
      <c r="D621" s="1182" t="n"/>
      <c r="E621" s="1182" t="n"/>
      <c r="F621" s="1182" t="n"/>
      <c r="G621" s="1182" t="n"/>
      <c r="H621" s="1182" t="n"/>
      <c r="I621" s="1182" t="n"/>
      <c r="J621" s="1182" t="n"/>
      <c r="K621" s="1182" t="n"/>
      <c r="L621" s="1182" t="n"/>
      <c r="M621" s="1182" t="n"/>
      <c r="N621" s="1182" t="n"/>
      <c r="O621" s="1182" t="n"/>
      <c r="P621" s="1182" t="n"/>
      <c r="Q621" s="1182" t="n"/>
      <c r="R621" s="1182" t="n"/>
      <c r="S621" s="1182" t="n"/>
      <c r="T621" s="1182" t="n"/>
      <c r="U621" s="1182" t="n"/>
      <c r="V621" s="1182" t="n"/>
      <c r="W621" s="1182" t="n"/>
      <c r="X621" s="1182" t="n"/>
      <c r="Y621" s="1182" t="n"/>
      <c r="Z621" s="1182" t="n"/>
      <c r="AA621" s="831" t="n"/>
      <c r="AB621" s="831" t="n"/>
      <c r="AC621" s="831" t="n"/>
    </row>
    <row r="622" ht="27" customHeight="1">
      <c r="A622" s="63" t="inlineStr">
        <is>
          <t>SU002970</t>
        </is>
      </c>
      <c r="B622" s="63" t="inlineStr">
        <is>
          <t>P004319</t>
        </is>
      </c>
      <c r="C622" s="36" t="n">
        <v>4301060408</v>
      </c>
      <c r="D622" s="832" t="n">
        <v>4640242180120</v>
      </c>
      <c r="E622" s="1193" t="n"/>
      <c r="F622" s="1232" t="n">
        <v>1.3</v>
      </c>
      <c r="G622" s="37" t="n">
        <v>6</v>
      </c>
      <c r="H622" s="1232" t="n">
        <v>7.8</v>
      </c>
      <c r="I622" s="1232" t="n">
        <v>8.234999999999999</v>
      </c>
      <c r="J622" s="37" t="n">
        <v>64</v>
      </c>
      <c r="K622" s="37" t="inlineStr">
        <is>
          <t>8</t>
        </is>
      </c>
      <c r="L622" s="37" t="inlineStr"/>
      <c r="M622" s="38" t="inlineStr">
        <is>
          <t>СК2</t>
        </is>
      </c>
      <c r="N622" s="38" t="n"/>
      <c r="O622" s="37" t="n">
        <v>40</v>
      </c>
      <c r="P622" s="1568" t="inlineStr">
        <is>
          <t>Сардельки «Зареченские» Весовой NDX ТМ «Зареченские» HR</t>
        </is>
      </c>
      <c r="Q622" s="1234" t="n"/>
      <c r="R622" s="1234" t="n"/>
      <c r="S622" s="1234" t="n"/>
      <c r="T622" s="1235" t="n"/>
      <c r="U622" s="39" t="inlineStr"/>
      <c r="V622" s="39" t="inlineStr"/>
      <c r="W622" s="40" t="inlineStr">
        <is>
          <t>кг</t>
        </is>
      </c>
      <c r="X622" s="1236" t="n">
        <v>0</v>
      </c>
      <c r="Y622" s="1237">
        <f>IFERROR(IF(X622="",0,CEILING((X622/$H622),1)*$H622),"")</f>
        <v/>
      </c>
      <c r="Z622" s="41">
        <f>IFERROR(IF(Y622=0,"",ROUNDUP(Y622/H622,0)*0.01898),"")</f>
        <v/>
      </c>
      <c r="AA622" s="68" t="inlineStr"/>
      <c r="AB622" s="69" t="inlineStr"/>
      <c r="AC622" s="740" t="inlineStr">
        <is>
          <t>ЕАЭС N RU Д-RU.РА05.В.10039/23</t>
        </is>
      </c>
      <c r="AG622" s="78" t="n"/>
      <c r="AJ622" s="84" t="inlineStr"/>
      <c r="AK622" s="84" t="n">
        <v>0</v>
      </c>
      <c r="BB622" s="741" t="inlineStr">
        <is>
          <t>КИ</t>
        </is>
      </c>
      <c r="BM622" s="78">
        <f>IFERROR(X622*I622/H622,"0")</f>
        <v/>
      </c>
      <c r="BN622" s="78">
        <f>IFERROR(Y622*I622/H622,"0")</f>
        <v/>
      </c>
      <c r="BO622" s="78">
        <f>IFERROR(1/J622*(X622/H622),"0")</f>
        <v/>
      </c>
      <c r="BP622" s="78">
        <f>IFERROR(1/J622*(Y622/H622),"0")</f>
        <v/>
      </c>
    </row>
    <row r="623" ht="27" customHeight="1">
      <c r="A623" s="63" t="inlineStr">
        <is>
          <t>SU002970</t>
        </is>
      </c>
      <c r="B623" s="63" t="inlineStr">
        <is>
          <t>P003422</t>
        </is>
      </c>
      <c r="C623" s="36" t="n">
        <v>4301060354</v>
      </c>
      <c r="D623" s="832" t="n">
        <v>4640242180120</v>
      </c>
      <c r="E623" s="1193" t="n"/>
      <c r="F623" s="1232" t="n">
        <v>1.3</v>
      </c>
      <c r="G623" s="37" t="n">
        <v>6</v>
      </c>
      <c r="H623" s="1232" t="n">
        <v>7.8</v>
      </c>
      <c r="I623" s="1232" t="n">
        <v>8.234999999999999</v>
      </c>
      <c r="J623" s="37" t="n">
        <v>64</v>
      </c>
      <c r="K623" s="37" t="inlineStr">
        <is>
          <t>8</t>
        </is>
      </c>
      <c r="L623" s="37" t="inlineStr"/>
      <c r="M623" s="38" t="inlineStr">
        <is>
          <t>СК2</t>
        </is>
      </c>
      <c r="N623" s="38" t="n"/>
      <c r="O623" s="37" t="n">
        <v>40</v>
      </c>
      <c r="P623" s="1569" t="inlineStr">
        <is>
          <t>Сардельки Зареченские Весовой NDX ТМ Зареченские</t>
        </is>
      </c>
      <c r="Q623" s="1234" t="n"/>
      <c r="R623" s="1234" t="n"/>
      <c r="S623" s="1234" t="n"/>
      <c r="T623" s="1235" t="n"/>
      <c r="U623" s="39" t="inlineStr"/>
      <c r="V623" s="39" t="inlineStr"/>
      <c r="W623" s="40" t="inlineStr">
        <is>
          <t>кг</t>
        </is>
      </c>
      <c r="X623" s="1236" t="n">
        <v>0</v>
      </c>
      <c r="Y623" s="1237">
        <f>IFERROR(IF(X623="",0,CEILING((X623/$H623),1)*$H623),"")</f>
        <v/>
      </c>
      <c r="Z623" s="41">
        <f>IFERROR(IF(Y623=0,"",ROUNDUP(Y623/H623,0)*0.01898),"")</f>
        <v/>
      </c>
      <c r="AA623" s="68" t="inlineStr"/>
      <c r="AB623" s="69" t="inlineStr"/>
      <c r="AC623" s="742" t="inlineStr">
        <is>
          <t>ЕАЭС N RU Д-RU.РА05.В.10039/23</t>
        </is>
      </c>
      <c r="AG623" s="78" t="n"/>
      <c r="AJ623" s="84" t="inlineStr"/>
      <c r="AK623" s="84" t="n">
        <v>0</v>
      </c>
      <c r="BB623" s="743" t="inlineStr">
        <is>
          <t>КИ</t>
        </is>
      </c>
      <c r="BM623" s="78">
        <f>IFERROR(X623*I623/H623,"0")</f>
        <v/>
      </c>
      <c r="BN623" s="78">
        <f>IFERROR(Y623*I623/H623,"0")</f>
        <v/>
      </c>
      <c r="BO623" s="78">
        <f>IFERROR(1/J623*(X623/H623),"0")</f>
        <v/>
      </c>
      <c r="BP623" s="78">
        <f>IFERROR(1/J623*(Y623/H623),"0")</f>
        <v/>
      </c>
    </row>
    <row r="624" ht="27" customHeight="1">
      <c r="A624" s="63" t="inlineStr">
        <is>
          <t>SU002971</t>
        </is>
      </c>
      <c r="B624" s="63" t="inlineStr">
        <is>
          <t>P004320</t>
        </is>
      </c>
      <c r="C624" s="36" t="n">
        <v>4301060407</v>
      </c>
      <c r="D624" s="832" t="n">
        <v>4640242180137</v>
      </c>
      <c r="E624" s="1193" t="n"/>
      <c r="F624" s="1232" t="n">
        <v>1.3</v>
      </c>
      <c r="G624" s="37" t="n">
        <v>6</v>
      </c>
      <c r="H624" s="1232" t="n">
        <v>7.8</v>
      </c>
      <c r="I624" s="1232" t="n">
        <v>8.234999999999999</v>
      </c>
      <c r="J624" s="37" t="n">
        <v>64</v>
      </c>
      <c r="K624" s="37" t="inlineStr">
        <is>
          <t>8</t>
        </is>
      </c>
      <c r="L624" s="37" t="inlineStr"/>
      <c r="M624" s="38" t="inlineStr">
        <is>
          <t>СК2</t>
        </is>
      </c>
      <c r="N624" s="38" t="n"/>
      <c r="O624" s="37" t="n">
        <v>40</v>
      </c>
      <c r="P624" s="1570" t="inlineStr">
        <is>
          <t>Сардельки «Шпикачки Зареченские» Весовой NDX ТМ «Зареченские» HR</t>
        </is>
      </c>
      <c r="Q624" s="1234" t="n"/>
      <c r="R624" s="1234" t="n"/>
      <c r="S624" s="1234" t="n"/>
      <c r="T624" s="1235" t="n"/>
      <c r="U624" s="39" t="inlineStr"/>
      <c r="V624" s="39" t="inlineStr"/>
      <c r="W624" s="40" t="inlineStr">
        <is>
          <t>кг</t>
        </is>
      </c>
      <c r="X624" s="1236" t="n">
        <v>0</v>
      </c>
      <c r="Y624" s="1237">
        <f>IFERROR(IF(X624="",0,CEILING((X624/$H624),1)*$H624),"")</f>
        <v/>
      </c>
      <c r="Z624" s="41">
        <f>IFERROR(IF(Y624=0,"",ROUNDUP(Y624/H624,0)*0.01898),"")</f>
        <v/>
      </c>
      <c r="AA624" s="68" t="inlineStr"/>
      <c r="AB624" s="69" t="inlineStr"/>
      <c r="AC624" s="744" t="inlineStr">
        <is>
          <t>ЕАЭС N RU Д-RU.РА05.В.12010/23</t>
        </is>
      </c>
      <c r="AG624" s="78" t="n"/>
      <c r="AJ624" s="84" t="inlineStr"/>
      <c r="AK624" s="84" t="n">
        <v>0</v>
      </c>
      <c r="BB624" s="745" t="inlineStr">
        <is>
          <t>КИ</t>
        </is>
      </c>
      <c r="BM624" s="78">
        <f>IFERROR(X624*I624/H624,"0")</f>
        <v/>
      </c>
      <c r="BN624" s="78">
        <f>IFERROR(Y624*I624/H624,"0")</f>
        <v/>
      </c>
      <c r="BO624" s="78">
        <f>IFERROR(1/J624*(X624/H624),"0")</f>
        <v/>
      </c>
      <c r="BP624" s="78">
        <f>IFERROR(1/J624*(Y624/H624),"0")</f>
        <v/>
      </c>
    </row>
    <row r="625" ht="27" customHeight="1">
      <c r="A625" s="63" t="inlineStr">
        <is>
          <t>SU002971</t>
        </is>
      </c>
      <c r="B625" s="63" t="inlineStr">
        <is>
          <t>P003425</t>
        </is>
      </c>
      <c r="C625" s="36" t="n">
        <v>4301060355</v>
      </c>
      <c r="D625" s="832" t="n">
        <v>4640242180137</v>
      </c>
      <c r="E625" s="1193" t="n"/>
      <c r="F625" s="1232" t="n">
        <v>1.3</v>
      </c>
      <c r="G625" s="37" t="n">
        <v>6</v>
      </c>
      <c r="H625" s="1232" t="n">
        <v>7.8</v>
      </c>
      <c r="I625" s="1232" t="n">
        <v>8.234999999999999</v>
      </c>
      <c r="J625" s="37" t="n">
        <v>64</v>
      </c>
      <c r="K625" s="37" t="inlineStr">
        <is>
          <t>8</t>
        </is>
      </c>
      <c r="L625" s="37" t="inlineStr"/>
      <c r="M625" s="38" t="inlineStr">
        <is>
          <t>СК2</t>
        </is>
      </c>
      <c r="N625" s="38" t="n"/>
      <c r="O625" s="37" t="n">
        <v>40</v>
      </c>
      <c r="P625" s="1571" t="inlineStr">
        <is>
          <t>Сардельки Шпикачки Зареченские Весовой NDX ТМ Зареченские</t>
        </is>
      </c>
      <c r="Q625" s="1234" t="n"/>
      <c r="R625" s="1234" t="n"/>
      <c r="S625" s="1234" t="n"/>
      <c r="T625" s="1235" t="n"/>
      <c r="U625" s="39" t="inlineStr"/>
      <c r="V625" s="39" t="inlineStr"/>
      <c r="W625" s="40" t="inlineStr">
        <is>
          <t>кг</t>
        </is>
      </c>
      <c r="X625" s="1236" t="n">
        <v>0</v>
      </c>
      <c r="Y625" s="1237">
        <f>IFERROR(IF(X625="",0,CEILING((X625/$H625),1)*$H625),"")</f>
        <v/>
      </c>
      <c r="Z625" s="41">
        <f>IFERROR(IF(Y625=0,"",ROUNDUP(Y625/H625,0)*0.01898),"")</f>
        <v/>
      </c>
      <c r="AA625" s="68" t="inlineStr"/>
      <c r="AB625" s="69" t="inlineStr"/>
      <c r="AC625" s="746" t="inlineStr">
        <is>
          <t>ЕАЭС N RU Д-RU.РА05.В.12010/23</t>
        </is>
      </c>
      <c r="AG625" s="78" t="n"/>
      <c r="AJ625" s="84" t="inlineStr"/>
      <c r="AK625" s="84" t="n">
        <v>0</v>
      </c>
      <c r="BB625" s="747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>
      <c r="A626" s="843" t="n"/>
      <c r="B626" s="1182" t="n"/>
      <c r="C626" s="1182" t="n"/>
      <c r="D626" s="1182" t="n"/>
      <c r="E626" s="1182" t="n"/>
      <c r="F626" s="1182" t="n"/>
      <c r="G626" s="1182" t="n"/>
      <c r="H626" s="1182" t="n"/>
      <c r="I626" s="1182" t="n"/>
      <c r="J626" s="1182" t="n"/>
      <c r="K626" s="1182" t="n"/>
      <c r="L626" s="1182" t="n"/>
      <c r="M626" s="1182" t="n"/>
      <c r="N626" s="1182" t="n"/>
      <c r="O626" s="1241" t="n"/>
      <c r="P626" s="1242" t="inlineStr">
        <is>
          <t>Итого</t>
        </is>
      </c>
      <c r="Q626" s="1201" t="n"/>
      <c r="R626" s="1201" t="n"/>
      <c r="S626" s="1201" t="n"/>
      <c r="T626" s="1201" t="n"/>
      <c r="U626" s="1201" t="n"/>
      <c r="V626" s="1202" t="n"/>
      <c r="W626" s="42" t="inlineStr">
        <is>
          <t>кор</t>
        </is>
      </c>
      <c r="X626" s="1243">
        <f>IFERROR(X622/H622,"0")+IFERROR(X623/H623,"0")+IFERROR(X624/H624,"0")+IFERROR(X625/H625,"0")</f>
        <v/>
      </c>
      <c r="Y626" s="1243">
        <f>IFERROR(Y622/H622,"0")+IFERROR(Y623/H623,"0")+IFERROR(Y624/H624,"0")+IFERROR(Y625/H625,"0")</f>
        <v/>
      </c>
      <c r="Z626" s="1243">
        <f>IFERROR(IF(Z622="",0,Z622),"0")+IFERROR(IF(Z623="",0,Z623),"0")+IFERROR(IF(Z624="",0,Z624),"0")+IFERROR(IF(Z625="",0,Z625),"0")</f>
        <v/>
      </c>
      <c r="AA626" s="1244" t="n"/>
      <c r="AB626" s="1244" t="n"/>
      <c r="AC626" s="1244" t="n"/>
    </row>
    <row r="627">
      <c r="A627" s="1182" t="n"/>
      <c r="B627" s="1182" t="n"/>
      <c r="C627" s="1182" t="n"/>
      <c r="D627" s="1182" t="n"/>
      <c r="E627" s="1182" t="n"/>
      <c r="F627" s="1182" t="n"/>
      <c r="G627" s="1182" t="n"/>
      <c r="H627" s="1182" t="n"/>
      <c r="I627" s="1182" t="n"/>
      <c r="J627" s="1182" t="n"/>
      <c r="K627" s="1182" t="n"/>
      <c r="L627" s="1182" t="n"/>
      <c r="M627" s="1182" t="n"/>
      <c r="N627" s="1182" t="n"/>
      <c r="O627" s="1241" t="n"/>
      <c r="P627" s="1242" t="inlineStr">
        <is>
          <t>Итого</t>
        </is>
      </c>
      <c r="Q627" s="1201" t="n"/>
      <c r="R627" s="1201" t="n"/>
      <c r="S627" s="1201" t="n"/>
      <c r="T627" s="1201" t="n"/>
      <c r="U627" s="1201" t="n"/>
      <c r="V627" s="1202" t="n"/>
      <c r="W627" s="42" t="inlineStr">
        <is>
          <t>кг</t>
        </is>
      </c>
      <c r="X627" s="1243">
        <f>IFERROR(SUM(X622:X625),"0")</f>
        <v/>
      </c>
      <c r="Y627" s="1243">
        <f>IFERROR(SUM(Y622:Y625),"0")</f>
        <v/>
      </c>
      <c r="Z627" s="42" t="n"/>
      <c r="AA627" s="1244" t="n"/>
      <c r="AB627" s="1244" t="n"/>
      <c r="AC627" s="1244" t="n"/>
    </row>
    <row r="628" ht="16.5" customHeight="1">
      <c r="A628" s="830" t="inlineStr">
        <is>
          <t>Зареченские продукты Светофор</t>
        </is>
      </c>
      <c r="B628" s="1182" t="n"/>
      <c r="C628" s="1182" t="n"/>
      <c r="D628" s="1182" t="n"/>
      <c r="E628" s="1182" t="n"/>
      <c r="F628" s="1182" t="n"/>
      <c r="G628" s="1182" t="n"/>
      <c r="H628" s="1182" t="n"/>
      <c r="I628" s="1182" t="n"/>
      <c r="J628" s="1182" t="n"/>
      <c r="K628" s="1182" t="n"/>
      <c r="L628" s="1182" t="n"/>
      <c r="M628" s="1182" t="n"/>
      <c r="N628" s="1182" t="n"/>
      <c r="O628" s="1182" t="n"/>
      <c r="P628" s="1182" t="n"/>
      <c r="Q628" s="1182" t="n"/>
      <c r="R628" s="1182" t="n"/>
      <c r="S628" s="1182" t="n"/>
      <c r="T628" s="1182" t="n"/>
      <c r="U628" s="1182" t="n"/>
      <c r="V628" s="1182" t="n"/>
      <c r="W628" s="1182" t="n"/>
      <c r="X628" s="1182" t="n"/>
      <c r="Y628" s="1182" t="n"/>
      <c r="Z628" s="1182" t="n"/>
      <c r="AA628" s="830" t="n"/>
      <c r="AB628" s="830" t="n"/>
      <c r="AC628" s="830" t="n"/>
    </row>
    <row r="629" ht="14.25" customHeight="1">
      <c r="A629" s="831" t="inlineStr">
        <is>
          <t>Вареные колбасы</t>
        </is>
      </c>
      <c r="B629" s="1182" t="n"/>
      <c r="C629" s="1182" t="n"/>
      <c r="D629" s="1182" t="n"/>
      <c r="E629" s="1182" t="n"/>
      <c r="F629" s="1182" t="n"/>
      <c r="G629" s="1182" t="n"/>
      <c r="H629" s="1182" t="n"/>
      <c r="I629" s="1182" t="n"/>
      <c r="J629" s="1182" t="n"/>
      <c r="K629" s="1182" t="n"/>
      <c r="L629" s="1182" t="n"/>
      <c r="M629" s="1182" t="n"/>
      <c r="N629" s="1182" t="n"/>
      <c r="O629" s="1182" t="n"/>
      <c r="P629" s="1182" t="n"/>
      <c r="Q629" s="1182" t="n"/>
      <c r="R629" s="1182" t="n"/>
      <c r="S629" s="1182" t="n"/>
      <c r="T629" s="1182" t="n"/>
      <c r="U629" s="1182" t="n"/>
      <c r="V629" s="1182" t="n"/>
      <c r="W629" s="1182" t="n"/>
      <c r="X629" s="1182" t="n"/>
      <c r="Y629" s="1182" t="n"/>
      <c r="Z629" s="1182" t="n"/>
      <c r="AA629" s="831" t="n"/>
      <c r="AB629" s="831" t="n"/>
      <c r="AC629" s="831" t="n"/>
    </row>
    <row r="630" ht="27" customHeight="1">
      <c r="A630" s="63" t="inlineStr">
        <is>
          <t>SU002963</t>
        </is>
      </c>
      <c r="B630" s="63" t="inlineStr">
        <is>
          <t>P004322</t>
        </is>
      </c>
      <c r="C630" s="36" t="n">
        <v>4301011951</v>
      </c>
      <c r="D630" s="832" t="n">
        <v>4640242180045</v>
      </c>
      <c r="E630" s="1193" t="n"/>
      <c r="F630" s="1232" t="n">
        <v>1.5</v>
      </c>
      <c r="G630" s="37" t="n">
        <v>8</v>
      </c>
      <c r="H630" s="1232" t="n">
        <v>12</v>
      </c>
      <c r="I630" s="1232" t="n">
        <v>12.435</v>
      </c>
      <c r="J630" s="37" t="n">
        <v>64</v>
      </c>
      <c r="K630" s="37" t="inlineStr">
        <is>
          <t>8</t>
        </is>
      </c>
      <c r="L630" s="37" t="inlineStr"/>
      <c r="M630" s="38" t="inlineStr">
        <is>
          <t>СК1</t>
        </is>
      </c>
      <c r="N630" s="38" t="n"/>
      <c r="O630" s="37" t="n">
        <v>55</v>
      </c>
      <c r="P630" s="1572" t="inlineStr">
        <is>
          <t>Вареные колбасы «Молочная классическая» Весовой п/а ТМ «Зареченские» HR</t>
        </is>
      </c>
      <c r="Q630" s="1234" t="n"/>
      <c r="R630" s="1234" t="n"/>
      <c r="S630" s="1234" t="n"/>
      <c r="T630" s="1235" t="n"/>
      <c r="U630" s="39" t="inlineStr"/>
      <c r="V630" s="39" t="inlineStr"/>
      <c r="W630" s="40" t="inlineStr">
        <is>
          <t>кг</t>
        </is>
      </c>
      <c r="X630" s="1236" t="n">
        <v>0</v>
      </c>
      <c r="Y630" s="1237">
        <f>IFERROR(IF(X630="",0,CEILING((X630/$H630),1)*$H630),"")</f>
        <v/>
      </c>
      <c r="Z630" s="41">
        <f>IFERROR(IF(Y630=0,"",ROUNDUP(Y630/H630,0)*0.01898),"")</f>
        <v/>
      </c>
      <c r="AA630" s="68" t="inlineStr"/>
      <c r="AB630" s="69" t="inlineStr"/>
      <c r="AC630" s="748" t="inlineStr">
        <is>
          <t>ЕАЭС N RU Д-RU.РА05.В.10282/23</t>
        </is>
      </c>
      <c r="AG630" s="78" t="n"/>
      <c r="AJ630" s="84" t="inlineStr"/>
      <c r="AK630" s="84" t="n">
        <v>0</v>
      </c>
      <c r="BB630" s="749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SU003055</t>
        </is>
      </c>
      <c r="B631" s="63" t="inlineStr">
        <is>
          <t>P004323</t>
        </is>
      </c>
      <c r="C631" s="36" t="n">
        <v>4301011950</v>
      </c>
      <c r="D631" s="832" t="n">
        <v>4640242180601</v>
      </c>
      <c r="E631" s="1193" t="n"/>
      <c r="F631" s="1232" t="n">
        <v>1.5</v>
      </c>
      <c r="G631" s="37" t="n">
        <v>8</v>
      </c>
      <c r="H631" s="1232" t="n">
        <v>12</v>
      </c>
      <c r="I631" s="1232" t="n">
        <v>12.435</v>
      </c>
      <c r="J631" s="37" t="n">
        <v>64</v>
      </c>
      <c r="K631" s="37" t="inlineStr">
        <is>
          <t>8</t>
        </is>
      </c>
      <c r="L631" s="37" t="inlineStr"/>
      <c r="M631" s="38" t="inlineStr">
        <is>
          <t>СК1</t>
        </is>
      </c>
      <c r="N631" s="38" t="n"/>
      <c r="O631" s="37" t="n">
        <v>55</v>
      </c>
      <c r="P631" s="1573" t="inlineStr">
        <is>
          <t>Вареные колбасы «Мясная со шпиком» Весовой п/а ТМ «Зареченские» HR</t>
        </is>
      </c>
      <c r="Q631" s="1234" t="n"/>
      <c r="R631" s="1234" t="n"/>
      <c r="S631" s="1234" t="n"/>
      <c r="T631" s="1235" t="n"/>
      <c r="U631" s="39" t="inlineStr"/>
      <c r="V631" s="39" t="inlineStr"/>
      <c r="W631" s="40" t="inlineStr">
        <is>
          <t>кг</t>
        </is>
      </c>
      <c r="X631" s="1236" t="n">
        <v>0</v>
      </c>
      <c r="Y631" s="1237">
        <f>IFERROR(IF(X631="",0,CEILING((X631/$H631),1)*$H631),"")</f>
        <v/>
      </c>
      <c r="Z631" s="41">
        <f>IFERROR(IF(Y631=0,"",ROUNDUP(Y631/H631,0)*0.01898),"")</f>
        <v/>
      </c>
      <c r="AA631" s="68" t="inlineStr"/>
      <c r="AB631" s="69" t="inlineStr"/>
      <c r="AC631" s="750" t="inlineStr">
        <is>
          <t>ЕАЭС N RU Д-RU.РА06.В.29400/23</t>
        </is>
      </c>
      <c r="AG631" s="78" t="n"/>
      <c r="AJ631" s="84" t="inlineStr"/>
      <c r="AK631" s="84" t="n">
        <v>0</v>
      </c>
      <c r="BB631" s="751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>
      <c r="A632" s="843" t="n"/>
      <c r="B632" s="1182" t="n"/>
      <c r="C632" s="1182" t="n"/>
      <c r="D632" s="1182" t="n"/>
      <c r="E632" s="1182" t="n"/>
      <c r="F632" s="1182" t="n"/>
      <c r="G632" s="1182" t="n"/>
      <c r="H632" s="1182" t="n"/>
      <c r="I632" s="1182" t="n"/>
      <c r="J632" s="1182" t="n"/>
      <c r="K632" s="1182" t="n"/>
      <c r="L632" s="1182" t="n"/>
      <c r="M632" s="1182" t="n"/>
      <c r="N632" s="1182" t="n"/>
      <c r="O632" s="1241" t="n"/>
      <c r="P632" s="1242" t="inlineStr">
        <is>
          <t>Итого</t>
        </is>
      </c>
      <c r="Q632" s="1201" t="n"/>
      <c r="R632" s="1201" t="n"/>
      <c r="S632" s="1201" t="n"/>
      <c r="T632" s="1201" t="n"/>
      <c r="U632" s="1201" t="n"/>
      <c r="V632" s="1202" t="n"/>
      <c r="W632" s="42" t="inlineStr">
        <is>
          <t>кор</t>
        </is>
      </c>
      <c r="X632" s="1243">
        <f>IFERROR(X630/H630,"0")+IFERROR(X631/H631,"0")</f>
        <v/>
      </c>
      <c r="Y632" s="1243">
        <f>IFERROR(Y630/H630,"0")+IFERROR(Y631/H631,"0")</f>
        <v/>
      </c>
      <c r="Z632" s="1243">
        <f>IFERROR(IF(Z630="",0,Z630),"0")+IFERROR(IF(Z631="",0,Z631),"0")</f>
        <v/>
      </c>
      <c r="AA632" s="1244" t="n"/>
      <c r="AB632" s="1244" t="n"/>
      <c r="AC632" s="1244" t="n"/>
    </row>
    <row r="633">
      <c r="A633" s="1182" t="n"/>
      <c r="B633" s="1182" t="n"/>
      <c r="C633" s="1182" t="n"/>
      <c r="D633" s="1182" t="n"/>
      <c r="E633" s="1182" t="n"/>
      <c r="F633" s="1182" t="n"/>
      <c r="G633" s="1182" t="n"/>
      <c r="H633" s="1182" t="n"/>
      <c r="I633" s="1182" t="n"/>
      <c r="J633" s="1182" t="n"/>
      <c r="K633" s="1182" t="n"/>
      <c r="L633" s="1182" t="n"/>
      <c r="M633" s="1182" t="n"/>
      <c r="N633" s="1182" t="n"/>
      <c r="O633" s="1241" t="n"/>
      <c r="P633" s="1242" t="inlineStr">
        <is>
          <t>Итого</t>
        </is>
      </c>
      <c r="Q633" s="1201" t="n"/>
      <c r="R633" s="1201" t="n"/>
      <c r="S633" s="1201" t="n"/>
      <c r="T633" s="1201" t="n"/>
      <c r="U633" s="1201" t="n"/>
      <c r="V633" s="1202" t="n"/>
      <c r="W633" s="42" t="inlineStr">
        <is>
          <t>кг</t>
        </is>
      </c>
      <c r="X633" s="1243">
        <f>IFERROR(SUM(X630:X631),"0")</f>
        <v/>
      </c>
      <c r="Y633" s="1243">
        <f>IFERROR(SUM(Y630:Y631),"0")</f>
        <v/>
      </c>
      <c r="Z633" s="42" t="n"/>
      <c r="AA633" s="1244" t="n"/>
      <c r="AB633" s="1244" t="n"/>
      <c r="AC633" s="1244" t="n"/>
    </row>
    <row r="634" ht="14.25" customHeight="1">
      <c r="A634" s="831" t="inlineStr">
        <is>
          <t>Ветчины</t>
        </is>
      </c>
      <c r="B634" s="1182" t="n"/>
      <c r="C634" s="1182" t="n"/>
      <c r="D634" s="1182" t="n"/>
      <c r="E634" s="1182" t="n"/>
      <c r="F634" s="1182" t="n"/>
      <c r="G634" s="1182" t="n"/>
      <c r="H634" s="1182" t="n"/>
      <c r="I634" s="1182" t="n"/>
      <c r="J634" s="1182" t="n"/>
      <c r="K634" s="1182" t="n"/>
      <c r="L634" s="1182" t="n"/>
      <c r="M634" s="1182" t="n"/>
      <c r="N634" s="1182" t="n"/>
      <c r="O634" s="1182" t="n"/>
      <c r="P634" s="1182" t="n"/>
      <c r="Q634" s="1182" t="n"/>
      <c r="R634" s="1182" t="n"/>
      <c r="S634" s="1182" t="n"/>
      <c r="T634" s="1182" t="n"/>
      <c r="U634" s="1182" t="n"/>
      <c r="V634" s="1182" t="n"/>
      <c r="W634" s="1182" t="n"/>
      <c r="X634" s="1182" t="n"/>
      <c r="Y634" s="1182" t="n"/>
      <c r="Z634" s="1182" t="n"/>
      <c r="AA634" s="831" t="n"/>
      <c r="AB634" s="831" t="n"/>
      <c r="AC634" s="831" t="n"/>
    </row>
    <row r="635" ht="27" customHeight="1">
      <c r="A635" s="63" t="inlineStr">
        <is>
          <t>SU002967</t>
        </is>
      </c>
      <c r="B635" s="63" t="inlineStr">
        <is>
          <t>P004317</t>
        </is>
      </c>
      <c r="C635" s="36" t="n">
        <v>4301020314</v>
      </c>
      <c r="D635" s="832" t="n">
        <v>4640242180090</v>
      </c>
      <c r="E635" s="1193" t="n"/>
      <c r="F635" s="1232" t="n">
        <v>1.5</v>
      </c>
      <c r="G635" s="37" t="n">
        <v>8</v>
      </c>
      <c r="H635" s="1232" t="n">
        <v>12</v>
      </c>
      <c r="I635" s="1232" t="n">
        <v>12.435</v>
      </c>
      <c r="J635" s="37" t="n">
        <v>64</v>
      </c>
      <c r="K635" s="37" t="inlineStr">
        <is>
          <t>8</t>
        </is>
      </c>
      <c r="L635" s="37" t="inlineStr"/>
      <c r="M635" s="38" t="inlineStr">
        <is>
          <t>СК1</t>
        </is>
      </c>
      <c r="N635" s="38" t="n"/>
      <c r="O635" s="37" t="n">
        <v>50</v>
      </c>
      <c r="P635" s="1574" t="inlineStr">
        <is>
          <t>Ветчины «Рубленая» Весовой п/а ТМ «Зареченские» НТУ HR</t>
        </is>
      </c>
      <c r="Q635" s="1234" t="n"/>
      <c r="R635" s="1234" t="n"/>
      <c r="S635" s="1234" t="n"/>
      <c r="T635" s="1235" t="n"/>
      <c r="U635" s="39" t="inlineStr"/>
      <c r="V635" s="39" t="inlineStr"/>
      <c r="W635" s="40" t="inlineStr">
        <is>
          <t>кг</t>
        </is>
      </c>
      <c r="X635" s="1236" t="n">
        <v>0</v>
      </c>
      <c r="Y635" s="1237">
        <f>IFERROR(IF(X635="",0,CEILING((X635/$H635),1)*$H635),"")</f>
        <v/>
      </c>
      <c r="Z635" s="41">
        <f>IFERROR(IF(Y635=0,"",ROUNDUP(Y635/H635,0)*0.01898),"")</f>
        <v/>
      </c>
      <c r="AA635" s="68" t="inlineStr"/>
      <c r="AB635" s="69" t="inlineStr"/>
      <c r="AC635" s="752" t="inlineStr">
        <is>
          <t>ЕАЭС N RU Д-RU.РА05.В.11990/23</t>
        </is>
      </c>
      <c r="AG635" s="78" t="n"/>
      <c r="AJ635" s="84" t="inlineStr"/>
      <c r="AK635" s="84" t="n">
        <v>0</v>
      </c>
      <c r="BB635" s="753" t="inlineStr">
        <is>
          <t>КИ</t>
        </is>
      </c>
      <c r="BM635" s="78">
        <f>IFERROR(X635*I635/H635,"0")</f>
        <v/>
      </c>
      <c r="BN635" s="78">
        <f>IFERROR(Y635*I635/H635,"0")</f>
        <v/>
      </c>
      <c r="BO635" s="78">
        <f>IFERROR(1/J635*(X635/H635),"0")</f>
        <v/>
      </c>
      <c r="BP635" s="78">
        <f>IFERROR(1/J635*(Y635/H635),"0")</f>
        <v/>
      </c>
    </row>
    <row r="636">
      <c r="A636" s="843" t="n"/>
      <c r="B636" s="1182" t="n"/>
      <c r="C636" s="1182" t="n"/>
      <c r="D636" s="1182" t="n"/>
      <c r="E636" s="1182" t="n"/>
      <c r="F636" s="1182" t="n"/>
      <c r="G636" s="1182" t="n"/>
      <c r="H636" s="1182" t="n"/>
      <c r="I636" s="1182" t="n"/>
      <c r="J636" s="1182" t="n"/>
      <c r="K636" s="1182" t="n"/>
      <c r="L636" s="1182" t="n"/>
      <c r="M636" s="1182" t="n"/>
      <c r="N636" s="1182" t="n"/>
      <c r="O636" s="1241" t="n"/>
      <c r="P636" s="1242" t="inlineStr">
        <is>
          <t>Итого</t>
        </is>
      </c>
      <c r="Q636" s="1201" t="n"/>
      <c r="R636" s="1201" t="n"/>
      <c r="S636" s="1201" t="n"/>
      <c r="T636" s="1201" t="n"/>
      <c r="U636" s="1201" t="n"/>
      <c r="V636" s="1202" t="n"/>
      <c r="W636" s="42" t="inlineStr">
        <is>
          <t>кор</t>
        </is>
      </c>
      <c r="X636" s="1243">
        <f>IFERROR(X635/H635,"0")</f>
        <v/>
      </c>
      <c r="Y636" s="1243">
        <f>IFERROR(Y635/H635,"0")</f>
        <v/>
      </c>
      <c r="Z636" s="1243">
        <f>IFERROR(IF(Z635="",0,Z635),"0")</f>
        <v/>
      </c>
      <c r="AA636" s="1244" t="n"/>
      <c r="AB636" s="1244" t="n"/>
      <c r="AC636" s="1244" t="n"/>
    </row>
    <row r="637">
      <c r="A637" s="1182" t="n"/>
      <c r="B637" s="1182" t="n"/>
      <c r="C637" s="1182" t="n"/>
      <c r="D637" s="1182" t="n"/>
      <c r="E637" s="1182" t="n"/>
      <c r="F637" s="1182" t="n"/>
      <c r="G637" s="1182" t="n"/>
      <c r="H637" s="1182" t="n"/>
      <c r="I637" s="1182" t="n"/>
      <c r="J637" s="1182" t="n"/>
      <c r="K637" s="1182" t="n"/>
      <c r="L637" s="1182" t="n"/>
      <c r="M637" s="1182" t="n"/>
      <c r="N637" s="1182" t="n"/>
      <c r="O637" s="1241" t="n"/>
      <c r="P637" s="1242" t="inlineStr">
        <is>
          <t>Итого</t>
        </is>
      </c>
      <c r="Q637" s="1201" t="n"/>
      <c r="R637" s="1201" t="n"/>
      <c r="S637" s="1201" t="n"/>
      <c r="T637" s="1201" t="n"/>
      <c r="U637" s="1201" t="n"/>
      <c r="V637" s="1202" t="n"/>
      <c r="W637" s="42" t="inlineStr">
        <is>
          <t>кг</t>
        </is>
      </c>
      <c r="X637" s="1243">
        <f>IFERROR(SUM(X635:X635),"0")</f>
        <v/>
      </c>
      <c r="Y637" s="1243">
        <f>IFERROR(SUM(Y635:Y635),"0")</f>
        <v/>
      </c>
      <c r="Z637" s="42" t="n"/>
      <c r="AA637" s="1244" t="n"/>
      <c r="AB637" s="1244" t="n"/>
      <c r="AC637" s="1244" t="n"/>
    </row>
    <row r="638" ht="14.25" customHeight="1">
      <c r="A638" s="831" t="inlineStr">
        <is>
          <t>Копченые колбасы</t>
        </is>
      </c>
      <c r="B638" s="1182" t="n"/>
      <c r="C638" s="1182" t="n"/>
      <c r="D638" s="1182" t="n"/>
      <c r="E638" s="1182" t="n"/>
      <c r="F638" s="1182" t="n"/>
      <c r="G638" s="1182" t="n"/>
      <c r="H638" s="1182" t="n"/>
      <c r="I638" s="1182" t="n"/>
      <c r="J638" s="1182" t="n"/>
      <c r="K638" s="1182" t="n"/>
      <c r="L638" s="1182" t="n"/>
      <c r="M638" s="1182" t="n"/>
      <c r="N638" s="1182" t="n"/>
      <c r="O638" s="1182" t="n"/>
      <c r="P638" s="1182" t="n"/>
      <c r="Q638" s="1182" t="n"/>
      <c r="R638" s="1182" t="n"/>
      <c r="S638" s="1182" t="n"/>
      <c r="T638" s="1182" t="n"/>
      <c r="U638" s="1182" t="n"/>
      <c r="V638" s="1182" t="n"/>
      <c r="W638" s="1182" t="n"/>
      <c r="X638" s="1182" t="n"/>
      <c r="Y638" s="1182" t="n"/>
      <c r="Z638" s="1182" t="n"/>
      <c r="AA638" s="831" t="n"/>
      <c r="AB638" s="831" t="n"/>
      <c r="AC638" s="831" t="n"/>
    </row>
    <row r="639" ht="27" customHeight="1">
      <c r="A639" s="63" t="inlineStr">
        <is>
          <t>SU002965</t>
        </is>
      </c>
      <c r="B639" s="63" t="inlineStr">
        <is>
          <t>P004318</t>
        </is>
      </c>
      <c r="C639" s="36" t="n">
        <v>4301031321</v>
      </c>
      <c r="D639" s="832" t="n">
        <v>4640242180076</v>
      </c>
      <c r="E639" s="1193" t="n"/>
      <c r="F639" s="1232" t="n">
        <v>0.7</v>
      </c>
      <c r="G639" s="37" t="n">
        <v>6</v>
      </c>
      <c r="H639" s="1232" t="n">
        <v>4.2</v>
      </c>
      <c r="I639" s="1232" t="n">
        <v>4.41</v>
      </c>
      <c r="J639" s="37" t="n">
        <v>132</v>
      </c>
      <c r="K639" s="37" t="inlineStr">
        <is>
          <t>12</t>
        </is>
      </c>
      <c r="L639" s="37" t="inlineStr"/>
      <c r="M639" s="38" t="inlineStr">
        <is>
          <t>СК2</t>
        </is>
      </c>
      <c r="N639" s="38" t="n"/>
      <c r="O639" s="37" t="n">
        <v>40</v>
      </c>
      <c r="P639" s="1575" t="inlineStr">
        <is>
          <t>В/к колбасы «Сервелат Зернистый» Весовой фиброуз ТМ «Зареченские» HR</t>
        </is>
      </c>
      <c r="Q639" s="1234" t="n"/>
      <c r="R639" s="1234" t="n"/>
      <c r="S639" s="1234" t="n"/>
      <c r="T639" s="1235" t="n"/>
      <c r="U639" s="39" t="inlineStr"/>
      <c r="V639" s="39" t="inlineStr"/>
      <c r="W639" s="40" t="inlineStr">
        <is>
          <t>кг</t>
        </is>
      </c>
      <c r="X639" s="1236" t="n">
        <v>0</v>
      </c>
      <c r="Y639" s="1237">
        <f>IFERROR(IF(X639="",0,CEILING((X639/$H639),1)*$H639),"")</f>
        <v/>
      </c>
      <c r="Z639" s="41">
        <f>IFERROR(IF(Y639=0,"",ROUNDUP(Y639/H639,0)*0.00902),"")</f>
        <v/>
      </c>
      <c r="AA639" s="68" t="inlineStr"/>
      <c r="AB639" s="69" t="inlineStr"/>
      <c r="AC639" s="754" t="inlineStr">
        <is>
          <t>ЕАЭС N RU Д-RU.РА05.В.12077/23</t>
        </is>
      </c>
      <c r="AG639" s="78" t="n"/>
      <c r="AJ639" s="84" t="inlineStr"/>
      <c r="AK639" s="84" t="n">
        <v>0</v>
      </c>
      <c r="BB639" s="755" t="inlineStr">
        <is>
          <t>КИ</t>
        </is>
      </c>
      <c r="BM639" s="78">
        <f>IFERROR(X639*I639/H639,"0")</f>
        <v/>
      </c>
      <c r="BN639" s="78">
        <f>IFERROR(Y639*I639/H639,"0")</f>
        <v/>
      </c>
      <c r="BO639" s="78">
        <f>IFERROR(1/J639*(X639/H639),"0")</f>
        <v/>
      </c>
      <c r="BP639" s="78">
        <f>IFERROR(1/J639*(Y639/H639),"0")</f>
        <v/>
      </c>
    </row>
    <row r="640">
      <c r="A640" s="843" t="n"/>
      <c r="B640" s="1182" t="n"/>
      <c r="C640" s="1182" t="n"/>
      <c r="D640" s="1182" t="n"/>
      <c r="E640" s="1182" t="n"/>
      <c r="F640" s="1182" t="n"/>
      <c r="G640" s="1182" t="n"/>
      <c r="H640" s="1182" t="n"/>
      <c r="I640" s="1182" t="n"/>
      <c r="J640" s="1182" t="n"/>
      <c r="K640" s="1182" t="n"/>
      <c r="L640" s="1182" t="n"/>
      <c r="M640" s="1182" t="n"/>
      <c r="N640" s="1182" t="n"/>
      <c r="O640" s="1241" t="n"/>
      <c r="P640" s="1242" t="inlineStr">
        <is>
          <t>Итого</t>
        </is>
      </c>
      <c r="Q640" s="1201" t="n"/>
      <c r="R640" s="1201" t="n"/>
      <c r="S640" s="1201" t="n"/>
      <c r="T640" s="1201" t="n"/>
      <c r="U640" s="1201" t="n"/>
      <c r="V640" s="1202" t="n"/>
      <c r="W640" s="42" t="inlineStr">
        <is>
          <t>кор</t>
        </is>
      </c>
      <c r="X640" s="1243">
        <f>IFERROR(X639/H639,"0")</f>
        <v/>
      </c>
      <c r="Y640" s="1243">
        <f>IFERROR(Y639/H639,"0")</f>
        <v/>
      </c>
      <c r="Z640" s="1243">
        <f>IFERROR(IF(Z639="",0,Z639),"0")</f>
        <v/>
      </c>
      <c r="AA640" s="1244" t="n"/>
      <c r="AB640" s="1244" t="n"/>
      <c r="AC640" s="1244" t="n"/>
    </row>
    <row r="641">
      <c r="A641" s="1182" t="n"/>
      <c r="B641" s="1182" t="n"/>
      <c r="C641" s="1182" t="n"/>
      <c r="D641" s="1182" t="n"/>
      <c r="E641" s="1182" t="n"/>
      <c r="F641" s="1182" t="n"/>
      <c r="G641" s="1182" t="n"/>
      <c r="H641" s="1182" t="n"/>
      <c r="I641" s="1182" t="n"/>
      <c r="J641" s="1182" t="n"/>
      <c r="K641" s="1182" t="n"/>
      <c r="L641" s="1182" t="n"/>
      <c r="M641" s="1182" t="n"/>
      <c r="N641" s="1182" t="n"/>
      <c r="O641" s="1241" t="n"/>
      <c r="P641" s="1242" t="inlineStr">
        <is>
          <t>Итого</t>
        </is>
      </c>
      <c r="Q641" s="1201" t="n"/>
      <c r="R641" s="1201" t="n"/>
      <c r="S641" s="1201" t="n"/>
      <c r="T641" s="1201" t="n"/>
      <c r="U641" s="1201" t="n"/>
      <c r="V641" s="1202" t="n"/>
      <c r="W641" s="42" t="inlineStr">
        <is>
          <t>кг</t>
        </is>
      </c>
      <c r="X641" s="1243">
        <f>IFERROR(SUM(X639:X639),"0")</f>
        <v/>
      </c>
      <c r="Y641" s="1243">
        <f>IFERROR(SUM(Y639:Y639),"0")</f>
        <v/>
      </c>
      <c r="Z641" s="42" t="n"/>
      <c r="AA641" s="1244" t="n"/>
      <c r="AB641" s="1244" t="n"/>
      <c r="AC641" s="1244" t="n"/>
    </row>
    <row r="642" ht="14.25" customHeight="1">
      <c r="A642" s="831" t="inlineStr">
        <is>
          <t>Сосиски</t>
        </is>
      </c>
      <c r="B642" s="1182" t="n"/>
      <c r="C642" s="1182" t="n"/>
      <c r="D642" s="1182" t="n"/>
      <c r="E642" s="1182" t="n"/>
      <c r="F642" s="1182" t="n"/>
      <c r="G642" s="1182" t="n"/>
      <c r="H642" s="1182" t="n"/>
      <c r="I642" s="1182" t="n"/>
      <c r="J642" s="1182" t="n"/>
      <c r="K642" s="1182" t="n"/>
      <c r="L642" s="1182" t="n"/>
      <c r="M642" s="1182" t="n"/>
      <c r="N642" s="1182" t="n"/>
      <c r="O642" s="1182" t="n"/>
      <c r="P642" s="1182" t="n"/>
      <c r="Q642" s="1182" t="n"/>
      <c r="R642" s="1182" t="n"/>
      <c r="S642" s="1182" t="n"/>
      <c r="T642" s="1182" t="n"/>
      <c r="U642" s="1182" t="n"/>
      <c r="V642" s="1182" t="n"/>
      <c r="W642" s="1182" t="n"/>
      <c r="X642" s="1182" t="n"/>
      <c r="Y642" s="1182" t="n"/>
      <c r="Z642" s="1182" t="n"/>
      <c r="AA642" s="831" t="n"/>
      <c r="AB642" s="831" t="n"/>
      <c r="AC642" s="831" t="n"/>
    </row>
    <row r="643" ht="27" customHeight="1">
      <c r="A643" s="63" t="inlineStr">
        <is>
          <t>SU002969</t>
        </is>
      </c>
      <c r="B643" s="63" t="inlineStr">
        <is>
          <t>P003414</t>
        </is>
      </c>
      <c r="C643" s="36" t="n">
        <v>4301051474</v>
      </c>
      <c r="D643" s="832" t="n">
        <v>4640242180113</v>
      </c>
      <c r="E643" s="1193" t="n"/>
      <c r="F643" s="1232" t="n">
        <v>1.5</v>
      </c>
      <c r="G643" s="37" t="n">
        <v>6</v>
      </c>
      <c r="H643" s="1232" t="n">
        <v>9</v>
      </c>
      <c r="I643" s="1232" t="n">
        <v>9.435</v>
      </c>
      <c r="J643" s="37" t="n">
        <v>64</v>
      </c>
      <c r="K643" s="37" t="inlineStr">
        <is>
          <t>8</t>
        </is>
      </c>
      <c r="L643" s="37" t="inlineStr"/>
      <c r="M643" s="38" t="inlineStr">
        <is>
          <t>СК2</t>
        </is>
      </c>
      <c r="N643" s="38" t="n"/>
      <c r="O643" s="37" t="n">
        <v>45</v>
      </c>
      <c r="P643" s="1576" t="inlineStr">
        <is>
          <t>Сосиски «Баварские с сыром» Весовой п/а ТМ «Зареченские»</t>
        </is>
      </c>
      <c r="Q643" s="1234" t="n"/>
      <c r="R643" s="1234" t="n"/>
      <c r="S643" s="1234" t="n"/>
      <c r="T643" s="1235" t="n"/>
      <c r="U643" s="39" t="inlineStr"/>
      <c r="V643" s="39" t="inlineStr"/>
      <c r="W643" s="40" t="inlineStr">
        <is>
          <t>кг</t>
        </is>
      </c>
      <c r="X643" s="1236" t="n">
        <v>0</v>
      </c>
      <c r="Y643" s="1237">
        <f>IFERROR(IF(X643="",0,CEILING((X643/$H643),1)*$H643),"")</f>
        <v/>
      </c>
      <c r="Z643" s="41">
        <f>IFERROR(IF(Y643=0,"",ROUNDUP(Y643/H643,0)*0.01898),"")</f>
        <v/>
      </c>
      <c r="AA643" s="68" t="inlineStr"/>
      <c r="AB643" s="69" t="inlineStr"/>
      <c r="AC643" s="756" t="inlineStr">
        <is>
          <t>ЕАЭС N RU Д-RU.РА05.В.10196/23</t>
        </is>
      </c>
      <c r="AG643" s="78" t="n"/>
      <c r="AJ643" s="84" t="inlineStr"/>
      <c r="AK643" s="84" t="n">
        <v>0</v>
      </c>
      <c r="BB643" s="757" t="inlineStr">
        <is>
          <t>КИ</t>
        </is>
      </c>
      <c r="BM643" s="78">
        <f>IFERROR(X643*I643/H643,"0")</f>
        <v/>
      </c>
      <c r="BN643" s="78">
        <f>IFERROR(Y643*I643/H643,"0")</f>
        <v/>
      </c>
      <c r="BO643" s="78">
        <f>IFERROR(1/J643*(X643/H643),"0")</f>
        <v/>
      </c>
      <c r="BP643" s="78">
        <f>IFERROR(1/J643*(Y643/H643),"0")</f>
        <v/>
      </c>
    </row>
    <row r="644" ht="27" customHeight="1">
      <c r="A644" s="63" t="inlineStr">
        <is>
          <t>SU002968</t>
        </is>
      </c>
      <c r="B644" s="63" t="inlineStr">
        <is>
          <t>P004321</t>
        </is>
      </c>
      <c r="C644" s="36" t="n">
        <v>4301051780</v>
      </c>
      <c r="D644" s="832" t="n">
        <v>4640242180106</v>
      </c>
      <c r="E644" s="1193" t="n"/>
      <c r="F644" s="1232" t="n">
        <v>1.3</v>
      </c>
      <c r="G644" s="37" t="n">
        <v>6</v>
      </c>
      <c r="H644" s="1232" t="n">
        <v>7.8</v>
      </c>
      <c r="I644" s="1232" t="n">
        <v>8.234999999999999</v>
      </c>
      <c r="J644" s="37" t="n">
        <v>64</v>
      </c>
      <c r="K644" s="37" t="inlineStr">
        <is>
          <t>8</t>
        </is>
      </c>
      <c r="L644" s="37" t="inlineStr"/>
      <c r="M644" s="38" t="inlineStr">
        <is>
          <t>СК2</t>
        </is>
      </c>
      <c r="N644" s="38" t="n"/>
      <c r="O644" s="37" t="n">
        <v>45</v>
      </c>
      <c r="P644" s="1577" t="inlineStr">
        <is>
          <t>Сосиски «Молочные классические» Весовой п/а ТМ «Зареченские» HR</t>
        </is>
      </c>
      <c r="Q644" s="1234" t="n"/>
      <c r="R644" s="1234" t="n"/>
      <c r="S644" s="1234" t="n"/>
      <c r="T644" s="1235" t="n"/>
      <c r="U644" s="39" t="inlineStr"/>
      <c r="V644" s="39" t="inlineStr"/>
      <c r="W644" s="40" t="inlineStr">
        <is>
          <t>кг</t>
        </is>
      </c>
      <c r="X644" s="1236" t="n">
        <v>0</v>
      </c>
      <c r="Y644" s="1237">
        <f>IFERROR(IF(X644="",0,CEILING((X644/$H644),1)*$H644),"")</f>
        <v/>
      </c>
      <c r="Z644" s="41">
        <f>IFERROR(IF(Y644=0,"",ROUNDUP(Y644/H644,0)*0.01898),"")</f>
        <v/>
      </c>
      <c r="AA644" s="68" t="inlineStr"/>
      <c r="AB644" s="69" t="inlineStr"/>
      <c r="AC644" s="758" t="inlineStr">
        <is>
          <t>ЕАЭС N RU Д-RU.РА05.В.10146/23</t>
        </is>
      </c>
      <c r="AG644" s="78" t="n"/>
      <c r="AJ644" s="84" t="inlineStr"/>
      <c r="AK644" s="84" t="n">
        <v>0</v>
      </c>
      <c r="BB644" s="759" t="inlineStr">
        <is>
          <t>КИ</t>
        </is>
      </c>
      <c r="BM644" s="78">
        <f>IFERROR(X644*I644/H644,"0")</f>
        <v/>
      </c>
      <c r="BN644" s="78">
        <f>IFERROR(Y644*I644/H644,"0")</f>
        <v/>
      </c>
      <c r="BO644" s="78">
        <f>IFERROR(1/J644*(X644/H644),"0")</f>
        <v/>
      </c>
      <c r="BP644" s="78">
        <f>IFERROR(1/J644*(Y644/H644),"0")</f>
        <v/>
      </c>
    </row>
    <row r="645">
      <c r="A645" s="843" t="n"/>
      <c r="B645" s="1182" t="n"/>
      <c r="C645" s="1182" t="n"/>
      <c r="D645" s="1182" t="n"/>
      <c r="E645" s="1182" t="n"/>
      <c r="F645" s="1182" t="n"/>
      <c r="G645" s="1182" t="n"/>
      <c r="H645" s="1182" t="n"/>
      <c r="I645" s="1182" t="n"/>
      <c r="J645" s="1182" t="n"/>
      <c r="K645" s="1182" t="n"/>
      <c r="L645" s="1182" t="n"/>
      <c r="M645" s="1182" t="n"/>
      <c r="N645" s="1182" t="n"/>
      <c r="O645" s="1241" t="n"/>
      <c r="P645" s="1242" t="inlineStr">
        <is>
          <t>Итого</t>
        </is>
      </c>
      <c r="Q645" s="1201" t="n"/>
      <c r="R645" s="1201" t="n"/>
      <c r="S645" s="1201" t="n"/>
      <c r="T645" s="1201" t="n"/>
      <c r="U645" s="1201" t="n"/>
      <c r="V645" s="1202" t="n"/>
      <c r="W645" s="42" t="inlineStr">
        <is>
          <t>кор</t>
        </is>
      </c>
      <c r="X645" s="1243">
        <f>IFERROR(X643/H643,"0")+IFERROR(X644/H644,"0")</f>
        <v/>
      </c>
      <c r="Y645" s="1243">
        <f>IFERROR(Y643/H643,"0")+IFERROR(Y644/H644,"0")</f>
        <v/>
      </c>
      <c r="Z645" s="1243">
        <f>IFERROR(IF(Z643="",0,Z643),"0")+IFERROR(IF(Z644="",0,Z644),"0")</f>
        <v/>
      </c>
      <c r="AA645" s="1244" t="n"/>
      <c r="AB645" s="1244" t="n"/>
      <c r="AC645" s="1244" t="n"/>
    </row>
    <row r="646">
      <c r="A646" s="1182" t="n"/>
      <c r="B646" s="1182" t="n"/>
      <c r="C646" s="1182" t="n"/>
      <c r="D646" s="1182" t="n"/>
      <c r="E646" s="1182" t="n"/>
      <c r="F646" s="1182" t="n"/>
      <c r="G646" s="1182" t="n"/>
      <c r="H646" s="1182" t="n"/>
      <c r="I646" s="1182" t="n"/>
      <c r="J646" s="1182" t="n"/>
      <c r="K646" s="1182" t="n"/>
      <c r="L646" s="1182" t="n"/>
      <c r="M646" s="1182" t="n"/>
      <c r="N646" s="1182" t="n"/>
      <c r="O646" s="1241" t="n"/>
      <c r="P646" s="1242" t="inlineStr">
        <is>
          <t>Итого</t>
        </is>
      </c>
      <c r="Q646" s="1201" t="n"/>
      <c r="R646" s="1201" t="n"/>
      <c r="S646" s="1201" t="n"/>
      <c r="T646" s="1201" t="n"/>
      <c r="U646" s="1201" t="n"/>
      <c r="V646" s="1202" t="n"/>
      <c r="W646" s="42" t="inlineStr">
        <is>
          <t>кг</t>
        </is>
      </c>
      <c r="X646" s="1243">
        <f>IFERROR(SUM(X643:X644),"0")</f>
        <v/>
      </c>
      <c r="Y646" s="1243">
        <f>IFERROR(SUM(Y643:Y644),"0")</f>
        <v/>
      </c>
      <c r="Z646" s="42" t="n"/>
      <c r="AA646" s="1244" t="n"/>
      <c r="AB646" s="1244" t="n"/>
      <c r="AC646" s="1244" t="n"/>
    </row>
    <row r="647" ht="15" customHeight="1">
      <c r="A647" s="1181" t="n"/>
      <c r="B647" s="1182" t="n"/>
      <c r="C647" s="1182" t="n"/>
      <c r="D647" s="1182" t="n"/>
      <c r="E647" s="1182" t="n"/>
      <c r="F647" s="1182" t="n"/>
      <c r="G647" s="1182" t="n"/>
      <c r="H647" s="1182" t="n"/>
      <c r="I647" s="1182" t="n"/>
      <c r="J647" s="1182" t="n"/>
      <c r="K647" s="1182" t="n"/>
      <c r="L647" s="1182" t="n"/>
      <c r="M647" s="1182" t="n"/>
      <c r="N647" s="1182" t="n"/>
      <c r="O647" s="1190" t="n"/>
      <c r="P647" s="1578" t="inlineStr">
        <is>
          <t>ИТОГО НЕТТО</t>
        </is>
      </c>
      <c r="Q647" s="1185" t="n"/>
      <c r="R647" s="1185" t="n"/>
      <c r="S647" s="1185" t="n"/>
      <c r="T647" s="1185" t="n"/>
      <c r="U647" s="1185" t="n"/>
      <c r="V647" s="1186" t="n"/>
      <c r="W647" s="42" t="inlineStr">
        <is>
          <t>кг</t>
        </is>
      </c>
      <c r="X647" s="124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/>
      </c>
      <c r="Y647" s="124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/>
      </c>
      <c r="Z647" s="42" t="n"/>
      <c r="AA647" s="1244" t="n"/>
      <c r="AB647" s="1244" t="n"/>
      <c r="AC647" s="1244" t="n"/>
    </row>
    <row r="648">
      <c r="A648" s="1182" t="n"/>
      <c r="B648" s="1182" t="n"/>
      <c r="C648" s="1182" t="n"/>
      <c r="D648" s="1182" t="n"/>
      <c r="E648" s="1182" t="n"/>
      <c r="F648" s="1182" t="n"/>
      <c r="G648" s="1182" t="n"/>
      <c r="H648" s="1182" t="n"/>
      <c r="I648" s="1182" t="n"/>
      <c r="J648" s="1182" t="n"/>
      <c r="K648" s="1182" t="n"/>
      <c r="L648" s="1182" t="n"/>
      <c r="M648" s="1182" t="n"/>
      <c r="N648" s="1182" t="n"/>
      <c r="O648" s="1190" t="n"/>
      <c r="P648" s="1578" t="inlineStr">
        <is>
          <t>ИТОГО БРУТТО</t>
        </is>
      </c>
      <c r="Q648" s="1185" t="n"/>
      <c r="R648" s="1185" t="n"/>
      <c r="S648" s="1185" t="n"/>
      <c r="T648" s="1185" t="n"/>
      <c r="U648" s="1185" t="n"/>
      <c r="V648" s="1186" t="n"/>
      <c r="W648" s="42" t="inlineStr">
        <is>
          <t>кг</t>
        </is>
      </c>
      <c r="X648" s="1243">
        <f>IFERROR(SUM(BM22:BM644),"0")</f>
        <v/>
      </c>
      <c r="Y648" s="1243">
        <f>IFERROR(SUM(BN22:BN644),"0")</f>
        <v/>
      </c>
      <c r="Z648" s="42" t="n"/>
      <c r="AA648" s="1244" t="n"/>
      <c r="AB648" s="1244" t="n"/>
      <c r="AC648" s="1244" t="n"/>
    </row>
    <row r="649">
      <c r="A649" s="1182" t="n"/>
      <c r="B649" s="1182" t="n"/>
      <c r="C649" s="1182" t="n"/>
      <c r="D649" s="1182" t="n"/>
      <c r="E649" s="1182" t="n"/>
      <c r="F649" s="1182" t="n"/>
      <c r="G649" s="1182" t="n"/>
      <c r="H649" s="1182" t="n"/>
      <c r="I649" s="1182" t="n"/>
      <c r="J649" s="1182" t="n"/>
      <c r="K649" s="1182" t="n"/>
      <c r="L649" s="1182" t="n"/>
      <c r="M649" s="1182" t="n"/>
      <c r="N649" s="1182" t="n"/>
      <c r="O649" s="1190" t="n"/>
      <c r="P649" s="1578" t="inlineStr">
        <is>
          <t>Кол-во паллет</t>
        </is>
      </c>
      <c r="Q649" s="1185" t="n"/>
      <c r="R649" s="1185" t="n"/>
      <c r="S649" s="1185" t="n"/>
      <c r="T649" s="1185" t="n"/>
      <c r="U649" s="1185" t="n"/>
      <c r="V649" s="1186" t="n"/>
      <c r="W649" s="42" t="inlineStr">
        <is>
          <t>шт</t>
        </is>
      </c>
      <c r="X649" s="44">
        <f>ROUNDUP(SUM(BO22:BO644),0)</f>
        <v/>
      </c>
      <c r="Y649" s="44">
        <f>ROUNDUP(SUM(BP22:BP644),0)</f>
        <v/>
      </c>
      <c r="Z649" s="42" t="n"/>
      <c r="AA649" s="1244" t="n"/>
      <c r="AB649" s="1244" t="n"/>
      <c r="AC649" s="1244" t="n"/>
    </row>
    <row r="650">
      <c r="A650" s="1182" t="n"/>
      <c r="B650" s="1182" t="n"/>
      <c r="C650" s="1182" t="n"/>
      <c r="D650" s="1182" t="n"/>
      <c r="E650" s="1182" t="n"/>
      <c r="F650" s="1182" t="n"/>
      <c r="G650" s="1182" t="n"/>
      <c r="H650" s="1182" t="n"/>
      <c r="I650" s="1182" t="n"/>
      <c r="J650" s="1182" t="n"/>
      <c r="K650" s="1182" t="n"/>
      <c r="L650" s="1182" t="n"/>
      <c r="M650" s="1182" t="n"/>
      <c r="N650" s="1182" t="n"/>
      <c r="O650" s="1190" t="n"/>
      <c r="P650" s="1578" t="inlineStr">
        <is>
          <t>Вес брутто  с паллетами</t>
        </is>
      </c>
      <c r="Q650" s="1185" t="n"/>
      <c r="R650" s="1185" t="n"/>
      <c r="S650" s="1185" t="n"/>
      <c r="T650" s="1185" t="n"/>
      <c r="U650" s="1185" t="n"/>
      <c r="V650" s="1186" t="n"/>
      <c r="W650" s="42" t="inlineStr">
        <is>
          <t>кг</t>
        </is>
      </c>
      <c r="X650" s="1243">
        <f>GrossWeightTotal+PalletQtyTotal*25</f>
        <v/>
      </c>
      <c r="Y650" s="1243">
        <f>GrossWeightTotalR+PalletQtyTotalR*25</f>
        <v/>
      </c>
      <c r="Z650" s="42" t="n"/>
      <c r="AA650" s="1244" t="n"/>
      <c r="AB650" s="1244" t="n"/>
      <c r="AC650" s="1244" t="n"/>
    </row>
    <row r="651">
      <c r="A651" s="1182" t="n"/>
      <c r="B651" s="1182" t="n"/>
      <c r="C651" s="1182" t="n"/>
      <c r="D651" s="1182" t="n"/>
      <c r="E651" s="1182" t="n"/>
      <c r="F651" s="1182" t="n"/>
      <c r="G651" s="1182" t="n"/>
      <c r="H651" s="1182" t="n"/>
      <c r="I651" s="1182" t="n"/>
      <c r="J651" s="1182" t="n"/>
      <c r="K651" s="1182" t="n"/>
      <c r="L651" s="1182" t="n"/>
      <c r="M651" s="1182" t="n"/>
      <c r="N651" s="1182" t="n"/>
      <c r="O651" s="1190" t="n"/>
      <c r="P651" s="1578" t="inlineStr">
        <is>
          <t>Кол-во коробок</t>
        </is>
      </c>
      <c r="Q651" s="1185" t="n"/>
      <c r="R651" s="1185" t="n"/>
      <c r="S651" s="1185" t="n"/>
      <c r="T651" s="1185" t="n"/>
      <c r="U651" s="1185" t="n"/>
      <c r="V651" s="1186" t="n"/>
      <c r="W651" s="42" t="inlineStr">
        <is>
          <t>шт</t>
        </is>
      </c>
      <c r="X651" s="124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/>
      </c>
      <c r="Y651" s="124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/>
      </c>
      <c r="Z651" s="42" t="n"/>
      <c r="AA651" s="1244" t="n"/>
      <c r="AB651" s="1244" t="n"/>
      <c r="AC651" s="1244" t="n"/>
    </row>
    <row r="652" ht="14.25" customHeight="1">
      <c r="A652" s="1182" t="n"/>
      <c r="B652" s="1182" t="n"/>
      <c r="C652" s="1182" t="n"/>
      <c r="D652" s="1182" t="n"/>
      <c r="E652" s="1182" t="n"/>
      <c r="F652" s="1182" t="n"/>
      <c r="G652" s="1182" t="n"/>
      <c r="H652" s="1182" t="n"/>
      <c r="I652" s="1182" t="n"/>
      <c r="J652" s="1182" t="n"/>
      <c r="K652" s="1182" t="n"/>
      <c r="L652" s="1182" t="n"/>
      <c r="M652" s="1182" t="n"/>
      <c r="N652" s="1182" t="n"/>
      <c r="O652" s="1190" t="n"/>
      <c r="P652" s="1578" t="inlineStr">
        <is>
          <t>Объем заказа</t>
        </is>
      </c>
      <c r="Q652" s="1185" t="n"/>
      <c r="R652" s="1185" t="n"/>
      <c r="S652" s="1185" t="n"/>
      <c r="T652" s="1185" t="n"/>
      <c r="U652" s="1185" t="n"/>
      <c r="V652" s="1186" t="n"/>
      <c r="W652" s="45" t="inlineStr">
        <is>
          <t>м3</t>
        </is>
      </c>
      <c r="X652" s="42" t="n"/>
      <c r="Y652" s="42" t="n"/>
      <c r="Z652" s="42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/>
      </c>
      <c r="AA652" s="1244" t="n"/>
      <c r="AB652" s="1244" t="n"/>
      <c r="AC652" s="1244" t="n"/>
    </row>
    <row r="653" ht="13.5" customHeight="1" thickBot="1"/>
    <row r="654" ht="27" customHeight="1" thickBot="1" thickTop="1">
      <c r="A654" s="46" t="inlineStr">
        <is>
          <t>ТОРГОВАЯ МАРКА</t>
        </is>
      </c>
      <c r="B654" s="1174" t="inlineStr">
        <is>
          <t>Ядрена копоть</t>
        </is>
      </c>
      <c r="C654" s="1174" t="inlineStr">
        <is>
          <t>Вязанка</t>
        </is>
      </c>
      <c r="D654" s="1579" t="n"/>
      <c r="E654" s="1579" t="n"/>
      <c r="F654" s="1579" t="n"/>
      <c r="G654" s="1579" t="n"/>
      <c r="H654" s="1580" t="n"/>
      <c r="I654" s="1174" t="inlineStr">
        <is>
          <t>Стародворье</t>
        </is>
      </c>
      <c r="J654" s="1579" t="n"/>
      <c r="K654" s="1579" t="n"/>
      <c r="L654" s="1579" t="n"/>
      <c r="M654" s="1579" t="n"/>
      <c r="N654" s="1579" t="n"/>
      <c r="O654" s="1579" t="n"/>
      <c r="P654" s="1579" t="n"/>
      <c r="Q654" s="1579" t="n"/>
      <c r="R654" s="1579" t="n"/>
      <c r="S654" s="1579" t="n"/>
      <c r="T654" s="1579" t="n"/>
      <c r="U654" s="1579" t="n"/>
      <c r="V654" s="1579" t="n"/>
      <c r="W654" s="1580" t="n"/>
      <c r="X654" s="1174" t="inlineStr">
        <is>
          <t>Особый рецепт</t>
        </is>
      </c>
      <c r="Y654" s="1580" t="n"/>
      <c r="Z654" s="1174" t="inlineStr">
        <is>
          <t>Баварушка</t>
        </is>
      </c>
      <c r="AA654" s="1579" t="n"/>
      <c r="AB654" s="1579" t="n"/>
      <c r="AC654" s="1580" t="n"/>
      <c r="AD654" s="1174" t="inlineStr">
        <is>
          <t>Дугушка</t>
        </is>
      </c>
      <c r="AE654" s="1174" t="inlineStr">
        <is>
          <t>Сафияль</t>
        </is>
      </c>
      <c r="AF654" s="1174" t="inlineStr">
        <is>
          <t>Зареченские продукты</t>
        </is>
      </c>
      <c r="AG654" s="1580" t="n"/>
    </row>
    <row r="655" ht="14.25" customHeight="1" thickTop="1">
      <c r="A655" s="1183" t="inlineStr">
        <is>
          <t>СЕРИЯ</t>
        </is>
      </c>
      <c r="B655" s="1174" t="inlineStr">
        <is>
          <t>Ядрена копоть</t>
        </is>
      </c>
      <c r="C655" s="1174" t="inlineStr">
        <is>
          <t>ГОСТ</t>
        </is>
      </c>
      <c r="D655" s="1174" t="inlineStr">
        <is>
          <t>Филейская</t>
        </is>
      </c>
      <c r="E655" s="1174" t="inlineStr">
        <is>
          <t>Молокуша</t>
        </is>
      </c>
      <c r="F655" s="1174" t="inlineStr">
        <is>
          <t>Сливушка</t>
        </is>
      </c>
      <c r="G655" s="1174" t="inlineStr">
        <is>
          <t>Халяль</t>
        </is>
      </c>
      <c r="H655" s="1174" t="inlineStr">
        <is>
          <t>Вязанка</t>
        </is>
      </c>
      <c r="I655" s="1174" t="inlineStr">
        <is>
          <t>Мясорубская</t>
        </is>
      </c>
      <c r="J655" s="1174" t="inlineStr">
        <is>
          <t>Сочинка</t>
        </is>
      </c>
      <c r="K655" s="1174" t="inlineStr">
        <is>
          <t>Филедворская</t>
        </is>
      </c>
      <c r="L655" s="1174" t="inlineStr">
        <is>
          <t>Стародворская</t>
        </is>
      </c>
      <c r="M655" s="1174" t="inlineStr">
        <is>
          <t>Филедворская по-стародворски</t>
        </is>
      </c>
      <c r="N655" s="1182" t="n"/>
      <c r="O655" s="1174" t="inlineStr">
        <is>
          <t>Филедворская Золоченная в печи</t>
        </is>
      </c>
      <c r="P655" s="1174" t="inlineStr">
        <is>
          <t>Стародворская Золоченная в печи</t>
        </is>
      </c>
      <c r="Q655" s="1174" t="inlineStr">
        <is>
          <t>Сочинка по-баварски</t>
        </is>
      </c>
      <c r="R655" s="1174" t="inlineStr">
        <is>
          <t>Стародворская EDLP/EDPP</t>
        </is>
      </c>
      <c r="S655" s="1174" t="inlineStr">
        <is>
          <t>Царедворская EDLP/EDPP</t>
        </is>
      </c>
      <c r="T655" s="1174" t="inlineStr">
        <is>
          <t>Филедворская EDLP/EDPP</t>
        </is>
      </c>
      <c r="U655" s="1174" t="inlineStr">
        <is>
          <t>Мясинская</t>
        </is>
      </c>
      <c r="V655" s="1174" t="inlineStr">
        <is>
          <t>Бордо</t>
        </is>
      </c>
      <c r="W655" s="1174" t="inlineStr">
        <is>
          <t>Бавария</t>
        </is>
      </c>
      <c r="X655" s="1174" t="inlineStr">
        <is>
          <t>Особая</t>
        </is>
      </c>
      <c r="Y655" s="1174" t="inlineStr">
        <is>
          <t>Особая Без свинины</t>
        </is>
      </c>
      <c r="Z655" s="1174" t="inlineStr">
        <is>
          <t>Филейбургская</t>
        </is>
      </c>
      <c r="AA655" s="1174" t="inlineStr">
        <is>
          <t>Балыкбургская</t>
        </is>
      </c>
      <c r="AB655" s="1174" t="inlineStr">
        <is>
          <t>Краковюрст</t>
        </is>
      </c>
      <c r="AC655" s="1174" t="inlineStr">
        <is>
          <t>Бюргерсы</t>
        </is>
      </c>
      <c r="AD655" s="1174" t="inlineStr">
        <is>
          <t>Дугушка</t>
        </is>
      </c>
      <c r="AE655" s="1174" t="inlineStr">
        <is>
          <t>Сафияль</t>
        </is>
      </c>
      <c r="AF655" s="1174" t="inlineStr">
        <is>
          <t>Зареченские продукты</t>
        </is>
      </c>
      <c r="AG655" s="1174" t="inlineStr">
        <is>
          <t>Зареченские продукты Светофор</t>
        </is>
      </c>
    </row>
    <row r="656" ht="13.5" customHeight="1" thickBot="1">
      <c r="A656" s="1581" t="n"/>
      <c r="B656" s="1582" t="n"/>
      <c r="C656" s="1582" t="n"/>
      <c r="D656" s="1582" t="n"/>
      <c r="E656" s="1582" t="n"/>
      <c r="F656" s="1582" t="n"/>
      <c r="G656" s="1582" t="n"/>
      <c r="H656" s="1582" t="n"/>
      <c r="I656" s="1582" t="n"/>
      <c r="J656" s="1582" t="n"/>
      <c r="K656" s="1582" t="n"/>
      <c r="L656" s="1582" t="n"/>
      <c r="M656" s="1582" t="n"/>
      <c r="N656" s="1182" t="n"/>
      <c r="O656" s="1582" t="n"/>
      <c r="P656" s="1582" t="n"/>
      <c r="Q656" s="1582" t="n"/>
      <c r="R656" s="1582" t="n"/>
      <c r="S656" s="1582" t="n"/>
      <c r="T656" s="1582" t="n"/>
      <c r="U656" s="1582" t="n"/>
      <c r="V656" s="1582" t="n"/>
      <c r="W656" s="1582" t="n"/>
      <c r="X656" s="1582" t="n"/>
      <c r="Y656" s="1582" t="n"/>
      <c r="Z656" s="1582" t="n"/>
      <c r="AA656" s="1582" t="n"/>
      <c r="AB656" s="1582" t="n"/>
      <c r="AC656" s="1582" t="n"/>
      <c r="AD656" s="1582" t="n"/>
      <c r="AE656" s="1582" t="n"/>
      <c r="AF656" s="1582" t="n"/>
      <c r="AG656" s="1582" t="n"/>
    </row>
    <row r="657" ht="18" customHeight="1" thickBot="1" thickTop="1">
      <c r="A657" s="46" t="inlineStr">
        <is>
          <t>ИТОГО, кг</t>
        </is>
      </c>
      <c r="B657" s="52">
        <f>IFERROR(Y22*1,"0")+IFERROR(Y23*1,"0")+IFERROR(Y24*1,"0")+IFERROR(Y25*1,"0")+IFERROR(Y29*1,"0")</f>
        <v/>
      </c>
      <c r="C657" s="52">
        <f>IFERROR(Y35*1,"0")+IFERROR(Y36*1,"0")+IFERROR(Y37*1,"0")+IFERROR(Y38*1,"0")+IFERROR(Y39*1,"0")+IFERROR(Y40*1,"0")+IFERROR(Y44*1,"0")+IFERROR(Y45*1,"0")</f>
        <v/>
      </c>
      <c r="D657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/>
      </c>
      <c r="E657" s="52">
        <f>IFERROR(Y92*1,"0")+IFERROR(Y93*1,"0")+IFERROR(Y94*1,"0")+IFERROR(Y98*1,"0")+IFERROR(Y99*1,"0")+IFERROR(Y100*1,"0")+IFERROR(Y101*1,"0")+IFERROR(Y102*1,"0")+IFERROR(Y103*1,"0")</f>
        <v/>
      </c>
      <c r="F657" s="52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/>
      </c>
      <c r="G657" s="52">
        <f>IFERROR(Y138*1,"0")+IFERROR(Y139*1,"0")+IFERROR(Y143*1,"0")+IFERROR(Y144*1,"0")+IFERROR(Y148*1,"0")+IFERROR(Y149*1,"0")</f>
        <v/>
      </c>
      <c r="H657" s="52">
        <f>IFERROR(Y154*1,"0")+IFERROR(Y158*1,"0")+IFERROR(Y159*1,"0")+IFERROR(Y160*1,"0")+IFERROR(Y161*1,"0")+IFERROR(Y162*1,"0")+IFERROR(Y166*1,"0")+IFERROR(Y167*1,"0")</f>
        <v/>
      </c>
      <c r="I657" s="52">
        <f>IFERROR(Y173*1,"0")+IFERROR(Y177*1,"0")+IFERROR(Y178*1,"0")+IFERROR(Y179*1,"0")+IFERROR(Y180*1,"0")+IFERROR(Y181*1,"0")+IFERROR(Y182*1,"0")+IFERROR(Y183*1,"0")+IFERROR(Y184*1,"0")</f>
        <v/>
      </c>
      <c r="J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/>
      </c>
      <c r="K657" s="52">
        <f>IFERROR(Y234*1,"0")+IFERROR(Y235*1,"0")+IFERROR(Y236*1,"0")+IFERROR(Y237*1,"0")+IFERROR(Y238*1,"0")+IFERROR(Y239*1,"0")+IFERROR(Y240*1,"0")+IFERROR(Y241*1,"0")</f>
        <v/>
      </c>
      <c r="L657" s="52">
        <f>IFERROR(Y246*1,"0")+IFERROR(Y247*1,"0")+IFERROR(Y248*1,"0")+IFERROR(Y249*1,"0")+IFERROR(Y250*1,"0")+IFERROR(Y251*1,"0")+IFERROR(Y252*1,"0")+IFERROR(Y253*1,"0")+IFERROR(Y254*1,"0")+IFERROR(Y258*1,"0")</f>
        <v/>
      </c>
      <c r="M657" s="52">
        <f>IFERROR(Y263*1,"0")+IFERROR(Y264*1,"0")+IFERROR(Y265*1,"0")+IFERROR(Y266*1,"0")+IFERROR(Y267*1,"0")+IFERROR(Y268*1,"0")+IFERROR(Y269*1,"0")+IFERROR(Y270*1,"0")+IFERROR(Y271*1,"0")</f>
        <v/>
      </c>
      <c r="N657" s="1182" t="n"/>
      <c r="O657" s="52">
        <f>IFERROR(Y276*1,"0")</f>
        <v/>
      </c>
      <c r="P657" s="52">
        <f>IFERROR(Y281*1,"0")+IFERROR(Y282*1,"0")+IFERROR(Y283*1,"0")</f>
        <v/>
      </c>
      <c r="Q657" s="52">
        <f>IFERROR(Y288*1,"0")+IFERROR(Y289*1,"0")+IFERROR(Y290*1,"0")+IFERROR(Y291*1,"0")+IFERROR(Y292*1,"0")+IFERROR(Y293*1,"0")</f>
        <v/>
      </c>
      <c r="R657" s="52">
        <f>IFERROR(Y298*1,"0")+IFERROR(Y302*1,"0")+IFERROR(Y306*1,"0")+IFERROR(Y307*1,"0")</f>
        <v/>
      </c>
      <c r="S657" s="52">
        <f>IFERROR(Y312*1,"0")+IFERROR(Y316*1,"0")+IFERROR(Y320*1,"0")+IFERROR(Y321*1,"0")</f>
        <v/>
      </c>
      <c r="T657" s="52">
        <f>IFERROR(Y326*1,"0")+IFERROR(Y327*1,"0")+IFERROR(Y331*1,"0")+IFERROR(Y332*1,"0")+IFERROR(Y336*1,"0")</f>
        <v/>
      </c>
      <c r="U657" s="52">
        <f>IFERROR(Y341*1,"0")</f>
        <v/>
      </c>
      <c r="V657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/>
      </c>
      <c r="W657" s="52">
        <f>IFERROR(Y394*1,"0")+IFERROR(Y398*1,"0")+IFERROR(Y399*1,"0")+IFERROR(Y400*1,"0")</f>
        <v/>
      </c>
      <c r="X657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/>
      </c>
      <c r="Y657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/>
      </c>
      <c r="Z657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/>
      </c>
      <c r="AA657" s="52">
        <f>IFERROR(Y494*1,"0")+IFERROR(Y498*1,"0")+IFERROR(Y499*1,"0")+IFERROR(Y500*1,"0")+IFERROR(Y501*1,"0")+IFERROR(Y502*1,"0")</f>
        <v/>
      </c>
      <c r="AB657" s="52">
        <f>IFERROR(Y507*1,"0")+IFERROR(Y508*1,"0")+IFERROR(Y509*1,"0")</f>
        <v/>
      </c>
      <c r="AC657" s="52">
        <f>IFERROR(Y514*1,"0")+IFERROR(Y518*1,"0")</f>
        <v/>
      </c>
      <c r="AD657" s="52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/>
      </c>
      <c r="AE657" s="52">
        <f>IFERROR(Y578*1,"0")</f>
        <v/>
      </c>
      <c r="AF657" s="52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/>
      </c>
      <c r="AG657" s="52">
        <f>IFERROR(Y630*1,"0")+IFERROR(Y631*1,"0")+IFERROR(Y635*1,"0")+IFERROR(Y639*1,"0")+IFERROR(Y643*1,"0")+IFERROR(Y644*1,"0")</f>
        <v/>
      </c>
    </row>
    <row r="6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EyBSFxPgWDsoZMXnemrUg==" formatRows="1" sort="0" spinCount="100000" hashValue="rWCYEEhHSI3qqjDtg8CSUkxWBb9F4RsbGY1ZBvUzQVYonJGeA8Srr1l0Jvbj4JVYy7/JxEgJJVRyf0y9z7rus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59"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P252:T252"/>
    <mergeCell ref="D124:E124"/>
    <mergeCell ref="D195:E195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P553:T553"/>
    <mergeCell ref="P382:T38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P466:T466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649:V649"/>
    <mergeCell ref="D643:E643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304:V304"/>
    <mergeCell ref="P540:V540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283:T283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D533:E533"/>
    <mergeCell ref="A30:O31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A377:O378"/>
    <mergeCell ref="P545:T545"/>
    <mergeCell ref="D178:E178"/>
    <mergeCell ref="P51:T51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Z654:AC654"/>
    <mergeCell ref="P80:T80"/>
    <mergeCell ref="D194:E194"/>
    <mergeCell ref="Z17:Z18"/>
    <mergeCell ref="A582:Z582"/>
    <mergeCell ref="AB655:AB656"/>
    <mergeCell ref="AB17:AB18"/>
    <mergeCell ref="P607:T607"/>
    <mergeCell ref="A90:Z90"/>
    <mergeCell ref="P563:V563"/>
    <mergeCell ref="A581:Z581"/>
    <mergeCell ref="D446:E446"/>
    <mergeCell ref="A575:Z575"/>
    <mergeCell ref="D367:E367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P631:T631"/>
    <mergeCell ref="D441:E441"/>
    <mergeCell ref="I655:I656"/>
    <mergeCell ref="P398:T398"/>
    <mergeCell ref="A626:O627"/>
    <mergeCell ref="P525:T525"/>
    <mergeCell ref="A515:O516"/>
    <mergeCell ref="A384:O385"/>
    <mergeCell ref="D368:E368"/>
    <mergeCell ref="P227:T227"/>
    <mergeCell ref="D604:E604"/>
    <mergeCell ref="P177:T177"/>
    <mergeCell ref="P475:T475"/>
    <mergeCell ref="P226:T226"/>
    <mergeCell ref="A294:O295"/>
    <mergeCell ref="P93:T93"/>
    <mergeCell ref="P269:T269"/>
    <mergeCell ref="A150:O151"/>
    <mergeCell ref="D383:E383"/>
    <mergeCell ref="P120:V120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637:V637"/>
    <mergeCell ref="P139:T139"/>
    <mergeCell ref="P47:V47"/>
    <mergeCell ref="P560:T560"/>
    <mergeCell ref="P247:T247"/>
    <mergeCell ref="P241:T241"/>
    <mergeCell ref="AA655:AA656"/>
    <mergeCell ref="A157:Z157"/>
    <mergeCell ref="D22:E22"/>
    <mergeCell ref="A333:O334"/>
    <mergeCell ref="D320:E320"/>
    <mergeCell ref="P470:T470"/>
    <mergeCell ref="D618:E618"/>
    <mergeCell ref="D149:E149"/>
    <mergeCell ref="P426:V426"/>
    <mergeCell ref="P255:V255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C655:AC65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655:P656"/>
    <mergeCell ref="P364:T364"/>
    <mergeCell ref="P599:V599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D29:E29"/>
    <mergeCell ref="P592:V592"/>
    <mergeCell ref="D23:E23"/>
    <mergeCell ref="D265:E265"/>
    <mergeCell ref="D216:E216"/>
    <mergeCell ref="C654:H654"/>
    <mergeCell ref="P300:V300"/>
    <mergeCell ref="A134:O135"/>
    <mergeCell ref="D623:E623"/>
    <mergeCell ref="D452:E452"/>
    <mergeCell ref="P431:V431"/>
    <mergeCell ref="P371:V371"/>
    <mergeCell ref="D550:E550"/>
    <mergeCell ref="D252:E252"/>
    <mergeCell ref="P123:T123"/>
    <mergeCell ref="A20:Z20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P74:V74"/>
    <mergeCell ref="Y17:Y18"/>
    <mergeCell ref="P124:T124"/>
    <mergeCell ref="P608:V608"/>
    <mergeCell ref="U17:V17"/>
    <mergeCell ref="D293:E293"/>
    <mergeCell ref="P163:V163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38 X51 X56 X63 X94 X100 X126 X292 X406 X408 X412 X41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IF(AK38&gt;0,OR(X38=0,AND(IF(X38-AK38&gt;=0,TRUE,FALSE),X38&gt;0,IF(X38/(H38*J38)=ROUND(X38/(H38*J38),0),TRUE,FALSE))),FALSE)</formula1>
    </dataValidation>
    <dataValidation sqref="X34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IF(AK347&gt;0,OR(X347=0,AND(IF(X347-AK347&gt;=0,TRUE,FALSE),X347&gt;0,IF(X347/(H347*K347)=ROUND(X347/(H347*K347),0),TRUE,FALSE))),FALSE)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g2JsiEVQjG19lAA9GMpA==" formatRows="1" sort="0" spinCount="100000" hashValue="mKHpiPnrjECch97kvGBniw/1bpcp9Pv4zPMyEjUH5+rTpSFm6WrQlQvypncH5CqWRm/ai02XbJHOSmOOq8iEC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2025-02-26T09:16:06Z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