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2,25 Пушкарный\"/>
    </mc:Choice>
  </mc:AlternateContent>
  <xr:revisionPtr revIDLastSave="0" documentId="13_ncr:1_{EA69B762-B74E-46F2-8B68-0D69006CC7EC}" xr6:coauthVersionLast="45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заказа'!$X$648:$X$648</definedName>
    <definedName name="GrossWeightTotalR">'Бланк заказа'!$Y$648:$Y$648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заказа'!$X$649:$X$649</definedName>
    <definedName name="PalletQtyTotalR">'Бланк заказа'!$Y$649:$Y$649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заказа'!$B$206:$B$206</definedName>
    <definedName name="ProductId101">'Бланк заказа'!$B$210:$B$210</definedName>
    <definedName name="ProductId102">'Бланк заказа'!$B$211:$B$211</definedName>
    <definedName name="ProductId103">'Бланк заказа'!$B$212:$B$212</definedName>
    <definedName name="ProductId104">'Бланк заказа'!$B$213:$B$213</definedName>
    <definedName name="ProductId105">'Бланк заказа'!$B$214:$B$214</definedName>
    <definedName name="ProductId106">'Бланк заказа'!$B$215:$B$215</definedName>
    <definedName name="ProductId107">'Бланк заказа'!$B$216:$B$216</definedName>
    <definedName name="ProductId108">'Бланк заказа'!$B$217:$B$217</definedName>
    <definedName name="ProductId109">'Бланк заказа'!$B$218:$B$218</definedName>
    <definedName name="ProductId11">'Бланк заказа'!$B$40:$B$40</definedName>
    <definedName name="ProductId110">'Бланк заказа'!$B$219:$B$219</definedName>
    <definedName name="ProductId111">'Бланк заказа'!$B$220:$B$220</definedName>
    <definedName name="ProductId112">'Бланк заказа'!$B$224:$B$224</definedName>
    <definedName name="ProductId113">'Бланк заказа'!$B$225:$B$225</definedName>
    <definedName name="ProductId114">'Бланк заказа'!$B$226:$B$226</definedName>
    <definedName name="ProductId115">'Бланк заказа'!$B$227:$B$227</definedName>
    <definedName name="ProductId116">'Бланк заказа'!$B$228:$B$228</definedName>
    <definedName name="ProductId117">'Бланк заказа'!$B$229:$B$229</definedName>
    <definedName name="ProductId118">'Бланк заказа'!$B$234:$B$234</definedName>
    <definedName name="ProductId119">'Бланк заказа'!$B$235:$B$235</definedName>
    <definedName name="ProductId12">'Бланк заказа'!$B$44:$B$44</definedName>
    <definedName name="ProductId120">'Бланк заказа'!$B$236:$B$236</definedName>
    <definedName name="ProductId121">'Бланк заказа'!$B$237:$B$237</definedName>
    <definedName name="ProductId122">'Бланк заказа'!$B$238:$B$238</definedName>
    <definedName name="ProductId123">'Бланк заказа'!$B$239:$B$239</definedName>
    <definedName name="ProductId124">'Бланк заказа'!$B$240:$B$240</definedName>
    <definedName name="ProductId125">'Бланк заказа'!$B$241:$B$241</definedName>
    <definedName name="ProductId126">'Бланк заказа'!$B$246:$B$246</definedName>
    <definedName name="ProductId127">'Бланк заказа'!$B$247:$B$247</definedName>
    <definedName name="ProductId128">'Бланк заказа'!$B$248:$B$248</definedName>
    <definedName name="ProductId129">'Бланк заказа'!$B$249:$B$249</definedName>
    <definedName name="ProductId13">'Бланк заказа'!$B$45:$B$45</definedName>
    <definedName name="ProductId130">'Бланк заказа'!$B$250:$B$250</definedName>
    <definedName name="ProductId131">'Бланк заказа'!$B$251:$B$251</definedName>
    <definedName name="ProductId132">'Бланк заказа'!$B$252:$B$252</definedName>
    <definedName name="ProductId133">'Бланк заказа'!$B$253:$B$253</definedName>
    <definedName name="ProductId134">'Бланк заказа'!$B$254:$B$254</definedName>
    <definedName name="ProductId135">'Бланк заказа'!$B$258:$B$258</definedName>
    <definedName name="ProductId136">'Бланк заказа'!$B$263:$B$263</definedName>
    <definedName name="ProductId137">'Бланк заказа'!$B$264:$B$264</definedName>
    <definedName name="ProductId138">'Бланк заказа'!$B$265:$B$265</definedName>
    <definedName name="ProductId139">'Бланк заказа'!$B$266:$B$266</definedName>
    <definedName name="ProductId14">'Бланк заказа'!$B$50:$B$50</definedName>
    <definedName name="ProductId140">'Бланк заказа'!$B$267:$B$267</definedName>
    <definedName name="ProductId141">'Бланк заказа'!$B$268:$B$268</definedName>
    <definedName name="ProductId142">'Бланк заказа'!$B$269:$B$269</definedName>
    <definedName name="ProductId143">'Бланк заказа'!$B$270:$B$270</definedName>
    <definedName name="ProductId144">'Бланк заказа'!$B$271:$B$271</definedName>
    <definedName name="ProductId145">'Бланк заказа'!$B$276:$B$276</definedName>
    <definedName name="ProductId146">'Бланк заказа'!$B$281:$B$281</definedName>
    <definedName name="ProductId147">'Бланк заказа'!$B$282:$B$282</definedName>
    <definedName name="ProductId148">'Бланк заказа'!$B$283:$B$283</definedName>
    <definedName name="ProductId149">'Бланк заказа'!$B$288:$B$288</definedName>
    <definedName name="ProductId15">'Бланк заказа'!$B$51:$B$51</definedName>
    <definedName name="ProductId150">'Бланк заказа'!$B$289:$B$289</definedName>
    <definedName name="ProductId151">'Бланк заказа'!$B$290:$B$290</definedName>
    <definedName name="ProductId152">'Бланк заказа'!$B$291:$B$291</definedName>
    <definedName name="ProductId153">'Бланк заказа'!$B$292:$B$292</definedName>
    <definedName name="ProductId154">'Бланк заказа'!$B$293:$B$293</definedName>
    <definedName name="ProductId155">'Бланк заказа'!$B$298:$B$298</definedName>
    <definedName name="ProductId156">'Бланк заказа'!$B$302:$B$302</definedName>
    <definedName name="ProductId157">'Бланк заказа'!$B$306:$B$306</definedName>
    <definedName name="ProductId158">'Бланк заказа'!$B$307:$B$307</definedName>
    <definedName name="ProductId159">'Бланк заказа'!$B$312:$B$312</definedName>
    <definedName name="ProductId16">'Бланк заказа'!$B$52:$B$52</definedName>
    <definedName name="ProductId160">'Бланк заказа'!$B$316:$B$316</definedName>
    <definedName name="ProductId161">'Бланк заказа'!$B$320:$B$320</definedName>
    <definedName name="ProductId162">'Бланк заказа'!$B$321:$B$321</definedName>
    <definedName name="ProductId163">'Бланк заказа'!$B$326:$B$326</definedName>
    <definedName name="ProductId164">'Бланк заказа'!$B$327:$B$327</definedName>
    <definedName name="ProductId165">'Бланк заказа'!$B$331:$B$331</definedName>
    <definedName name="ProductId166">'Бланк заказа'!$B$332:$B$332</definedName>
    <definedName name="ProductId167">'Бланк заказа'!$B$336:$B$336</definedName>
    <definedName name="ProductId168">'Бланк заказа'!$B$341:$B$341</definedName>
    <definedName name="ProductId169">'Бланк заказа'!$B$346:$B$346</definedName>
    <definedName name="ProductId17">'Бланк заказа'!$B$53:$B$53</definedName>
    <definedName name="ProductId170">'Бланк заказа'!$B$347:$B$347</definedName>
    <definedName name="ProductId171">'Бланк заказа'!$B$348:$B$348</definedName>
    <definedName name="ProductId172">'Бланк заказа'!$B$349:$B$349</definedName>
    <definedName name="ProductId173">'Бланк заказа'!$B$350:$B$350</definedName>
    <definedName name="ProductId174">'Бланк заказа'!$B$351:$B$351</definedName>
    <definedName name="ProductId175">'Бланк заказа'!$B$352:$B$352</definedName>
    <definedName name="ProductId176">'Бланк заказа'!$B$353:$B$353</definedName>
    <definedName name="ProductId177">'Бланк заказа'!$B$357:$B$357</definedName>
    <definedName name="ProductId178">'Бланк заказа'!$B$358:$B$358</definedName>
    <definedName name="ProductId179">'Бланк заказа'!$B$359:$B$359</definedName>
    <definedName name="ProductId18">'Бланк заказа'!$B$54:$B$54</definedName>
    <definedName name="ProductId180">'Бланк заказа'!$B$360:$B$360</definedName>
    <definedName name="ProductId181">'Бланк заказа'!$B$364:$B$364</definedName>
    <definedName name="ProductId182">'Бланк заказа'!$B$365:$B$365</definedName>
    <definedName name="ProductId183">'Бланк заказа'!$B$366:$B$366</definedName>
    <definedName name="ProductId184">'Бланк заказа'!$B$367:$B$367</definedName>
    <definedName name="ProductId185">'Бланк заказа'!$B$368:$B$368</definedName>
    <definedName name="ProductId186">'Бланк заказа'!$B$369:$B$369</definedName>
    <definedName name="ProductId187">'Бланк заказа'!$B$373:$B$373</definedName>
    <definedName name="ProductId188">'Бланк заказа'!$B$374:$B$374</definedName>
    <definedName name="ProductId189">'Бланк заказа'!$B$375:$B$375</definedName>
    <definedName name="ProductId19">'Бланк заказа'!$B$55:$B$55</definedName>
    <definedName name="ProductId190">'Бланк заказа'!$B$376:$B$376</definedName>
    <definedName name="ProductId191">'Бланк заказа'!$B$380:$B$380</definedName>
    <definedName name="ProductId192">'Бланк заказа'!$B$381:$B$381</definedName>
    <definedName name="ProductId193">'Бланк заказа'!$B$382:$B$382</definedName>
    <definedName name="ProductId194">'Бланк заказа'!$B$383:$B$383</definedName>
    <definedName name="ProductId195">'Бланк заказа'!$B$387:$B$387</definedName>
    <definedName name="ProductId196">'Бланк заказа'!$B$388:$B$388</definedName>
    <definedName name="ProductId197">'Бланк заказа'!$B$389:$B$389</definedName>
    <definedName name="ProductId198">'Бланк заказа'!$B$394:$B$394</definedName>
    <definedName name="ProductId199">'Бланк заказа'!$B$398:$B$398</definedName>
    <definedName name="ProductId2">'Бланк заказа'!$B$23:$B$23</definedName>
    <definedName name="ProductId20">'Бланк заказа'!$B$56:$B$56</definedName>
    <definedName name="ProductId200">'Бланк заказа'!$B$399:$B$399</definedName>
    <definedName name="ProductId201">'Бланк заказа'!$B$400:$B$400</definedName>
    <definedName name="ProductId202">'Бланк заказа'!$B$406:$B$406</definedName>
    <definedName name="ProductId203">'Бланк заказа'!$B$407:$B$407</definedName>
    <definedName name="ProductId204">'Бланк заказа'!$B$408:$B$408</definedName>
    <definedName name="ProductId205">'Бланк заказа'!$B$409:$B$409</definedName>
    <definedName name="ProductId206">'Бланк заказа'!$B$410:$B$410</definedName>
    <definedName name="ProductId207">'Бланк заказа'!$B$411:$B$411</definedName>
    <definedName name="ProductId208">'Бланк заказа'!$B$412:$B$412</definedName>
    <definedName name="ProductId209">'Бланк заказа'!$B$413:$B$413</definedName>
    <definedName name="ProductId21">'Бланк заказа'!$B$60:$B$60</definedName>
    <definedName name="ProductId210">'Бланк заказа'!$B$414:$B$414</definedName>
    <definedName name="ProductId211">'Бланк заказа'!$B$415:$B$415</definedName>
    <definedName name="ProductId212">'Бланк заказа'!$B$419:$B$419</definedName>
    <definedName name="ProductId213">'Бланк заказа'!$B$420:$B$420</definedName>
    <definedName name="ProductId214">'Бланк заказа'!$B$424:$B$424</definedName>
    <definedName name="ProductId215">'Бланк заказа'!$B$425:$B$425</definedName>
    <definedName name="ProductId216">'Бланк заказа'!$B$429:$B$429</definedName>
    <definedName name="ProductId217">'Бланк заказа'!$B$434:$B$434</definedName>
    <definedName name="ProductId218">'Бланк заказа'!$B$435:$B$435</definedName>
    <definedName name="ProductId219">'Бланк заказа'!$B$436:$B$436</definedName>
    <definedName name="ProductId22">'Бланк заказа'!$B$61:$B$61</definedName>
    <definedName name="ProductId220">'Бланк заказа'!$B$437:$B$437</definedName>
    <definedName name="ProductId221">'Бланк заказа'!$B$438:$B$438</definedName>
    <definedName name="ProductId222">'Бланк заказа'!$B$439:$B$439</definedName>
    <definedName name="ProductId223">'Бланк заказа'!$B$440:$B$440</definedName>
    <definedName name="ProductId224">'Бланк заказа'!$B$441:$B$441</definedName>
    <definedName name="ProductId225">'Бланк заказа'!$B$445:$B$445</definedName>
    <definedName name="ProductId226">'Бланк заказа'!$B$446:$B$446</definedName>
    <definedName name="ProductId227">'Бланк заказа'!$B$450:$B$450</definedName>
    <definedName name="ProductId228">'Бланк заказа'!$B$451:$B$451</definedName>
    <definedName name="ProductId229">'Бланк заказа'!$B$452:$B$452</definedName>
    <definedName name="ProductId23">'Бланк заказа'!$B$62:$B$62</definedName>
    <definedName name="ProductId230">'Бланк заказа'!$B$453:$B$453</definedName>
    <definedName name="ProductId231">'Бланк заказа'!$B$454:$B$454</definedName>
    <definedName name="ProductId232">'Бланк заказа'!$B$458:$B$458</definedName>
    <definedName name="ProductId233">'Бланк заказа'!$B$464:$B$464</definedName>
    <definedName name="ProductId234">'Бланк заказа'!$B$465:$B$465</definedName>
    <definedName name="ProductId235">'Бланк заказа'!$B$466:$B$466</definedName>
    <definedName name="ProductId236">'Бланк заказа'!$B$467:$B$467</definedName>
    <definedName name="ProductId237">'Бланк заказа'!$B$468:$B$468</definedName>
    <definedName name="ProductId238">'Бланк заказа'!$B$469:$B$469</definedName>
    <definedName name="ProductId239">'Бланк заказа'!$B$470:$B$470</definedName>
    <definedName name="ProductId24">'Бланк заказа'!$B$63:$B$63</definedName>
    <definedName name="ProductId240">'Бланк заказа'!$B$471:$B$471</definedName>
    <definedName name="ProductId241">'Бланк заказа'!$B$472:$B$472</definedName>
    <definedName name="ProductId242">'Бланк заказа'!$B$473:$B$473</definedName>
    <definedName name="ProductId243">'Бланк заказа'!$B$474:$B$474</definedName>
    <definedName name="ProductId244">'Бланк заказа'!$B$475:$B$475</definedName>
    <definedName name="ProductId245">'Бланк заказа'!$B$476:$B$476</definedName>
    <definedName name="ProductId246">'Бланк заказа'!$B$477:$B$477</definedName>
    <definedName name="ProductId247">'Бланк заказа'!$B$478:$B$478</definedName>
    <definedName name="ProductId248">'Бланк заказа'!$B$479:$B$479</definedName>
    <definedName name="ProductId249">'Бланк заказа'!$B$480:$B$480</definedName>
    <definedName name="ProductId25">'Бланк заказа'!$B$67:$B$67</definedName>
    <definedName name="ProductId250">'Бланк заказа'!$B$484:$B$484</definedName>
    <definedName name="ProductId251">'Бланк заказа'!$B$485:$B$485</definedName>
    <definedName name="ProductId252">'Бланк заказа'!$B$489:$B$489</definedName>
    <definedName name="ProductId253">'Бланк заказа'!$B$494:$B$494</definedName>
    <definedName name="ProductId254">'Бланк заказа'!$B$498:$B$498</definedName>
    <definedName name="ProductId255">'Бланк заказа'!$B$499:$B$499</definedName>
    <definedName name="ProductId256">'Бланк заказа'!$B$500:$B$500</definedName>
    <definedName name="ProductId257">'Бланк заказа'!$B$501:$B$501</definedName>
    <definedName name="ProductId258">'Бланк заказа'!$B$502:$B$502</definedName>
    <definedName name="ProductId259">'Бланк заказа'!$B$507:$B$507</definedName>
    <definedName name="ProductId26">'Бланк заказа'!$B$68:$B$68</definedName>
    <definedName name="ProductId260">'Бланк заказа'!$B$508:$B$508</definedName>
    <definedName name="ProductId261">'Бланк заказа'!$B$509:$B$509</definedName>
    <definedName name="ProductId262">'Бланк заказа'!$B$514:$B$514</definedName>
    <definedName name="ProductId263">'Бланк заказа'!$B$518:$B$518</definedName>
    <definedName name="ProductId264">'Бланк заказа'!$B$524:$B$524</definedName>
    <definedName name="ProductId265">'Бланк заказа'!$B$525:$B$525</definedName>
    <definedName name="ProductId266">'Бланк заказа'!$B$526:$B$526</definedName>
    <definedName name="ProductId267">'Бланк заказа'!$B$527:$B$527</definedName>
    <definedName name="ProductId268">'Бланк заказа'!$B$528:$B$528</definedName>
    <definedName name="ProductId269">'Бланк заказа'!$B$529:$B$529</definedName>
    <definedName name="ProductId27">'Бланк заказа'!$B$69:$B$69</definedName>
    <definedName name="ProductId270">'Бланк заказа'!$B$530:$B$530</definedName>
    <definedName name="ProductId271">'Бланк заказа'!$B$531:$B$531</definedName>
    <definedName name="ProductId272">'Бланк заказа'!$B$532:$B$532</definedName>
    <definedName name="ProductId273">'Бланк заказа'!$B$533:$B$533</definedName>
    <definedName name="ProductId274">'Бланк заказа'!$B$534:$B$534</definedName>
    <definedName name="ProductId275">'Бланк заказа'!$B$535:$B$535</definedName>
    <definedName name="ProductId276">'Бланк заказа'!$B$536:$B$536</definedName>
    <definedName name="ProductId277">'Бланк заказа'!$B$537:$B$537</definedName>
    <definedName name="ProductId278">'Бланк заказа'!$B$538:$B$538</definedName>
    <definedName name="ProductId279">'Бланк заказа'!$B$539:$B$539</definedName>
    <definedName name="ProductId28">'Бланк заказа'!$B$70:$B$70</definedName>
    <definedName name="ProductId280">'Бланк заказа'!$B$543:$B$543</definedName>
    <definedName name="ProductId281">'Бланк заказа'!$B$544:$B$544</definedName>
    <definedName name="ProductId282">'Бланк заказа'!$B$545:$B$545</definedName>
    <definedName name="ProductId283">'Бланк заказа'!$B$546:$B$546</definedName>
    <definedName name="ProductId284">'Бланк заказа'!$B$550:$B$550</definedName>
    <definedName name="ProductId285">'Бланк заказа'!$B$551:$B$551</definedName>
    <definedName name="ProductId286">'Бланк заказа'!$B$552:$B$552</definedName>
    <definedName name="ProductId287">'Бланк заказа'!$B$553:$B$553</definedName>
    <definedName name="ProductId288">'Бланк заказа'!$B$554:$B$554</definedName>
    <definedName name="ProductId289">'Бланк заказа'!$B$555:$B$555</definedName>
    <definedName name="ProductId29">'Бланк заказа'!$B$71:$B$71</definedName>
    <definedName name="ProductId290">'Бланк заказа'!$B$556:$B$556</definedName>
    <definedName name="ProductId291">'Бланк заказа'!$B$557:$B$557</definedName>
    <definedName name="ProductId292">'Бланк заказа'!$B$558:$B$558</definedName>
    <definedName name="ProductId293">'Бланк заказа'!$B$559:$B$559</definedName>
    <definedName name="ProductId294">'Бланк заказа'!$B$560:$B$560</definedName>
    <definedName name="ProductId295">'Бланк заказа'!$B$561:$B$561</definedName>
    <definedName name="ProductId296">'Бланк заказа'!$B$565:$B$565</definedName>
    <definedName name="ProductId297">'Бланк заказа'!$B$566:$B$566</definedName>
    <definedName name="ProductId298">'Бланк заказа'!$B$567:$B$567</definedName>
    <definedName name="ProductId299">'Бланк заказа'!$B$571:$B$571</definedName>
    <definedName name="ProductId3">'Бланк заказа'!$B$24:$B$24</definedName>
    <definedName name="ProductId30">'Бланк заказа'!$B$72:$B$72</definedName>
    <definedName name="ProductId300">'Бланк заказа'!$B$572:$B$572</definedName>
    <definedName name="ProductId301">'Бланк заказа'!$B$578:$B$578</definedName>
    <definedName name="ProductId302">'Бланк заказа'!$B$584:$B$584</definedName>
    <definedName name="ProductId303">'Бланк заказа'!$B$585:$B$585</definedName>
    <definedName name="ProductId304">'Бланк заказа'!$B$586:$B$586</definedName>
    <definedName name="ProductId305">'Бланк заказа'!$B$587:$B$587</definedName>
    <definedName name="ProductId306">'Бланк заказа'!$B$588:$B$588</definedName>
    <definedName name="ProductId307">'Бланк заказа'!$B$589:$B$589</definedName>
    <definedName name="ProductId308">'Бланк заказа'!$B$590:$B$590</definedName>
    <definedName name="ProductId309">'Бланк заказа'!$B$594:$B$594</definedName>
    <definedName name="ProductId31">'Бланк заказа'!$B$76:$B$76</definedName>
    <definedName name="ProductId310">'Бланк заказа'!$B$595:$B$595</definedName>
    <definedName name="ProductId311">'Бланк заказа'!$B$596:$B$596</definedName>
    <definedName name="ProductId312">'Бланк заказа'!$B$597:$B$597</definedName>
    <definedName name="ProductId313">'Бланк заказа'!$B$601:$B$601</definedName>
    <definedName name="ProductId314">'Бланк заказа'!$B$602:$B$602</definedName>
    <definedName name="ProductId315">'Бланк заказа'!$B$603:$B$603</definedName>
    <definedName name="ProductId316">'Бланк заказа'!$B$604:$B$604</definedName>
    <definedName name="ProductId317">'Бланк заказа'!$B$605:$B$605</definedName>
    <definedName name="ProductId318">'Бланк заказа'!$B$606:$B$606</definedName>
    <definedName name="ProductId319">'Бланк заказа'!$B$607:$B$607</definedName>
    <definedName name="ProductId32">'Бланк заказа'!$B$77:$B$77</definedName>
    <definedName name="ProductId320">'Бланк заказа'!$B$611:$B$611</definedName>
    <definedName name="ProductId321">'Бланк заказа'!$B$612:$B$612</definedName>
    <definedName name="ProductId322">'Бланк заказа'!$B$613:$B$613</definedName>
    <definedName name="ProductId323">'Бланк заказа'!$B$614:$B$614</definedName>
    <definedName name="ProductId324">'Бланк заказа'!$B$615:$B$615</definedName>
    <definedName name="ProductId325">'Бланк заказа'!$B$616:$B$616</definedName>
    <definedName name="ProductId326">'Бланк заказа'!$B$617:$B$617</definedName>
    <definedName name="ProductId327">'Бланк заказа'!$B$618:$B$618</definedName>
    <definedName name="ProductId328">'Бланк заказа'!$B$622:$B$622</definedName>
    <definedName name="ProductId329">'Бланк заказа'!$B$623:$B$623</definedName>
    <definedName name="ProductId33">'Бланк заказа'!$B$78:$B$78</definedName>
    <definedName name="ProductId330">'Бланк заказа'!$B$624:$B$624</definedName>
    <definedName name="ProductId331">'Бланк заказа'!$B$625:$B$625</definedName>
    <definedName name="ProductId332">'Бланк заказа'!$B$630:$B$630</definedName>
    <definedName name="ProductId333">'Бланк заказа'!$B$631:$B$631</definedName>
    <definedName name="ProductId334">'Бланк заказа'!$B$635:$B$635</definedName>
    <definedName name="ProductId335">'Бланк заказа'!$B$639:$B$639</definedName>
    <definedName name="ProductId336">'Бланк заказа'!$B$643:$B$643</definedName>
    <definedName name="ProductId337">'Бланк заказа'!$B$644:$B$644</definedName>
    <definedName name="ProductId34">'Бланк заказа'!$B$79:$B$79</definedName>
    <definedName name="ProductId35">'Бланк заказа'!$B$80:$B$80</definedName>
    <definedName name="ProductId36">'Бланк заказа'!$B$81:$B$81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заказа'!$B$25:$B$25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заказа'!$B$108:$B$108</definedName>
    <definedName name="ProductId5">'Бланк заказа'!$B$29:$B$29</definedName>
    <definedName name="ProductId50">'Бланк заказа'!$B$109:$B$109</definedName>
    <definedName name="ProductId51">'Бланк заказа'!$B$110:$B$110</definedName>
    <definedName name="ProductId52">'Бланк заказа'!$B$111:$B$111</definedName>
    <definedName name="ProductId53">'Бланк заказа'!$B$112:$B$112</definedName>
    <definedName name="ProductId54">'Бланк заказа'!$B$116:$B$116</definedName>
    <definedName name="ProductId55">'Бланк заказа'!$B$117:$B$117</definedName>
    <definedName name="ProductId56">'Бланк заказа'!$B$118:$B$118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заказа'!$B$35:$B$35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заказа'!$B$128:$B$128</definedName>
    <definedName name="ProductId64">'Бланк заказа'!$B$132:$B$132</definedName>
    <definedName name="ProductId65">'Бланк заказа'!$B$133:$B$133</definedName>
    <definedName name="ProductId66">'Бланк заказа'!$B$138:$B$138</definedName>
    <definedName name="ProductId67">'Бланк заказа'!$B$139:$B$139</definedName>
    <definedName name="ProductId68">'Бланк заказа'!$B$143:$B$143</definedName>
    <definedName name="ProductId69">'Бланк заказа'!$B$144:$B$144</definedName>
    <definedName name="ProductId7">'Бланк заказа'!$B$36:$B$36</definedName>
    <definedName name="ProductId70">'Бланк заказа'!$B$148:$B$148</definedName>
    <definedName name="ProductId71">'Бланк заказа'!$B$149:$B$149</definedName>
    <definedName name="ProductId72">'Бланк заказа'!$B$154:$B$154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заказа'!$B$161:$B$161</definedName>
    <definedName name="ProductId77">'Бланк заказа'!$B$162:$B$162</definedName>
    <definedName name="ProductId78">'Бланк заказа'!$B$166:$B$166</definedName>
    <definedName name="ProductId79">'Бланк заказа'!$B$167:$B$167</definedName>
    <definedName name="ProductId8">'Бланк заказа'!$B$37:$B$37</definedName>
    <definedName name="ProductId80">'Бланк заказа'!$B$173:$B$173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заказа'!$B$183:$B$183</definedName>
    <definedName name="ProductId88">'Бланк заказа'!$B$184:$B$184</definedName>
    <definedName name="ProductId89">'Бланк заказа'!$B$189:$B$189</definedName>
    <definedName name="ProductId9">'Бланк заказа'!$B$38:$B$38</definedName>
    <definedName name="ProductId90">'Бланк заказа'!$B$190:$B$190</definedName>
    <definedName name="ProductId91">'Бланк заказа'!$B$194:$B$194</definedName>
    <definedName name="ProductId92">'Бланк заказа'!$B$195:$B$195</definedName>
    <definedName name="ProductId93">'Бланк заказа'!$B$199:$B$199</definedName>
    <definedName name="ProductId94">'Бланк заказа'!$B$200:$B$200</definedName>
    <definedName name="ProductId95">'Бланк заказа'!$B$201:$B$201</definedName>
    <definedName name="ProductId96">'Бланк заказа'!$B$202:$B$202</definedName>
    <definedName name="ProductId97">'Бланк заказа'!$B$203:$B$203</definedName>
    <definedName name="ProductId98">'Бланк заказа'!$B$204:$B$204</definedName>
    <definedName name="ProductId99">'Бланк заказа'!$B$205:$B$205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заказа'!$X$206:$X$206</definedName>
    <definedName name="SalesQty101">'Бланк заказа'!$X$210:$X$210</definedName>
    <definedName name="SalesQty102">'Бланк заказа'!$X$211:$X$211</definedName>
    <definedName name="SalesQty103">'Бланк заказа'!$X$212:$X$212</definedName>
    <definedName name="SalesQty104">'Бланк заказа'!$X$213:$X$213</definedName>
    <definedName name="SalesQty105">'Бланк заказа'!$X$214:$X$214</definedName>
    <definedName name="SalesQty106">'Бланк заказа'!$X$215:$X$215</definedName>
    <definedName name="SalesQty107">'Бланк заказа'!$X$216:$X$216</definedName>
    <definedName name="SalesQty108">'Бланк заказа'!$X$217:$X$217</definedName>
    <definedName name="SalesQty109">'Бланк заказа'!$X$218:$X$218</definedName>
    <definedName name="SalesQty11">'Бланк заказа'!$X$40:$X$40</definedName>
    <definedName name="SalesQty110">'Бланк заказа'!$X$219:$X$219</definedName>
    <definedName name="SalesQty111">'Бланк заказа'!$X$220:$X$220</definedName>
    <definedName name="SalesQty112">'Бланк заказа'!$X$224:$X$224</definedName>
    <definedName name="SalesQty113">'Бланк заказа'!$X$225:$X$225</definedName>
    <definedName name="SalesQty114">'Бланк заказа'!$X$226:$X$226</definedName>
    <definedName name="SalesQty115">'Бланк заказа'!$X$227:$X$227</definedName>
    <definedName name="SalesQty116">'Бланк заказа'!$X$228:$X$228</definedName>
    <definedName name="SalesQty117">'Бланк заказа'!$X$229:$X$229</definedName>
    <definedName name="SalesQty118">'Бланк заказа'!$X$234:$X$234</definedName>
    <definedName name="SalesQty119">'Бланк заказа'!$X$235:$X$235</definedName>
    <definedName name="SalesQty12">'Бланк заказа'!$X$44:$X$44</definedName>
    <definedName name="SalesQty120">'Бланк заказа'!$X$236:$X$236</definedName>
    <definedName name="SalesQty121">'Бланк заказа'!$X$237:$X$237</definedName>
    <definedName name="SalesQty122">'Бланк заказа'!$X$238:$X$238</definedName>
    <definedName name="SalesQty123">'Бланк заказа'!$X$239:$X$239</definedName>
    <definedName name="SalesQty124">'Бланк заказа'!$X$240:$X$240</definedName>
    <definedName name="SalesQty125">'Бланк заказа'!$X$241:$X$241</definedName>
    <definedName name="SalesQty126">'Бланк заказа'!$X$246:$X$246</definedName>
    <definedName name="SalesQty127">'Бланк заказа'!$X$247:$X$247</definedName>
    <definedName name="SalesQty128">'Бланк заказа'!$X$248:$X$248</definedName>
    <definedName name="SalesQty129">'Бланк заказа'!$X$249:$X$249</definedName>
    <definedName name="SalesQty13">'Бланк заказа'!$X$45:$X$45</definedName>
    <definedName name="SalesQty130">'Бланк заказа'!$X$250:$X$250</definedName>
    <definedName name="SalesQty131">'Бланк заказа'!$X$251:$X$251</definedName>
    <definedName name="SalesQty132">'Бланк заказа'!$X$252:$X$252</definedName>
    <definedName name="SalesQty133">'Бланк заказа'!$X$253:$X$253</definedName>
    <definedName name="SalesQty134">'Бланк заказа'!$X$254:$X$254</definedName>
    <definedName name="SalesQty135">'Бланк заказа'!$X$258:$X$258</definedName>
    <definedName name="SalesQty136">'Бланк заказа'!$X$263:$X$263</definedName>
    <definedName name="SalesQty137">'Бланк заказа'!$X$264:$X$264</definedName>
    <definedName name="SalesQty138">'Бланк заказа'!$X$265:$X$265</definedName>
    <definedName name="SalesQty139">'Бланк заказа'!$X$266:$X$266</definedName>
    <definedName name="SalesQty14">'Бланк заказа'!$X$50:$X$50</definedName>
    <definedName name="SalesQty140">'Бланк заказа'!$X$267:$X$267</definedName>
    <definedName name="SalesQty141">'Бланк заказа'!$X$268:$X$268</definedName>
    <definedName name="SalesQty142">'Бланк заказа'!$X$269:$X$269</definedName>
    <definedName name="SalesQty143">'Бланк заказа'!$X$270:$X$270</definedName>
    <definedName name="SalesQty144">'Бланк заказа'!$X$271:$X$271</definedName>
    <definedName name="SalesQty145">'Бланк заказа'!$X$276:$X$276</definedName>
    <definedName name="SalesQty146">'Бланк заказа'!$X$281:$X$281</definedName>
    <definedName name="SalesQty147">'Бланк заказа'!$X$282:$X$282</definedName>
    <definedName name="SalesQty148">'Бланк заказа'!$X$283:$X$283</definedName>
    <definedName name="SalesQty149">'Бланк заказа'!$X$288:$X$288</definedName>
    <definedName name="SalesQty15">'Бланк заказа'!$X$51:$X$51</definedName>
    <definedName name="SalesQty150">'Бланк заказа'!$X$289:$X$289</definedName>
    <definedName name="SalesQty151">'Бланк заказа'!$X$290:$X$290</definedName>
    <definedName name="SalesQty152">'Бланк заказа'!$X$291:$X$291</definedName>
    <definedName name="SalesQty153">'Бланк заказа'!$X$292:$X$292</definedName>
    <definedName name="SalesQty154">'Бланк заказа'!$X$293:$X$293</definedName>
    <definedName name="SalesQty155">'Бланк заказа'!$X$298:$X$298</definedName>
    <definedName name="SalesQty156">'Бланк заказа'!$X$302:$X$302</definedName>
    <definedName name="SalesQty157">'Бланк заказа'!$X$306:$X$306</definedName>
    <definedName name="SalesQty158">'Бланк заказа'!$X$307:$X$307</definedName>
    <definedName name="SalesQty159">'Бланк заказа'!$X$312:$X$312</definedName>
    <definedName name="SalesQty16">'Бланк заказа'!$X$52:$X$52</definedName>
    <definedName name="SalesQty160">'Бланк заказа'!$X$316:$X$316</definedName>
    <definedName name="SalesQty161">'Бланк заказа'!$X$320:$X$320</definedName>
    <definedName name="SalesQty162">'Бланк заказа'!$X$321:$X$321</definedName>
    <definedName name="SalesQty163">'Бланк заказа'!$X$326:$X$326</definedName>
    <definedName name="SalesQty164">'Бланк заказа'!$X$327:$X$327</definedName>
    <definedName name="SalesQty165">'Бланк заказа'!$X$331:$X$331</definedName>
    <definedName name="SalesQty166">'Бланк заказа'!$X$332:$X$332</definedName>
    <definedName name="SalesQty167">'Бланк заказа'!$X$336:$X$336</definedName>
    <definedName name="SalesQty168">'Бланк заказа'!$X$341:$X$341</definedName>
    <definedName name="SalesQty169">'Бланк заказа'!$X$346:$X$346</definedName>
    <definedName name="SalesQty17">'Бланк заказа'!$X$53:$X$53</definedName>
    <definedName name="SalesQty170">'Бланк заказа'!$X$347:$X$347</definedName>
    <definedName name="SalesQty171">'Бланк заказа'!$X$348:$X$348</definedName>
    <definedName name="SalesQty172">'Бланк заказа'!$X$349:$X$349</definedName>
    <definedName name="SalesQty173">'Бланк заказа'!$X$350:$X$350</definedName>
    <definedName name="SalesQty174">'Бланк заказа'!$X$351:$X$351</definedName>
    <definedName name="SalesQty175">'Бланк заказа'!$X$352:$X$352</definedName>
    <definedName name="SalesQty176">'Бланк заказа'!$X$353:$X$353</definedName>
    <definedName name="SalesQty177">'Бланк заказа'!$X$357:$X$357</definedName>
    <definedName name="SalesQty178">'Бланк заказа'!$X$358:$X$358</definedName>
    <definedName name="SalesQty179">'Бланк заказа'!$X$359:$X$359</definedName>
    <definedName name="SalesQty18">'Бланк заказа'!$X$54:$X$54</definedName>
    <definedName name="SalesQty180">'Бланк заказа'!$X$360:$X$360</definedName>
    <definedName name="SalesQty181">'Бланк заказа'!$X$364:$X$364</definedName>
    <definedName name="SalesQty182">'Бланк заказа'!$X$365:$X$365</definedName>
    <definedName name="SalesQty183">'Бланк заказа'!$X$366:$X$366</definedName>
    <definedName name="SalesQty184">'Бланк заказа'!$X$367:$X$367</definedName>
    <definedName name="SalesQty185">'Бланк заказа'!$X$368:$X$368</definedName>
    <definedName name="SalesQty186">'Бланк заказа'!$X$369:$X$369</definedName>
    <definedName name="SalesQty187">'Бланк заказа'!$X$373:$X$373</definedName>
    <definedName name="SalesQty188">'Бланк заказа'!$X$374:$X$374</definedName>
    <definedName name="SalesQty189">'Бланк заказа'!$X$375:$X$375</definedName>
    <definedName name="SalesQty19">'Бланк заказа'!$X$55:$X$55</definedName>
    <definedName name="SalesQty190">'Бланк заказа'!$X$376:$X$376</definedName>
    <definedName name="SalesQty191">'Бланк заказа'!$X$380:$X$380</definedName>
    <definedName name="SalesQty192">'Бланк заказа'!$X$381:$X$381</definedName>
    <definedName name="SalesQty193">'Бланк заказа'!$X$382:$X$382</definedName>
    <definedName name="SalesQty194">'Бланк заказа'!$X$383:$X$383</definedName>
    <definedName name="SalesQty195">'Бланк заказа'!$X$387:$X$387</definedName>
    <definedName name="SalesQty196">'Бланк заказа'!$X$388:$X$388</definedName>
    <definedName name="SalesQty197">'Бланк заказа'!$X$389:$X$389</definedName>
    <definedName name="SalesQty198">'Бланк заказа'!$X$394:$X$394</definedName>
    <definedName name="SalesQty199">'Бланк заказа'!$X$398:$X$398</definedName>
    <definedName name="SalesQty2">'Бланк заказа'!$X$23:$X$23</definedName>
    <definedName name="SalesQty20">'Бланк заказа'!$X$56:$X$56</definedName>
    <definedName name="SalesQty200">'Бланк заказа'!$X$399:$X$399</definedName>
    <definedName name="SalesQty201">'Бланк заказа'!$X$400:$X$400</definedName>
    <definedName name="SalesQty202">'Бланк заказа'!$X$406:$X$406</definedName>
    <definedName name="SalesQty203">'Бланк заказа'!$X$407:$X$407</definedName>
    <definedName name="SalesQty204">'Бланк заказа'!$X$408:$X$408</definedName>
    <definedName name="SalesQty205">'Бланк заказа'!$X$409:$X$409</definedName>
    <definedName name="SalesQty206">'Бланк заказа'!$X$410:$X$410</definedName>
    <definedName name="SalesQty207">'Бланк заказа'!$X$411:$X$411</definedName>
    <definedName name="SalesQty208">'Бланк заказа'!$X$412:$X$412</definedName>
    <definedName name="SalesQty209">'Бланк заказа'!$X$413:$X$413</definedName>
    <definedName name="SalesQty21">'Бланк заказа'!$X$60:$X$60</definedName>
    <definedName name="SalesQty210">'Бланк заказа'!$X$414:$X$414</definedName>
    <definedName name="SalesQty211">'Бланк заказа'!$X$415:$X$415</definedName>
    <definedName name="SalesQty212">'Бланк заказа'!$X$419:$X$419</definedName>
    <definedName name="SalesQty213">'Бланк заказа'!$X$420:$X$420</definedName>
    <definedName name="SalesQty214">'Бланк заказа'!$X$424:$X$424</definedName>
    <definedName name="SalesQty215">'Бланк заказа'!$X$425:$X$425</definedName>
    <definedName name="SalesQty216">'Бланк заказа'!$X$429:$X$429</definedName>
    <definedName name="SalesQty217">'Бланк заказа'!$X$434:$X$434</definedName>
    <definedName name="SalesQty218">'Бланк заказа'!$X$435:$X$435</definedName>
    <definedName name="SalesQty219">'Бланк заказа'!$X$436:$X$436</definedName>
    <definedName name="SalesQty22">'Бланк заказа'!$X$61:$X$61</definedName>
    <definedName name="SalesQty220">'Бланк заказа'!$X$437:$X$437</definedName>
    <definedName name="SalesQty221">'Бланк заказа'!$X$438:$X$438</definedName>
    <definedName name="SalesQty222">'Бланк заказа'!$X$439:$X$439</definedName>
    <definedName name="SalesQty223">'Бланк заказа'!$X$440:$X$440</definedName>
    <definedName name="SalesQty224">'Бланк заказа'!$X$441:$X$441</definedName>
    <definedName name="SalesQty225">'Бланк заказа'!$X$445:$X$445</definedName>
    <definedName name="SalesQty226">'Бланк заказа'!$X$446:$X$446</definedName>
    <definedName name="SalesQty227">'Бланк заказа'!$X$450:$X$450</definedName>
    <definedName name="SalesQty228">'Бланк заказа'!$X$451:$X$451</definedName>
    <definedName name="SalesQty229">'Бланк заказа'!$X$452:$X$452</definedName>
    <definedName name="SalesQty23">'Бланк заказа'!$X$62:$X$62</definedName>
    <definedName name="SalesQty230">'Бланк заказа'!$X$453:$X$453</definedName>
    <definedName name="SalesQty231">'Бланк заказа'!$X$454:$X$454</definedName>
    <definedName name="SalesQty232">'Бланк заказа'!$X$458:$X$458</definedName>
    <definedName name="SalesQty233">'Бланк заказа'!$X$464:$X$464</definedName>
    <definedName name="SalesQty234">'Бланк заказа'!$X$465:$X$465</definedName>
    <definedName name="SalesQty235">'Бланк заказа'!$X$466:$X$466</definedName>
    <definedName name="SalesQty236">'Бланк заказа'!$X$467:$X$467</definedName>
    <definedName name="SalesQty237">'Бланк заказа'!$X$468:$X$468</definedName>
    <definedName name="SalesQty238">'Бланк заказа'!$X$469:$X$469</definedName>
    <definedName name="SalesQty239">'Бланк заказа'!$X$470:$X$470</definedName>
    <definedName name="SalesQty24">'Бланк заказа'!$X$63:$X$63</definedName>
    <definedName name="SalesQty240">'Бланк заказа'!$X$471:$X$471</definedName>
    <definedName name="SalesQty241">'Бланк заказа'!$X$472:$X$472</definedName>
    <definedName name="SalesQty242">'Бланк заказа'!$X$473:$X$473</definedName>
    <definedName name="SalesQty243">'Бланк заказа'!$X$474:$X$474</definedName>
    <definedName name="SalesQty244">'Бланк заказа'!$X$475:$X$475</definedName>
    <definedName name="SalesQty245">'Бланк заказа'!$X$476:$X$476</definedName>
    <definedName name="SalesQty246">'Бланк заказа'!$X$477:$X$477</definedName>
    <definedName name="SalesQty247">'Бланк заказа'!$X$478:$X$478</definedName>
    <definedName name="SalesQty248">'Бланк заказа'!$X$479:$X$479</definedName>
    <definedName name="SalesQty249">'Бланк заказа'!$X$480:$X$480</definedName>
    <definedName name="SalesQty25">'Бланк заказа'!$X$67:$X$67</definedName>
    <definedName name="SalesQty250">'Бланк заказа'!$X$484:$X$484</definedName>
    <definedName name="SalesQty251">'Бланк заказа'!$X$485:$X$485</definedName>
    <definedName name="SalesQty252">'Бланк заказа'!$X$489:$X$489</definedName>
    <definedName name="SalesQty253">'Бланк заказа'!$X$494:$X$494</definedName>
    <definedName name="SalesQty254">'Бланк заказа'!$X$498:$X$498</definedName>
    <definedName name="SalesQty255">'Бланк заказа'!$X$499:$X$499</definedName>
    <definedName name="SalesQty256">'Бланк заказа'!$X$500:$X$500</definedName>
    <definedName name="SalesQty257">'Бланк заказа'!$X$501:$X$501</definedName>
    <definedName name="SalesQty258">'Бланк заказа'!$X$502:$X$502</definedName>
    <definedName name="SalesQty259">'Бланк заказа'!$X$507:$X$507</definedName>
    <definedName name="SalesQty26">'Бланк заказа'!$X$68:$X$68</definedName>
    <definedName name="SalesQty260">'Бланк заказа'!$X$508:$X$508</definedName>
    <definedName name="SalesQty261">'Бланк заказа'!$X$509:$X$509</definedName>
    <definedName name="SalesQty262">'Бланк заказа'!$X$514:$X$514</definedName>
    <definedName name="SalesQty263">'Бланк заказа'!$X$518:$X$518</definedName>
    <definedName name="SalesQty264">'Бланк заказа'!$X$524:$X$524</definedName>
    <definedName name="SalesQty265">'Бланк заказа'!$X$525:$X$525</definedName>
    <definedName name="SalesQty266">'Бланк заказа'!$X$526:$X$526</definedName>
    <definedName name="SalesQty267">'Бланк заказа'!$X$527:$X$527</definedName>
    <definedName name="SalesQty268">'Бланк заказа'!$X$528:$X$528</definedName>
    <definedName name="SalesQty269">'Бланк заказа'!$X$529:$X$529</definedName>
    <definedName name="SalesQty27">'Бланк заказа'!$X$69:$X$69</definedName>
    <definedName name="SalesQty270">'Бланк заказа'!$X$530:$X$530</definedName>
    <definedName name="SalesQty271">'Бланк заказа'!$X$531:$X$531</definedName>
    <definedName name="SalesQty272">'Бланк заказа'!$X$532:$X$532</definedName>
    <definedName name="SalesQty273">'Бланк заказа'!$X$533:$X$533</definedName>
    <definedName name="SalesQty274">'Бланк заказа'!$X$534:$X$534</definedName>
    <definedName name="SalesQty275">'Бланк заказа'!$X$535:$X$535</definedName>
    <definedName name="SalesQty276">'Бланк заказа'!$X$536:$X$536</definedName>
    <definedName name="SalesQty277">'Бланк заказа'!$X$537:$X$537</definedName>
    <definedName name="SalesQty278">'Бланк заказа'!$X$538:$X$538</definedName>
    <definedName name="SalesQty279">'Бланк заказа'!$X$539:$X$539</definedName>
    <definedName name="SalesQty28">'Бланк заказа'!$X$70:$X$70</definedName>
    <definedName name="SalesQty280">'Бланк заказа'!$X$543:$X$543</definedName>
    <definedName name="SalesQty281">'Бланк заказа'!$X$544:$X$544</definedName>
    <definedName name="SalesQty282">'Бланк заказа'!$X$545:$X$545</definedName>
    <definedName name="SalesQty283">'Бланк заказа'!$X$546:$X$546</definedName>
    <definedName name="SalesQty284">'Бланк заказа'!$X$550:$X$550</definedName>
    <definedName name="SalesQty285">'Бланк заказа'!$X$551:$X$551</definedName>
    <definedName name="SalesQty286">'Бланк заказа'!$X$552:$X$552</definedName>
    <definedName name="SalesQty287">'Бланк заказа'!$X$553:$X$553</definedName>
    <definedName name="SalesQty288">'Бланк заказа'!$X$554:$X$554</definedName>
    <definedName name="SalesQty289">'Бланк заказа'!$X$555:$X$555</definedName>
    <definedName name="SalesQty29">'Бланк заказа'!$X$71:$X$71</definedName>
    <definedName name="SalesQty290">'Бланк заказа'!$X$556:$X$556</definedName>
    <definedName name="SalesQty291">'Бланк заказа'!$X$557:$X$557</definedName>
    <definedName name="SalesQty292">'Бланк заказа'!$X$558:$X$558</definedName>
    <definedName name="SalesQty293">'Бланк заказа'!$X$559:$X$559</definedName>
    <definedName name="SalesQty294">'Бланк заказа'!$X$560:$X$560</definedName>
    <definedName name="SalesQty295">'Бланк заказа'!$X$561:$X$561</definedName>
    <definedName name="SalesQty296">'Бланк заказа'!$X$565:$X$565</definedName>
    <definedName name="SalesQty297">'Бланк заказа'!$X$566:$X$566</definedName>
    <definedName name="SalesQty298">'Бланк заказа'!$X$567:$X$567</definedName>
    <definedName name="SalesQty299">'Бланк заказа'!$X$571:$X$571</definedName>
    <definedName name="SalesQty3">'Бланк заказа'!$X$24:$X$24</definedName>
    <definedName name="SalesQty30">'Бланк заказа'!$X$72:$X$72</definedName>
    <definedName name="SalesQty300">'Бланк заказа'!$X$572:$X$572</definedName>
    <definedName name="SalesQty301">'Бланк заказа'!$X$578:$X$578</definedName>
    <definedName name="SalesQty302">'Бланк заказа'!$X$584:$X$584</definedName>
    <definedName name="SalesQty303">'Бланк заказа'!$X$585:$X$585</definedName>
    <definedName name="SalesQty304">'Бланк заказа'!$X$586:$X$586</definedName>
    <definedName name="SalesQty305">'Бланк заказа'!$X$587:$X$587</definedName>
    <definedName name="SalesQty306">'Бланк заказа'!$X$588:$X$588</definedName>
    <definedName name="SalesQty307">'Бланк заказа'!$X$589:$X$589</definedName>
    <definedName name="SalesQty308">'Бланк заказа'!$X$590:$X$590</definedName>
    <definedName name="SalesQty309">'Бланк заказа'!$X$594:$X$594</definedName>
    <definedName name="SalesQty31">'Бланк заказа'!$X$76:$X$76</definedName>
    <definedName name="SalesQty310">'Бланк заказа'!$X$595:$X$595</definedName>
    <definedName name="SalesQty311">'Бланк заказа'!$X$596:$X$596</definedName>
    <definedName name="SalesQty312">'Бланк заказа'!$X$597:$X$597</definedName>
    <definedName name="SalesQty313">'Бланк заказа'!$X$601:$X$601</definedName>
    <definedName name="SalesQty314">'Бланк заказа'!$X$602:$X$602</definedName>
    <definedName name="SalesQty315">'Бланк заказа'!$X$603:$X$603</definedName>
    <definedName name="SalesQty316">'Бланк заказа'!$X$604:$X$604</definedName>
    <definedName name="SalesQty317">'Бланк заказа'!$X$605:$X$605</definedName>
    <definedName name="SalesQty318">'Бланк заказа'!$X$606:$X$606</definedName>
    <definedName name="SalesQty319">'Бланк заказа'!$X$607:$X$607</definedName>
    <definedName name="SalesQty32">'Бланк заказа'!$X$77:$X$77</definedName>
    <definedName name="SalesQty320">'Бланк заказа'!$X$611:$X$611</definedName>
    <definedName name="SalesQty321">'Бланк заказа'!$X$612:$X$612</definedName>
    <definedName name="SalesQty322">'Бланк заказа'!$X$613:$X$613</definedName>
    <definedName name="SalesQty323">'Бланк заказа'!$X$614:$X$614</definedName>
    <definedName name="SalesQty324">'Бланк заказа'!$X$615:$X$615</definedName>
    <definedName name="SalesQty325">'Бланк заказа'!$X$616:$X$616</definedName>
    <definedName name="SalesQty326">'Бланк заказа'!$X$617:$X$617</definedName>
    <definedName name="SalesQty327">'Бланк заказа'!$X$618:$X$618</definedName>
    <definedName name="SalesQty328">'Бланк заказа'!$X$622:$X$622</definedName>
    <definedName name="SalesQty329">'Бланк заказа'!$X$623:$X$623</definedName>
    <definedName name="SalesQty33">'Бланк заказа'!$X$78:$X$78</definedName>
    <definedName name="SalesQty330">'Бланк заказа'!$X$624:$X$624</definedName>
    <definedName name="SalesQty331">'Бланк заказа'!$X$625:$X$625</definedName>
    <definedName name="SalesQty332">'Бланк заказа'!$X$630:$X$630</definedName>
    <definedName name="SalesQty333">'Бланк заказа'!$X$631:$X$631</definedName>
    <definedName name="SalesQty334">'Бланк заказа'!$X$635:$X$635</definedName>
    <definedName name="SalesQty335">'Бланк заказа'!$X$639:$X$639</definedName>
    <definedName name="SalesQty336">'Бланк заказа'!$X$643:$X$643</definedName>
    <definedName name="SalesQty337">'Бланк заказа'!$X$644:$X$644</definedName>
    <definedName name="SalesQty34">'Бланк заказа'!$X$79:$X$79</definedName>
    <definedName name="SalesQty35">'Бланк заказа'!$X$80:$X$80</definedName>
    <definedName name="SalesQty36">'Бланк заказа'!$X$81:$X$81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заказа'!$X$25:$X$25</definedName>
    <definedName name="SalesQty40">'Бланк заказа'!$X$92:$X$92</definedName>
    <definedName name="SalesQty41">'Бланк заказа'!$X$93:$X$93</definedName>
    <definedName name="SalesQty42">'Бланк заказа'!$X$94:$X$94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заказа'!$X$102:$X$102</definedName>
    <definedName name="SalesQty48">'Бланк заказа'!$X$103:$X$103</definedName>
    <definedName name="SalesQty49">'Бланк заказа'!$X$108:$X$108</definedName>
    <definedName name="SalesQty5">'Бланк заказа'!$X$29:$X$29</definedName>
    <definedName name="SalesQty50">'Бланк заказа'!$X$109:$X$109</definedName>
    <definedName name="SalesQty51">'Бланк заказа'!$X$110:$X$110</definedName>
    <definedName name="SalesQty52">'Бланк заказа'!$X$111:$X$111</definedName>
    <definedName name="SalesQty53">'Бланк заказа'!$X$112:$X$112</definedName>
    <definedName name="SalesQty54">'Бланк заказа'!$X$116:$X$116</definedName>
    <definedName name="SalesQty55">'Бланк заказа'!$X$117:$X$117</definedName>
    <definedName name="SalesQty56">'Бланк заказа'!$X$118:$X$118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заказа'!$X$35:$X$35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заказа'!$X$128:$X$128</definedName>
    <definedName name="SalesQty64">'Бланк заказа'!$X$132:$X$132</definedName>
    <definedName name="SalesQty65">'Бланк заказа'!$X$133:$X$133</definedName>
    <definedName name="SalesQty66">'Бланк заказа'!$X$138:$X$138</definedName>
    <definedName name="SalesQty67">'Бланк заказа'!$X$139:$X$139</definedName>
    <definedName name="SalesQty68">'Бланк заказа'!$X$143:$X$143</definedName>
    <definedName name="SalesQty69">'Бланк заказа'!$X$144:$X$144</definedName>
    <definedName name="SalesQty7">'Бланк заказа'!$X$36:$X$36</definedName>
    <definedName name="SalesQty70">'Бланк заказа'!$X$148:$X$148</definedName>
    <definedName name="SalesQty71">'Бланк заказа'!$X$149:$X$149</definedName>
    <definedName name="SalesQty72">'Бланк заказа'!$X$154:$X$154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заказа'!$X$161:$X$161</definedName>
    <definedName name="SalesQty77">'Бланк заказа'!$X$162:$X$162</definedName>
    <definedName name="SalesQty78">'Бланк заказа'!$X$166:$X$166</definedName>
    <definedName name="SalesQty79">'Бланк заказа'!$X$167:$X$167</definedName>
    <definedName name="SalesQty8">'Бланк заказа'!$X$37:$X$37</definedName>
    <definedName name="SalesQty80">'Бланк заказа'!$X$173:$X$173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заказа'!$X$183:$X$183</definedName>
    <definedName name="SalesQty88">'Бланк заказа'!$X$184:$X$184</definedName>
    <definedName name="SalesQty89">'Бланк заказа'!$X$189:$X$189</definedName>
    <definedName name="SalesQty9">'Бланк заказа'!$X$38:$X$38</definedName>
    <definedName name="SalesQty90">'Бланк заказа'!$X$190:$X$190</definedName>
    <definedName name="SalesQty91">'Бланк заказа'!$X$194:$X$194</definedName>
    <definedName name="SalesQty92">'Бланк заказа'!$X$195:$X$195</definedName>
    <definedName name="SalesQty93">'Бланк заказа'!$X$199:$X$199</definedName>
    <definedName name="SalesQty94">'Бланк заказа'!$X$200:$X$200</definedName>
    <definedName name="SalesQty95">'Бланк заказа'!$X$201:$X$201</definedName>
    <definedName name="SalesQty96">'Бланк заказа'!$X$202:$X$202</definedName>
    <definedName name="SalesQty97">'Бланк заказа'!$X$203:$X$203</definedName>
    <definedName name="SalesQty98">'Бланк заказа'!$X$204:$X$204</definedName>
    <definedName name="SalesQty99">'Бланк заказа'!$X$205:$X$205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заказа'!$Y$206:$Y$206</definedName>
    <definedName name="SalesRoundBox101">'Бланк заказа'!$Y$210:$Y$210</definedName>
    <definedName name="SalesRoundBox102">'Бланк заказа'!$Y$211:$Y$211</definedName>
    <definedName name="SalesRoundBox103">'Бланк заказа'!$Y$212:$Y$212</definedName>
    <definedName name="SalesRoundBox104">'Бланк заказа'!$Y$213:$Y$213</definedName>
    <definedName name="SalesRoundBox105">'Бланк заказа'!$Y$214:$Y$214</definedName>
    <definedName name="SalesRoundBox106">'Бланк заказа'!$Y$215:$Y$215</definedName>
    <definedName name="SalesRoundBox107">'Бланк заказа'!$Y$216:$Y$216</definedName>
    <definedName name="SalesRoundBox108">'Бланк заказа'!$Y$217:$Y$217</definedName>
    <definedName name="SalesRoundBox109">'Бланк заказа'!$Y$218:$Y$218</definedName>
    <definedName name="SalesRoundBox11">'Бланк заказа'!$Y$40:$Y$40</definedName>
    <definedName name="SalesRoundBox110">'Бланк заказа'!$Y$219:$Y$219</definedName>
    <definedName name="SalesRoundBox111">'Бланк заказа'!$Y$220:$Y$220</definedName>
    <definedName name="SalesRoundBox112">'Бланк заказа'!$Y$224:$Y$224</definedName>
    <definedName name="SalesRoundBox113">'Бланк заказа'!$Y$225:$Y$225</definedName>
    <definedName name="SalesRoundBox114">'Бланк заказа'!$Y$226:$Y$226</definedName>
    <definedName name="SalesRoundBox115">'Бланк заказа'!$Y$227:$Y$227</definedName>
    <definedName name="SalesRoundBox116">'Бланк заказа'!$Y$228:$Y$228</definedName>
    <definedName name="SalesRoundBox117">'Бланк заказа'!$Y$229:$Y$229</definedName>
    <definedName name="SalesRoundBox118">'Бланк заказа'!$Y$234:$Y$234</definedName>
    <definedName name="SalesRoundBox119">'Бланк заказа'!$Y$235:$Y$235</definedName>
    <definedName name="SalesRoundBox12">'Бланк заказа'!$Y$44:$Y$44</definedName>
    <definedName name="SalesRoundBox120">'Бланк заказа'!$Y$236:$Y$236</definedName>
    <definedName name="SalesRoundBox121">'Бланк заказа'!$Y$237:$Y$237</definedName>
    <definedName name="SalesRoundBox122">'Бланк заказа'!$Y$238:$Y$238</definedName>
    <definedName name="SalesRoundBox123">'Бланк заказа'!$Y$239:$Y$239</definedName>
    <definedName name="SalesRoundBox124">'Бланк заказа'!$Y$240:$Y$240</definedName>
    <definedName name="SalesRoundBox125">'Бланк заказа'!$Y$241:$Y$241</definedName>
    <definedName name="SalesRoundBox126">'Бланк заказа'!$Y$246:$Y$246</definedName>
    <definedName name="SalesRoundBox127">'Бланк заказа'!$Y$247:$Y$247</definedName>
    <definedName name="SalesRoundBox128">'Бланк заказа'!$Y$248:$Y$248</definedName>
    <definedName name="SalesRoundBox129">'Бланк заказа'!$Y$249:$Y$249</definedName>
    <definedName name="SalesRoundBox13">'Бланк заказа'!$Y$45:$Y$45</definedName>
    <definedName name="SalesRoundBox130">'Бланк заказа'!$Y$250:$Y$250</definedName>
    <definedName name="SalesRoundBox131">'Бланк заказа'!$Y$251:$Y$251</definedName>
    <definedName name="SalesRoundBox132">'Бланк заказа'!$Y$252:$Y$252</definedName>
    <definedName name="SalesRoundBox133">'Бланк заказа'!$Y$253:$Y$253</definedName>
    <definedName name="SalesRoundBox134">'Бланк заказа'!$Y$254:$Y$254</definedName>
    <definedName name="SalesRoundBox135">'Бланк заказа'!$Y$258:$Y$258</definedName>
    <definedName name="SalesRoundBox136">'Бланк заказа'!$Y$263:$Y$263</definedName>
    <definedName name="SalesRoundBox137">'Бланк заказа'!$Y$264:$Y$264</definedName>
    <definedName name="SalesRoundBox138">'Бланк заказа'!$Y$265:$Y$265</definedName>
    <definedName name="SalesRoundBox139">'Бланк заказа'!$Y$266:$Y$266</definedName>
    <definedName name="SalesRoundBox14">'Бланк заказа'!$Y$50:$Y$50</definedName>
    <definedName name="SalesRoundBox140">'Бланк заказа'!$Y$267:$Y$267</definedName>
    <definedName name="SalesRoundBox141">'Бланк заказа'!$Y$268:$Y$268</definedName>
    <definedName name="SalesRoundBox142">'Бланк заказа'!$Y$269:$Y$269</definedName>
    <definedName name="SalesRoundBox143">'Бланк заказа'!$Y$270:$Y$270</definedName>
    <definedName name="SalesRoundBox144">'Бланк заказа'!$Y$271:$Y$271</definedName>
    <definedName name="SalesRoundBox145">'Бланк заказа'!$Y$276:$Y$276</definedName>
    <definedName name="SalesRoundBox146">'Бланк заказа'!$Y$281:$Y$281</definedName>
    <definedName name="SalesRoundBox147">'Бланк заказа'!$Y$282:$Y$282</definedName>
    <definedName name="SalesRoundBox148">'Бланк заказа'!$Y$283:$Y$283</definedName>
    <definedName name="SalesRoundBox149">'Бланк заказа'!$Y$288:$Y$288</definedName>
    <definedName name="SalesRoundBox15">'Бланк заказа'!$Y$51:$Y$51</definedName>
    <definedName name="SalesRoundBox150">'Бланк заказа'!$Y$289:$Y$289</definedName>
    <definedName name="SalesRoundBox151">'Бланк заказа'!$Y$290:$Y$290</definedName>
    <definedName name="SalesRoundBox152">'Бланк заказа'!$Y$291:$Y$291</definedName>
    <definedName name="SalesRoundBox153">'Бланк заказа'!$Y$292:$Y$292</definedName>
    <definedName name="SalesRoundBox154">'Бланк заказа'!$Y$293:$Y$293</definedName>
    <definedName name="SalesRoundBox155">'Бланк заказа'!$Y$298:$Y$298</definedName>
    <definedName name="SalesRoundBox156">'Бланк заказа'!$Y$302:$Y$302</definedName>
    <definedName name="SalesRoundBox157">'Бланк заказа'!$Y$306:$Y$306</definedName>
    <definedName name="SalesRoundBox158">'Бланк заказа'!$Y$307:$Y$307</definedName>
    <definedName name="SalesRoundBox159">'Бланк заказа'!$Y$312:$Y$312</definedName>
    <definedName name="SalesRoundBox16">'Бланк заказа'!$Y$52:$Y$52</definedName>
    <definedName name="SalesRoundBox160">'Бланк заказа'!$Y$316:$Y$316</definedName>
    <definedName name="SalesRoundBox161">'Бланк заказа'!$Y$320:$Y$320</definedName>
    <definedName name="SalesRoundBox162">'Бланк заказа'!$Y$321:$Y$321</definedName>
    <definedName name="SalesRoundBox163">'Бланк заказа'!$Y$326:$Y$326</definedName>
    <definedName name="SalesRoundBox164">'Бланк заказа'!$Y$327:$Y$327</definedName>
    <definedName name="SalesRoundBox165">'Бланк заказа'!$Y$331:$Y$331</definedName>
    <definedName name="SalesRoundBox166">'Бланк заказа'!$Y$332:$Y$332</definedName>
    <definedName name="SalesRoundBox167">'Бланк заказа'!$Y$336:$Y$336</definedName>
    <definedName name="SalesRoundBox168">'Бланк заказа'!$Y$341:$Y$341</definedName>
    <definedName name="SalesRoundBox169">'Бланк заказа'!$Y$346:$Y$346</definedName>
    <definedName name="SalesRoundBox17">'Бланк заказа'!$Y$53:$Y$53</definedName>
    <definedName name="SalesRoundBox170">'Бланк заказа'!$Y$347:$Y$347</definedName>
    <definedName name="SalesRoundBox171">'Бланк заказа'!$Y$348:$Y$348</definedName>
    <definedName name="SalesRoundBox172">'Бланк заказа'!$Y$349:$Y$349</definedName>
    <definedName name="SalesRoundBox173">'Бланк заказа'!$Y$350:$Y$350</definedName>
    <definedName name="SalesRoundBox174">'Бланк заказа'!$Y$351:$Y$351</definedName>
    <definedName name="SalesRoundBox175">'Бланк заказа'!$Y$352:$Y$352</definedName>
    <definedName name="SalesRoundBox176">'Бланк заказа'!$Y$353:$Y$353</definedName>
    <definedName name="SalesRoundBox177">'Бланк заказа'!$Y$357:$Y$357</definedName>
    <definedName name="SalesRoundBox178">'Бланк заказа'!$Y$358:$Y$358</definedName>
    <definedName name="SalesRoundBox179">'Бланк заказа'!$Y$359:$Y$359</definedName>
    <definedName name="SalesRoundBox18">'Бланк заказа'!$Y$54:$Y$54</definedName>
    <definedName name="SalesRoundBox180">'Бланк заказа'!$Y$360:$Y$360</definedName>
    <definedName name="SalesRoundBox181">'Бланк заказа'!$Y$364:$Y$364</definedName>
    <definedName name="SalesRoundBox182">'Бланк заказа'!$Y$365:$Y$365</definedName>
    <definedName name="SalesRoundBox183">'Бланк заказа'!$Y$366:$Y$366</definedName>
    <definedName name="SalesRoundBox184">'Бланк заказа'!$Y$367:$Y$367</definedName>
    <definedName name="SalesRoundBox185">'Бланк заказа'!$Y$368:$Y$368</definedName>
    <definedName name="SalesRoundBox186">'Бланк заказа'!$Y$369:$Y$369</definedName>
    <definedName name="SalesRoundBox187">'Бланк заказа'!$Y$373:$Y$373</definedName>
    <definedName name="SalesRoundBox188">'Бланк заказа'!$Y$374:$Y$374</definedName>
    <definedName name="SalesRoundBox189">'Бланк заказа'!$Y$375:$Y$375</definedName>
    <definedName name="SalesRoundBox19">'Бланк заказа'!$Y$55:$Y$55</definedName>
    <definedName name="SalesRoundBox190">'Бланк заказа'!$Y$376:$Y$376</definedName>
    <definedName name="SalesRoundBox191">'Бланк заказа'!$Y$380:$Y$380</definedName>
    <definedName name="SalesRoundBox192">'Бланк заказа'!$Y$381:$Y$381</definedName>
    <definedName name="SalesRoundBox193">'Бланк заказа'!$Y$382:$Y$382</definedName>
    <definedName name="SalesRoundBox194">'Бланк заказа'!$Y$383:$Y$383</definedName>
    <definedName name="SalesRoundBox195">'Бланк заказа'!$Y$387:$Y$387</definedName>
    <definedName name="SalesRoundBox196">'Бланк заказа'!$Y$388:$Y$388</definedName>
    <definedName name="SalesRoundBox197">'Бланк заказа'!$Y$389:$Y$389</definedName>
    <definedName name="SalesRoundBox198">'Бланк заказа'!$Y$394:$Y$394</definedName>
    <definedName name="SalesRoundBox199">'Бланк заказа'!$Y$398:$Y$398</definedName>
    <definedName name="SalesRoundBox2">'Бланк заказа'!$Y$23:$Y$23</definedName>
    <definedName name="SalesRoundBox20">'Бланк заказа'!$Y$56:$Y$56</definedName>
    <definedName name="SalesRoundBox200">'Бланк заказа'!$Y$399:$Y$399</definedName>
    <definedName name="SalesRoundBox201">'Бланк заказа'!$Y$400:$Y$400</definedName>
    <definedName name="SalesRoundBox202">'Бланк заказа'!$Y$406:$Y$406</definedName>
    <definedName name="SalesRoundBox203">'Бланк заказа'!$Y$407:$Y$407</definedName>
    <definedName name="SalesRoundBox204">'Бланк заказа'!$Y$408:$Y$408</definedName>
    <definedName name="SalesRoundBox205">'Бланк заказа'!$Y$409:$Y$409</definedName>
    <definedName name="SalesRoundBox206">'Бланк заказа'!$Y$410:$Y$410</definedName>
    <definedName name="SalesRoundBox207">'Бланк заказа'!$Y$411:$Y$411</definedName>
    <definedName name="SalesRoundBox208">'Бланк заказа'!$Y$412:$Y$412</definedName>
    <definedName name="SalesRoundBox209">'Бланк заказа'!$Y$413:$Y$413</definedName>
    <definedName name="SalesRoundBox21">'Бланк заказа'!$Y$60:$Y$60</definedName>
    <definedName name="SalesRoundBox210">'Бланк заказа'!$Y$414:$Y$414</definedName>
    <definedName name="SalesRoundBox211">'Бланк заказа'!$Y$415:$Y$415</definedName>
    <definedName name="SalesRoundBox212">'Бланк заказа'!$Y$419:$Y$419</definedName>
    <definedName name="SalesRoundBox213">'Бланк заказа'!$Y$420:$Y$420</definedName>
    <definedName name="SalesRoundBox214">'Бланк заказа'!$Y$424:$Y$424</definedName>
    <definedName name="SalesRoundBox215">'Бланк заказа'!$Y$425:$Y$425</definedName>
    <definedName name="SalesRoundBox216">'Бланк заказа'!$Y$429:$Y$429</definedName>
    <definedName name="SalesRoundBox217">'Бланк заказа'!$Y$434:$Y$434</definedName>
    <definedName name="SalesRoundBox218">'Бланк заказа'!$Y$435:$Y$435</definedName>
    <definedName name="SalesRoundBox219">'Бланк заказа'!$Y$436:$Y$436</definedName>
    <definedName name="SalesRoundBox22">'Бланк заказа'!$Y$61:$Y$61</definedName>
    <definedName name="SalesRoundBox220">'Бланк заказа'!$Y$437:$Y$437</definedName>
    <definedName name="SalesRoundBox221">'Бланк заказа'!$Y$438:$Y$438</definedName>
    <definedName name="SalesRoundBox222">'Бланк заказа'!$Y$439:$Y$439</definedName>
    <definedName name="SalesRoundBox223">'Бланк заказа'!$Y$440:$Y$440</definedName>
    <definedName name="SalesRoundBox224">'Бланк заказа'!$Y$441:$Y$441</definedName>
    <definedName name="SalesRoundBox225">'Бланк заказа'!$Y$445:$Y$445</definedName>
    <definedName name="SalesRoundBox226">'Бланк заказа'!$Y$446:$Y$446</definedName>
    <definedName name="SalesRoundBox227">'Бланк заказа'!$Y$450:$Y$450</definedName>
    <definedName name="SalesRoundBox228">'Бланк заказа'!$Y$451:$Y$451</definedName>
    <definedName name="SalesRoundBox229">'Бланк заказа'!$Y$452:$Y$452</definedName>
    <definedName name="SalesRoundBox23">'Бланк заказа'!$Y$62:$Y$62</definedName>
    <definedName name="SalesRoundBox230">'Бланк заказа'!$Y$453:$Y$453</definedName>
    <definedName name="SalesRoundBox231">'Бланк заказа'!$Y$454:$Y$454</definedName>
    <definedName name="SalesRoundBox232">'Бланк заказа'!$Y$458:$Y$458</definedName>
    <definedName name="SalesRoundBox233">'Бланк заказа'!$Y$464:$Y$464</definedName>
    <definedName name="SalesRoundBox234">'Бланк заказа'!$Y$465:$Y$465</definedName>
    <definedName name="SalesRoundBox235">'Бланк заказа'!$Y$466:$Y$466</definedName>
    <definedName name="SalesRoundBox236">'Бланк заказа'!$Y$467:$Y$467</definedName>
    <definedName name="SalesRoundBox237">'Бланк заказа'!$Y$468:$Y$468</definedName>
    <definedName name="SalesRoundBox238">'Бланк заказа'!$Y$469:$Y$469</definedName>
    <definedName name="SalesRoundBox239">'Бланк заказа'!$Y$470:$Y$470</definedName>
    <definedName name="SalesRoundBox24">'Бланк заказа'!$Y$63:$Y$63</definedName>
    <definedName name="SalesRoundBox240">'Бланк заказа'!$Y$471:$Y$471</definedName>
    <definedName name="SalesRoundBox241">'Бланк заказа'!$Y$472:$Y$472</definedName>
    <definedName name="SalesRoundBox242">'Бланк заказа'!$Y$473:$Y$473</definedName>
    <definedName name="SalesRoundBox243">'Бланк заказа'!$Y$474:$Y$474</definedName>
    <definedName name="SalesRoundBox244">'Бланк заказа'!$Y$475:$Y$475</definedName>
    <definedName name="SalesRoundBox245">'Бланк заказа'!$Y$476:$Y$476</definedName>
    <definedName name="SalesRoundBox246">'Бланк заказа'!$Y$477:$Y$477</definedName>
    <definedName name="SalesRoundBox247">'Бланк заказа'!$Y$478:$Y$478</definedName>
    <definedName name="SalesRoundBox248">'Бланк заказа'!$Y$479:$Y$479</definedName>
    <definedName name="SalesRoundBox249">'Бланк заказа'!$Y$480:$Y$480</definedName>
    <definedName name="SalesRoundBox25">'Бланк заказа'!$Y$67:$Y$67</definedName>
    <definedName name="SalesRoundBox250">'Бланк заказа'!$Y$484:$Y$484</definedName>
    <definedName name="SalesRoundBox251">'Бланк заказа'!$Y$485:$Y$485</definedName>
    <definedName name="SalesRoundBox252">'Бланк заказа'!$Y$489:$Y$489</definedName>
    <definedName name="SalesRoundBox253">'Бланк заказа'!$Y$494:$Y$494</definedName>
    <definedName name="SalesRoundBox254">'Бланк заказа'!$Y$498:$Y$498</definedName>
    <definedName name="SalesRoundBox255">'Бланк заказа'!$Y$499:$Y$499</definedName>
    <definedName name="SalesRoundBox256">'Бланк заказа'!$Y$500:$Y$500</definedName>
    <definedName name="SalesRoundBox257">'Бланк заказа'!$Y$501:$Y$501</definedName>
    <definedName name="SalesRoundBox258">'Бланк заказа'!$Y$502:$Y$502</definedName>
    <definedName name="SalesRoundBox259">'Бланк заказа'!$Y$507:$Y$507</definedName>
    <definedName name="SalesRoundBox26">'Бланк заказа'!$Y$68:$Y$68</definedName>
    <definedName name="SalesRoundBox260">'Бланк заказа'!$Y$508:$Y$508</definedName>
    <definedName name="SalesRoundBox261">'Бланк заказа'!$Y$509:$Y$509</definedName>
    <definedName name="SalesRoundBox262">'Бланк заказа'!$Y$514:$Y$514</definedName>
    <definedName name="SalesRoundBox263">'Бланк заказа'!$Y$518:$Y$518</definedName>
    <definedName name="SalesRoundBox264">'Бланк заказа'!$Y$524:$Y$524</definedName>
    <definedName name="SalesRoundBox265">'Бланк заказа'!$Y$525:$Y$525</definedName>
    <definedName name="SalesRoundBox266">'Бланк заказа'!$Y$526:$Y$526</definedName>
    <definedName name="SalesRoundBox267">'Бланк заказа'!$Y$527:$Y$527</definedName>
    <definedName name="SalesRoundBox268">'Бланк заказа'!$Y$528:$Y$528</definedName>
    <definedName name="SalesRoundBox269">'Бланк заказа'!$Y$529:$Y$529</definedName>
    <definedName name="SalesRoundBox27">'Бланк заказа'!$Y$69:$Y$69</definedName>
    <definedName name="SalesRoundBox270">'Бланк заказа'!$Y$530:$Y$530</definedName>
    <definedName name="SalesRoundBox271">'Бланк заказа'!$Y$531:$Y$531</definedName>
    <definedName name="SalesRoundBox272">'Бланк заказа'!$Y$532:$Y$532</definedName>
    <definedName name="SalesRoundBox273">'Бланк заказа'!$Y$533:$Y$533</definedName>
    <definedName name="SalesRoundBox274">'Бланк заказа'!$Y$534:$Y$534</definedName>
    <definedName name="SalesRoundBox275">'Бланк заказа'!$Y$535:$Y$535</definedName>
    <definedName name="SalesRoundBox276">'Бланк заказа'!$Y$536:$Y$536</definedName>
    <definedName name="SalesRoundBox277">'Бланк заказа'!$Y$537:$Y$537</definedName>
    <definedName name="SalesRoundBox278">'Бланк заказа'!$Y$538:$Y$538</definedName>
    <definedName name="SalesRoundBox279">'Бланк заказа'!$Y$539:$Y$539</definedName>
    <definedName name="SalesRoundBox28">'Бланк заказа'!$Y$70:$Y$70</definedName>
    <definedName name="SalesRoundBox280">'Бланк заказа'!$Y$543:$Y$543</definedName>
    <definedName name="SalesRoundBox281">'Бланк заказа'!$Y$544:$Y$544</definedName>
    <definedName name="SalesRoundBox282">'Бланк заказа'!$Y$545:$Y$545</definedName>
    <definedName name="SalesRoundBox283">'Бланк заказа'!$Y$546:$Y$546</definedName>
    <definedName name="SalesRoundBox284">'Бланк заказа'!$Y$550:$Y$550</definedName>
    <definedName name="SalesRoundBox285">'Бланк заказа'!$Y$551:$Y$551</definedName>
    <definedName name="SalesRoundBox286">'Бланк заказа'!$Y$552:$Y$552</definedName>
    <definedName name="SalesRoundBox287">'Бланк заказа'!$Y$553:$Y$553</definedName>
    <definedName name="SalesRoundBox288">'Бланк заказа'!$Y$554:$Y$554</definedName>
    <definedName name="SalesRoundBox289">'Бланк заказа'!$Y$555:$Y$555</definedName>
    <definedName name="SalesRoundBox29">'Бланк заказа'!$Y$71:$Y$71</definedName>
    <definedName name="SalesRoundBox290">'Бланк заказа'!$Y$556:$Y$556</definedName>
    <definedName name="SalesRoundBox291">'Бланк заказа'!$Y$557:$Y$557</definedName>
    <definedName name="SalesRoundBox292">'Бланк заказа'!$Y$558:$Y$558</definedName>
    <definedName name="SalesRoundBox293">'Бланк заказа'!$Y$559:$Y$559</definedName>
    <definedName name="SalesRoundBox294">'Бланк заказа'!$Y$560:$Y$560</definedName>
    <definedName name="SalesRoundBox295">'Бланк заказа'!$Y$561:$Y$561</definedName>
    <definedName name="SalesRoundBox296">'Бланк заказа'!$Y$565:$Y$565</definedName>
    <definedName name="SalesRoundBox297">'Бланк заказа'!$Y$566:$Y$566</definedName>
    <definedName name="SalesRoundBox298">'Бланк заказа'!$Y$567:$Y$567</definedName>
    <definedName name="SalesRoundBox299">'Бланк заказа'!$Y$571:$Y$571</definedName>
    <definedName name="SalesRoundBox3">'Бланк заказа'!$Y$24:$Y$24</definedName>
    <definedName name="SalesRoundBox30">'Бланк заказа'!$Y$72:$Y$72</definedName>
    <definedName name="SalesRoundBox300">'Бланк заказа'!$Y$572:$Y$572</definedName>
    <definedName name="SalesRoundBox301">'Бланк заказа'!$Y$578:$Y$578</definedName>
    <definedName name="SalesRoundBox302">'Бланк заказа'!$Y$584:$Y$584</definedName>
    <definedName name="SalesRoundBox303">'Бланк заказа'!$Y$585:$Y$585</definedName>
    <definedName name="SalesRoundBox304">'Бланк заказа'!$Y$586:$Y$586</definedName>
    <definedName name="SalesRoundBox305">'Бланк заказа'!$Y$587:$Y$587</definedName>
    <definedName name="SalesRoundBox306">'Бланк заказа'!$Y$588:$Y$588</definedName>
    <definedName name="SalesRoundBox307">'Бланк заказа'!$Y$589:$Y$589</definedName>
    <definedName name="SalesRoundBox308">'Бланк заказа'!$Y$590:$Y$590</definedName>
    <definedName name="SalesRoundBox309">'Бланк заказа'!$Y$594:$Y$594</definedName>
    <definedName name="SalesRoundBox31">'Бланк заказа'!$Y$76:$Y$76</definedName>
    <definedName name="SalesRoundBox310">'Бланк заказа'!$Y$595:$Y$595</definedName>
    <definedName name="SalesRoundBox311">'Бланк заказа'!$Y$596:$Y$596</definedName>
    <definedName name="SalesRoundBox312">'Бланк заказа'!$Y$597:$Y$597</definedName>
    <definedName name="SalesRoundBox313">'Бланк заказа'!$Y$601:$Y$601</definedName>
    <definedName name="SalesRoundBox314">'Бланк заказа'!$Y$602:$Y$602</definedName>
    <definedName name="SalesRoundBox315">'Бланк заказа'!$Y$603:$Y$603</definedName>
    <definedName name="SalesRoundBox316">'Бланк заказа'!$Y$604:$Y$604</definedName>
    <definedName name="SalesRoundBox317">'Бланк заказа'!$Y$605:$Y$605</definedName>
    <definedName name="SalesRoundBox318">'Бланк заказа'!$Y$606:$Y$606</definedName>
    <definedName name="SalesRoundBox319">'Бланк заказа'!$Y$607:$Y$607</definedName>
    <definedName name="SalesRoundBox32">'Бланк заказа'!$Y$77:$Y$77</definedName>
    <definedName name="SalesRoundBox320">'Бланк заказа'!$Y$611:$Y$611</definedName>
    <definedName name="SalesRoundBox321">'Бланк заказа'!$Y$612:$Y$612</definedName>
    <definedName name="SalesRoundBox322">'Бланк заказа'!$Y$613:$Y$613</definedName>
    <definedName name="SalesRoundBox323">'Бланк заказа'!$Y$614:$Y$614</definedName>
    <definedName name="SalesRoundBox324">'Бланк заказа'!$Y$615:$Y$615</definedName>
    <definedName name="SalesRoundBox325">'Бланк заказа'!$Y$616:$Y$616</definedName>
    <definedName name="SalesRoundBox326">'Бланк заказа'!$Y$617:$Y$617</definedName>
    <definedName name="SalesRoundBox327">'Бланк заказа'!$Y$618:$Y$618</definedName>
    <definedName name="SalesRoundBox328">'Бланк заказа'!$Y$622:$Y$622</definedName>
    <definedName name="SalesRoundBox329">'Бланк заказа'!$Y$623:$Y$623</definedName>
    <definedName name="SalesRoundBox33">'Бланк заказа'!$Y$78:$Y$78</definedName>
    <definedName name="SalesRoundBox330">'Бланк заказа'!$Y$624:$Y$624</definedName>
    <definedName name="SalesRoundBox331">'Бланк заказа'!$Y$625:$Y$625</definedName>
    <definedName name="SalesRoundBox332">'Бланк заказа'!$Y$630:$Y$630</definedName>
    <definedName name="SalesRoundBox333">'Бланк заказа'!$Y$631:$Y$631</definedName>
    <definedName name="SalesRoundBox334">'Бланк заказа'!$Y$635:$Y$635</definedName>
    <definedName name="SalesRoundBox335">'Бланк заказа'!$Y$639:$Y$639</definedName>
    <definedName name="SalesRoundBox336">'Бланк заказа'!$Y$643:$Y$643</definedName>
    <definedName name="SalesRoundBox337">'Бланк заказа'!$Y$644:$Y$644</definedName>
    <definedName name="SalesRoundBox34">'Бланк заказа'!$Y$79:$Y$79</definedName>
    <definedName name="SalesRoundBox35">'Бланк заказа'!$Y$80:$Y$80</definedName>
    <definedName name="SalesRoundBox36">'Бланк заказа'!$Y$81:$Y$81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заказа'!$Y$25:$Y$25</definedName>
    <definedName name="SalesRoundBox40">'Бланк заказа'!$Y$92:$Y$92</definedName>
    <definedName name="SalesRoundBox41">'Бланк заказа'!$Y$93:$Y$93</definedName>
    <definedName name="SalesRoundBox42">'Бланк заказа'!$Y$94:$Y$94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заказа'!$Y$102:$Y$102</definedName>
    <definedName name="SalesRoundBox48">'Бланк заказа'!$Y$103:$Y$103</definedName>
    <definedName name="SalesRoundBox49">'Бланк заказа'!$Y$108:$Y$108</definedName>
    <definedName name="SalesRoundBox5">'Бланк заказа'!$Y$29:$Y$29</definedName>
    <definedName name="SalesRoundBox50">'Бланк заказа'!$Y$109:$Y$109</definedName>
    <definedName name="SalesRoundBox51">'Бланк заказа'!$Y$110:$Y$110</definedName>
    <definedName name="SalesRoundBox52">'Бланк заказа'!$Y$111:$Y$111</definedName>
    <definedName name="SalesRoundBox53">'Бланк заказа'!$Y$112:$Y$112</definedName>
    <definedName name="SalesRoundBox54">'Бланк заказа'!$Y$116:$Y$116</definedName>
    <definedName name="SalesRoundBox55">'Бланк заказа'!$Y$117:$Y$117</definedName>
    <definedName name="SalesRoundBox56">'Бланк заказа'!$Y$118:$Y$118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заказа'!$Y$35:$Y$35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заказа'!$Y$128:$Y$128</definedName>
    <definedName name="SalesRoundBox64">'Бланк заказа'!$Y$132:$Y$132</definedName>
    <definedName name="SalesRoundBox65">'Бланк заказа'!$Y$133:$Y$133</definedName>
    <definedName name="SalesRoundBox66">'Бланк заказа'!$Y$138:$Y$138</definedName>
    <definedName name="SalesRoundBox67">'Бланк заказа'!$Y$139:$Y$139</definedName>
    <definedName name="SalesRoundBox68">'Бланк заказа'!$Y$143:$Y$143</definedName>
    <definedName name="SalesRoundBox69">'Бланк заказа'!$Y$144:$Y$144</definedName>
    <definedName name="SalesRoundBox7">'Бланк заказа'!$Y$36:$Y$36</definedName>
    <definedName name="SalesRoundBox70">'Бланк заказа'!$Y$148:$Y$148</definedName>
    <definedName name="SalesRoundBox71">'Бланк заказа'!$Y$149:$Y$149</definedName>
    <definedName name="SalesRoundBox72">'Бланк заказа'!$Y$154:$Y$154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заказа'!$Y$161:$Y$161</definedName>
    <definedName name="SalesRoundBox77">'Бланк заказа'!$Y$162:$Y$162</definedName>
    <definedName name="SalesRoundBox78">'Бланк заказа'!$Y$166:$Y$166</definedName>
    <definedName name="SalesRoundBox79">'Бланк заказа'!$Y$167:$Y$167</definedName>
    <definedName name="SalesRoundBox8">'Бланк заказа'!$Y$37:$Y$37</definedName>
    <definedName name="SalesRoundBox80">'Бланк заказа'!$Y$173:$Y$173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заказа'!$Y$183:$Y$183</definedName>
    <definedName name="SalesRoundBox88">'Бланк заказа'!$Y$184:$Y$184</definedName>
    <definedName name="SalesRoundBox89">'Бланк заказа'!$Y$189:$Y$189</definedName>
    <definedName name="SalesRoundBox9">'Бланк заказа'!$Y$38:$Y$38</definedName>
    <definedName name="SalesRoundBox90">'Бланк заказа'!$Y$190:$Y$190</definedName>
    <definedName name="SalesRoundBox91">'Бланк заказа'!$Y$194:$Y$194</definedName>
    <definedName name="SalesRoundBox92">'Бланк заказа'!$Y$195:$Y$195</definedName>
    <definedName name="SalesRoundBox93">'Бланк заказа'!$Y$199:$Y$199</definedName>
    <definedName name="SalesRoundBox94">'Бланк заказа'!$Y$200:$Y$200</definedName>
    <definedName name="SalesRoundBox95">'Бланк заказа'!$Y$201:$Y$201</definedName>
    <definedName name="SalesRoundBox96">'Бланк заказа'!$Y$202:$Y$202</definedName>
    <definedName name="SalesRoundBox97">'Бланк заказа'!$Y$203:$Y$203</definedName>
    <definedName name="SalesRoundBox98">'Бланк заказа'!$Y$204:$Y$204</definedName>
    <definedName name="SalesRoundBox99">'Бланк заказа'!$Y$205:$Y$205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заказа'!$W$206:$W$206</definedName>
    <definedName name="UnitOfMeasure101">'Бланк заказа'!$W$210:$W$210</definedName>
    <definedName name="UnitOfMeasure102">'Бланк заказа'!$W$211:$W$211</definedName>
    <definedName name="UnitOfMeasure103">'Бланк заказа'!$W$212:$W$212</definedName>
    <definedName name="UnitOfMeasure104">'Бланк заказа'!$W$213:$W$213</definedName>
    <definedName name="UnitOfMeasure105">'Бланк заказа'!$W$214:$W$214</definedName>
    <definedName name="UnitOfMeasure106">'Бланк заказа'!$W$215:$W$215</definedName>
    <definedName name="UnitOfMeasure107">'Бланк заказа'!$W$216:$W$216</definedName>
    <definedName name="UnitOfMeasure108">'Бланк заказа'!$W$217:$W$217</definedName>
    <definedName name="UnitOfMeasure109">'Бланк заказа'!$W$218:$W$218</definedName>
    <definedName name="UnitOfMeasure11">'Бланк заказа'!$W$40:$W$40</definedName>
    <definedName name="UnitOfMeasure110">'Бланк заказа'!$W$219:$W$219</definedName>
    <definedName name="UnitOfMeasure111">'Бланк заказа'!$W$220:$W$220</definedName>
    <definedName name="UnitOfMeasure112">'Бланк заказа'!$W$224:$W$224</definedName>
    <definedName name="UnitOfMeasure113">'Бланк заказа'!$W$225:$W$225</definedName>
    <definedName name="UnitOfMeasure114">'Бланк заказа'!$W$226:$W$226</definedName>
    <definedName name="UnitOfMeasure115">'Бланк заказа'!$W$227:$W$227</definedName>
    <definedName name="UnitOfMeasure116">'Бланк заказа'!$W$228:$W$228</definedName>
    <definedName name="UnitOfMeasure117">'Бланк заказа'!$W$229:$W$229</definedName>
    <definedName name="UnitOfMeasure118">'Бланк заказа'!$W$234:$W$234</definedName>
    <definedName name="UnitOfMeasure119">'Бланк заказа'!$W$235:$W$235</definedName>
    <definedName name="UnitOfMeasure12">'Бланк заказа'!$W$44:$W$44</definedName>
    <definedName name="UnitOfMeasure120">'Бланк заказа'!$W$236:$W$236</definedName>
    <definedName name="UnitOfMeasure121">'Бланк заказа'!$W$237:$W$237</definedName>
    <definedName name="UnitOfMeasure122">'Бланк заказа'!$W$238:$W$238</definedName>
    <definedName name="UnitOfMeasure123">'Бланк заказа'!$W$239:$W$239</definedName>
    <definedName name="UnitOfMeasure124">'Бланк заказа'!$W$240:$W$240</definedName>
    <definedName name="UnitOfMeasure125">'Бланк заказа'!$W$241:$W$241</definedName>
    <definedName name="UnitOfMeasure126">'Бланк заказа'!$W$246:$W$246</definedName>
    <definedName name="UnitOfMeasure127">'Бланк заказа'!$W$247:$W$247</definedName>
    <definedName name="UnitOfMeasure128">'Бланк заказа'!$W$248:$W$248</definedName>
    <definedName name="UnitOfMeasure129">'Бланк заказа'!$W$249:$W$249</definedName>
    <definedName name="UnitOfMeasure13">'Бланк заказа'!$W$45:$W$45</definedName>
    <definedName name="UnitOfMeasure130">'Бланк заказа'!$W$250:$W$250</definedName>
    <definedName name="UnitOfMeasure131">'Бланк заказа'!$W$251:$W$251</definedName>
    <definedName name="UnitOfMeasure132">'Бланк заказа'!$W$252:$W$252</definedName>
    <definedName name="UnitOfMeasure133">'Бланк заказа'!$W$253:$W$253</definedName>
    <definedName name="UnitOfMeasure134">'Бланк заказа'!$W$254:$W$254</definedName>
    <definedName name="UnitOfMeasure135">'Бланк заказа'!$W$258:$W$258</definedName>
    <definedName name="UnitOfMeasure136">'Бланк заказа'!$W$263:$W$263</definedName>
    <definedName name="UnitOfMeasure137">'Бланк заказа'!$W$264:$W$264</definedName>
    <definedName name="UnitOfMeasure138">'Бланк заказа'!$W$265:$W$265</definedName>
    <definedName name="UnitOfMeasure139">'Бланк заказа'!$W$266:$W$266</definedName>
    <definedName name="UnitOfMeasure14">'Бланк заказа'!$W$50:$W$50</definedName>
    <definedName name="UnitOfMeasure140">'Бланк заказа'!$W$267:$W$267</definedName>
    <definedName name="UnitOfMeasure141">'Бланк заказа'!$W$268:$W$268</definedName>
    <definedName name="UnitOfMeasure142">'Бланк заказа'!$W$269:$W$269</definedName>
    <definedName name="UnitOfMeasure143">'Бланк заказа'!$W$270:$W$270</definedName>
    <definedName name="UnitOfMeasure144">'Бланк заказа'!$W$271:$W$271</definedName>
    <definedName name="UnitOfMeasure145">'Бланк заказа'!$W$276:$W$276</definedName>
    <definedName name="UnitOfMeasure146">'Бланк заказа'!$W$281:$W$281</definedName>
    <definedName name="UnitOfMeasure147">'Бланк заказа'!$W$282:$W$282</definedName>
    <definedName name="UnitOfMeasure148">'Бланк заказа'!$W$283:$W$283</definedName>
    <definedName name="UnitOfMeasure149">'Бланк заказа'!$W$288:$W$288</definedName>
    <definedName name="UnitOfMeasure15">'Бланк заказа'!$W$51:$W$51</definedName>
    <definedName name="UnitOfMeasure150">'Бланк заказа'!$W$289:$W$289</definedName>
    <definedName name="UnitOfMeasure151">'Бланк заказа'!$W$290:$W$290</definedName>
    <definedName name="UnitOfMeasure152">'Бланк заказа'!$W$291:$W$291</definedName>
    <definedName name="UnitOfMeasure153">'Бланк заказа'!$W$292:$W$292</definedName>
    <definedName name="UnitOfMeasure154">'Бланк заказа'!$W$293:$W$293</definedName>
    <definedName name="UnitOfMeasure155">'Бланк заказа'!$W$298:$W$298</definedName>
    <definedName name="UnitOfMeasure156">'Бланк заказа'!$W$302:$W$302</definedName>
    <definedName name="UnitOfMeasure157">'Бланк заказа'!$W$306:$W$306</definedName>
    <definedName name="UnitOfMeasure158">'Бланк заказа'!$W$307:$W$307</definedName>
    <definedName name="UnitOfMeasure159">'Бланк заказа'!$W$312:$W$312</definedName>
    <definedName name="UnitOfMeasure16">'Бланк заказа'!$W$52:$W$52</definedName>
    <definedName name="UnitOfMeasure160">'Бланк заказа'!$W$316:$W$316</definedName>
    <definedName name="UnitOfMeasure161">'Бланк заказа'!$W$320:$W$320</definedName>
    <definedName name="UnitOfMeasure162">'Бланк заказа'!$W$321:$W$321</definedName>
    <definedName name="UnitOfMeasure163">'Бланк заказа'!$W$326:$W$326</definedName>
    <definedName name="UnitOfMeasure164">'Бланк заказа'!$W$327:$W$327</definedName>
    <definedName name="UnitOfMeasure165">'Бланк заказа'!$W$331:$W$331</definedName>
    <definedName name="UnitOfMeasure166">'Бланк заказа'!$W$332:$W$332</definedName>
    <definedName name="UnitOfMeasure167">'Бланк заказа'!$W$336:$W$336</definedName>
    <definedName name="UnitOfMeasure168">'Бланк заказа'!$W$341:$W$341</definedName>
    <definedName name="UnitOfMeasure169">'Бланк заказа'!$W$346:$W$346</definedName>
    <definedName name="UnitOfMeasure17">'Бланк заказа'!$W$53:$W$53</definedName>
    <definedName name="UnitOfMeasure170">'Бланк заказа'!$W$347:$W$347</definedName>
    <definedName name="UnitOfMeasure171">'Бланк заказа'!$W$348:$W$348</definedName>
    <definedName name="UnitOfMeasure172">'Бланк заказа'!$W$349:$W$349</definedName>
    <definedName name="UnitOfMeasure173">'Бланк заказа'!$W$350:$W$350</definedName>
    <definedName name="UnitOfMeasure174">'Бланк заказа'!$W$351:$W$351</definedName>
    <definedName name="UnitOfMeasure175">'Бланк заказа'!$W$352:$W$352</definedName>
    <definedName name="UnitOfMeasure176">'Бланк заказа'!$W$353:$W$353</definedName>
    <definedName name="UnitOfMeasure177">'Бланк заказа'!$W$357:$W$357</definedName>
    <definedName name="UnitOfMeasure178">'Бланк заказа'!$W$358:$W$358</definedName>
    <definedName name="UnitOfMeasure179">'Бланк заказа'!$W$359:$W$359</definedName>
    <definedName name="UnitOfMeasure18">'Бланк заказа'!$W$54:$W$54</definedName>
    <definedName name="UnitOfMeasure180">'Бланк заказа'!$W$360:$W$360</definedName>
    <definedName name="UnitOfMeasure181">'Бланк заказа'!$W$364:$W$364</definedName>
    <definedName name="UnitOfMeasure182">'Бланк заказа'!$W$365:$W$365</definedName>
    <definedName name="UnitOfMeasure183">'Бланк заказа'!$W$366:$W$366</definedName>
    <definedName name="UnitOfMeasure184">'Бланк заказа'!$W$367:$W$367</definedName>
    <definedName name="UnitOfMeasure185">'Бланк заказа'!$W$368:$W$368</definedName>
    <definedName name="UnitOfMeasure186">'Бланк заказа'!$W$369:$W$369</definedName>
    <definedName name="UnitOfMeasure187">'Бланк заказа'!$W$373:$W$373</definedName>
    <definedName name="UnitOfMeasure188">'Бланк заказа'!$W$374:$W$374</definedName>
    <definedName name="UnitOfMeasure189">'Бланк заказа'!$W$375:$W$375</definedName>
    <definedName name="UnitOfMeasure19">'Бланк заказа'!$W$55:$W$55</definedName>
    <definedName name="UnitOfMeasure190">'Бланк заказа'!$W$376:$W$376</definedName>
    <definedName name="UnitOfMeasure191">'Бланк заказа'!$W$380:$W$380</definedName>
    <definedName name="UnitOfMeasure192">'Бланк заказа'!$W$381:$W$381</definedName>
    <definedName name="UnitOfMeasure193">'Бланк заказа'!$W$382:$W$382</definedName>
    <definedName name="UnitOfMeasure194">'Бланк заказа'!$W$383:$W$383</definedName>
    <definedName name="UnitOfMeasure195">'Бланк заказа'!$W$387:$W$387</definedName>
    <definedName name="UnitOfMeasure196">'Бланк заказа'!$W$388:$W$388</definedName>
    <definedName name="UnitOfMeasure197">'Бланк заказа'!$W$389:$W$389</definedName>
    <definedName name="UnitOfMeasure198">'Бланк заказа'!$W$394:$W$394</definedName>
    <definedName name="UnitOfMeasure199">'Бланк заказа'!$W$398:$W$398</definedName>
    <definedName name="UnitOfMeasure2">'Бланк заказа'!$W$23:$W$23</definedName>
    <definedName name="UnitOfMeasure20">'Бланк заказа'!$W$56:$W$56</definedName>
    <definedName name="UnitOfMeasure200">'Бланк заказа'!$W$399:$W$399</definedName>
    <definedName name="UnitOfMeasure201">'Бланк заказа'!$W$400:$W$400</definedName>
    <definedName name="UnitOfMeasure202">'Бланк заказа'!$W$406:$W$406</definedName>
    <definedName name="UnitOfMeasure203">'Бланк заказа'!$W$407:$W$407</definedName>
    <definedName name="UnitOfMeasure204">'Бланк заказа'!$W$408:$W$408</definedName>
    <definedName name="UnitOfMeasure205">'Бланк заказа'!$W$409:$W$409</definedName>
    <definedName name="UnitOfMeasure206">'Бланк заказа'!$W$410:$W$410</definedName>
    <definedName name="UnitOfMeasure207">'Бланк заказа'!$W$411:$W$411</definedName>
    <definedName name="UnitOfMeasure208">'Бланк заказа'!$W$412:$W$412</definedName>
    <definedName name="UnitOfMeasure209">'Бланк заказа'!$W$413:$W$413</definedName>
    <definedName name="UnitOfMeasure21">'Бланк заказа'!$W$60:$W$60</definedName>
    <definedName name="UnitOfMeasure210">'Бланк заказа'!$W$414:$W$414</definedName>
    <definedName name="UnitOfMeasure211">'Бланк заказа'!$W$415:$W$415</definedName>
    <definedName name="UnitOfMeasure212">'Бланк заказа'!$W$419:$W$419</definedName>
    <definedName name="UnitOfMeasure213">'Бланк заказа'!$W$420:$W$420</definedName>
    <definedName name="UnitOfMeasure214">'Бланк заказа'!$W$424:$W$424</definedName>
    <definedName name="UnitOfMeasure215">'Бланк заказа'!$W$425:$W$425</definedName>
    <definedName name="UnitOfMeasure216">'Бланк заказа'!$W$429:$W$429</definedName>
    <definedName name="UnitOfMeasure217">'Бланк заказа'!$W$434:$W$434</definedName>
    <definedName name="UnitOfMeasure218">'Бланк заказа'!$W$435:$W$435</definedName>
    <definedName name="UnitOfMeasure219">'Бланк заказа'!$W$436:$W$436</definedName>
    <definedName name="UnitOfMeasure22">'Бланк заказа'!$W$61:$W$61</definedName>
    <definedName name="UnitOfMeasure220">'Бланк заказа'!$W$437:$W$437</definedName>
    <definedName name="UnitOfMeasure221">'Бланк заказа'!$W$438:$W$438</definedName>
    <definedName name="UnitOfMeasure222">'Бланк заказа'!$W$439:$W$439</definedName>
    <definedName name="UnitOfMeasure223">'Бланк заказа'!$W$440:$W$440</definedName>
    <definedName name="UnitOfMeasure224">'Бланк заказа'!$W$441:$W$441</definedName>
    <definedName name="UnitOfMeasure225">'Бланк заказа'!$W$445:$W$445</definedName>
    <definedName name="UnitOfMeasure226">'Бланк заказа'!$W$446:$W$446</definedName>
    <definedName name="UnitOfMeasure227">'Бланк заказа'!$W$450:$W$450</definedName>
    <definedName name="UnitOfMeasure228">'Бланк заказа'!$W$451:$W$451</definedName>
    <definedName name="UnitOfMeasure229">'Бланк заказа'!$W$452:$W$452</definedName>
    <definedName name="UnitOfMeasure23">'Бланк заказа'!$W$62:$W$62</definedName>
    <definedName name="UnitOfMeasure230">'Бланк заказа'!$W$453:$W$453</definedName>
    <definedName name="UnitOfMeasure231">'Бланк заказа'!$W$454:$W$454</definedName>
    <definedName name="UnitOfMeasure232">'Бланк заказа'!$W$458:$W$458</definedName>
    <definedName name="UnitOfMeasure233">'Бланк заказа'!$W$464:$W$464</definedName>
    <definedName name="UnitOfMeasure234">'Бланк заказа'!$W$465:$W$465</definedName>
    <definedName name="UnitOfMeasure235">'Бланк заказа'!$W$466:$W$466</definedName>
    <definedName name="UnitOfMeasure236">'Бланк заказа'!$W$467:$W$467</definedName>
    <definedName name="UnitOfMeasure237">'Бланк заказа'!$W$468:$W$468</definedName>
    <definedName name="UnitOfMeasure238">'Бланк заказа'!$W$469:$W$469</definedName>
    <definedName name="UnitOfMeasure239">'Бланк заказа'!$W$470:$W$470</definedName>
    <definedName name="UnitOfMeasure24">'Бланк заказа'!$W$63:$W$63</definedName>
    <definedName name="UnitOfMeasure240">'Бланк заказа'!$W$471:$W$471</definedName>
    <definedName name="UnitOfMeasure241">'Бланк заказа'!$W$472:$W$472</definedName>
    <definedName name="UnitOfMeasure242">'Бланк заказа'!$W$473:$W$473</definedName>
    <definedName name="UnitOfMeasure243">'Бланк заказа'!$W$474:$W$474</definedName>
    <definedName name="UnitOfMeasure244">'Бланк заказа'!$W$475:$W$475</definedName>
    <definedName name="UnitOfMeasure245">'Бланк заказа'!$W$476:$W$476</definedName>
    <definedName name="UnitOfMeasure246">'Бланк заказа'!$W$477:$W$477</definedName>
    <definedName name="UnitOfMeasure247">'Бланк заказа'!$W$478:$W$478</definedName>
    <definedName name="UnitOfMeasure248">'Бланк заказа'!$W$479:$W$479</definedName>
    <definedName name="UnitOfMeasure249">'Бланк заказа'!$W$480:$W$480</definedName>
    <definedName name="UnitOfMeasure25">'Бланк заказа'!$W$67:$W$67</definedName>
    <definedName name="UnitOfMeasure250">'Бланк заказа'!$W$484:$W$484</definedName>
    <definedName name="UnitOfMeasure251">'Бланк заказа'!$W$485:$W$485</definedName>
    <definedName name="UnitOfMeasure252">'Бланк заказа'!$W$489:$W$489</definedName>
    <definedName name="UnitOfMeasure253">'Бланк заказа'!$W$494:$W$494</definedName>
    <definedName name="UnitOfMeasure254">'Бланк заказа'!$W$498:$W$498</definedName>
    <definedName name="UnitOfMeasure255">'Бланк заказа'!$W$499:$W$499</definedName>
    <definedName name="UnitOfMeasure256">'Бланк заказа'!$W$500:$W$500</definedName>
    <definedName name="UnitOfMeasure257">'Бланк заказа'!$W$501:$W$501</definedName>
    <definedName name="UnitOfMeasure258">'Бланк заказа'!$W$502:$W$502</definedName>
    <definedName name="UnitOfMeasure259">'Бланк заказа'!$W$507:$W$507</definedName>
    <definedName name="UnitOfMeasure26">'Бланк заказа'!$W$68:$W$68</definedName>
    <definedName name="UnitOfMeasure260">'Бланк заказа'!$W$508:$W$508</definedName>
    <definedName name="UnitOfMeasure261">'Бланк заказа'!$W$509:$W$509</definedName>
    <definedName name="UnitOfMeasure262">'Бланк заказа'!$W$514:$W$514</definedName>
    <definedName name="UnitOfMeasure263">'Бланк заказа'!$W$518:$W$518</definedName>
    <definedName name="UnitOfMeasure264">'Бланк заказа'!$W$524:$W$524</definedName>
    <definedName name="UnitOfMeasure265">'Бланк заказа'!$W$525:$W$525</definedName>
    <definedName name="UnitOfMeasure266">'Бланк заказа'!$W$526:$W$526</definedName>
    <definedName name="UnitOfMeasure267">'Бланк заказа'!$W$527:$W$527</definedName>
    <definedName name="UnitOfMeasure268">'Бланк заказа'!$W$528:$W$528</definedName>
    <definedName name="UnitOfMeasure269">'Бланк заказа'!$W$529:$W$529</definedName>
    <definedName name="UnitOfMeasure27">'Бланк заказа'!$W$69:$W$69</definedName>
    <definedName name="UnitOfMeasure270">'Бланк заказа'!$W$530:$W$530</definedName>
    <definedName name="UnitOfMeasure271">'Бланк заказа'!$W$531:$W$531</definedName>
    <definedName name="UnitOfMeasure272">'Бланк заказа'!$W$532:$W$532</definedName>
    <definedName name="UnitOfMeasure273">'Бланк заказа'!$W$533:$W$533</definedName>
    <definedName name="UnitOfMeasure274">'Бланк заказа'!$W$534:$W$534</definedName>
    <definedName name="UnitOfMeasure275">'Бланк заказа'!$W$535:$W$535</definedName>
    <definedName name="UnitOfMeasure276">'Бланк заказа'!$W$536:$W$536</definedName>
    <definedName name="UnitOfMeasure277">'Бланк заказа'!$W$537:$W$537</definedName>
    <definedName name="UnitOfMeasure278">'Бланк заказа'!$W$538:$W$538</definedName>
    <definedName name="UnitOfMeasure279">'Бланк заказа'!$W$539:$W$539</definedName>
    <definedName name="UnitOfMeasure28">'Бланк заказа'!$W$70:$W$70</definedName>
    <definedName name="UnitOfMeasure280">'Бланк заказа'!$W$543:$W$543</definedName>
    <definedName name="UnitOfMeasure281">'Бланк заказа'!$W$544:$W$544</definedName>
    <definedName name="UnitOfMeasure282">'Бланк заказа'!$W$545:$W$545</definedName>
    <definedName name="UnitOfMeasure283">'Бланк заказа'!$W$546:$W$546</definedName>
    <definedName name="UnitOfMeasure284">'Бланк заказа'!$W$550:$W$550</definedName>
    <definedName name="UnitOfMeasure285">'Бланк заказа'!$W$551:$W$551</definedName>
    <definedName name="UnitOfMeasure286">'Бланк заказа'!$W$552:$W$552</definedName>
    <definedName name="UnitOfMeasure287">'Бланк заказа'!$W$553:$W$553</definedName>
    <definedName name="UnitOfMeasure288">'Бланк заказа'!$W$554:$W$554</definedName>
    <definedName name="UnitOfMeasure289">'Бланк заказа'!$W$555:$W$555</definedName>
    <definedName name="UnitOfMeasure29">'Бланк заказа'!$W$71:$W$71</definedName>
    <definedName name="UnitOfMeasure290">'Бланк заказа'!$W$556:$W$556</definedName>
    <definedName name="UnitOfMeasure291">'Бланк заказа'!$W$557:$W$557</definedName>
    <definedName name="UnitOfMeasure292">'Бланк заказа'!$W$558:$W$558</definedName>
    <definedName name="UnitOfMeasure293">'Бланк заказа'!$W$559:$W$559</definedName>
    <definedName name="UnitOfMeasure294">'Бланк заказа'!$W$560:$W$560</definedName>
    <definedName name="UnitOfMeasure295">'Бланк заказа'!$W$561:$W$561</definedName>
    <definedName name="UnitOfMeasure296">'Бланк заказа'!$W$565:$W$565</definedName>
    <definedName name="UnitOfMeasure297">'Бланк заказа'!$W$566:$W$566</definedName>
    <definedName name="UnitOfMeasure298">'Бланк заказа'!$W$567:$W$567</definedName>
    <definedName name="UnitOfMeasure299">'Бланк заказа'!$W$571:$W$571</definedName>
    <definedName name="UnitOfMeasure3">'Бланк заказа'!$W$24:$W$24</definedName>
    <definedName name="UnitOfMeasure30">'Бланк заказа'!$W$72:$W$72</definedName>
    <definedName name="UnitOfMeasure300">'Бланк заказа'!$W$572:$W$572</definedName>
    <definedName name="UnitOfMeasure301">'Бланк заказа'!$W$578:$W$578</definedName>
    <definedName name="UnitOfMeasure302">'Бланк заказа'!$W$584:$W$584</definedName>
    <definedName name="UnitOfMeasure303">'Бланк заказа'!$W$585:$W$585</definedName>
    <definedName name="UnitOfMeasure304">'Бланк заказа'!$W$586:$W$586</definedName>
    <definedName name="UnitOfMeasure305">'Бланк заказа'!$W$587:$W$587</definedName>
    <definedName name="UnitOfMeasure306">'Бланк заказа'!$W$588:$W$588</definedName>
    <definedName name="UnitOfMeasure307">'Бланк заказа'!$W$589:$W$589</definedName>
    <definedName name="UnitOfMeasure308">'Бланк заказа'!$W$590:$W$590</definedName>
    <definedName name="UnitOfMeasure309">'Бланк заказа'!$W$594:$W$594</definedName>
    <definedName name="UnitOfMeasure31">'Бланк заказа'!$W$76:$W$76</definedName>
    <definedName name="UnitOfMeasure310">'Бланк заказа'!$W$595:$W$595</definedName>
    <definedName name="UnitOfMeasure311">'Бланк заказа'!$W$596:$W$596</definedName>
    <definedName name="UnitOfMeasure312">'Бланк заказа'!$W$597:$W$597</definedName>
    <definedName name="UnitOfMeasure313">'Бланк заказа'!$W$601:$W$601</definedName>
    <definedName name="UnitOfMeasure314">'Бланк заказа'!$W$602:$W$602</definedName>
    <definedName name="UnitOfMeasure315">'Бланк заказа'!$W$603:$W$603</definedName>
    <definedName name="UnitOfMeasure316">'Бланк заказа'!$W$604:$W$604</definedName>
    <definedName name="UnitOfMeasure317">'Бланк заказа'!$W$605:$W$605</definedName>
    <definedName name="UnitOfMeasure318">'Бланк заказа'!$W$606:$W$606</definedName>
    <definedName name="UnitOfMeasure319">'Бланк заказа'!$W$607:$W$607</definedName>
    <definedName name="UnitOfMeasure32">'Бланк заказа'!$W$77:$W$77</definedName>
    <definedName name="UnitOfMeasure320">'Бланк заказа'!$W$611:$W$611</definedName>
    <definedName name="UnitOfMeasure321">'Бланк заказа'!$W$612:$W$612</definedName>
    <definedName name="UnitOfMeasure322">'Бланк заказа'!$W$613:$W$613</definedName>
    <definedName name="UnitOfMeasure323">'Бланк заказа'!$W$614:$W$614</definedName>
    <definedName name="UnitOfMeasure324">'Бланк заказа'!$W$615:$W$615</definedName>
    <definedName name="UnitOfMeasure325">'Бланк заказа'!$W$616:$W$616</definedName>
    <definedName name="UnitOfMeasure326">'Бланк заказа'!$W$617:$W$617</definedName>
    <definedName name="UnitOfMeasure327">'Бланк заказа'!$W$618:$W$618</definedName>
    <definedName name="UnitOfMeasure328">'Бланк заказа'!$W$622:$W$622</definedName>
    <definedName name="UnitOfMeasure329">'Бланк заказа'!$W$623:$W$623</definedName>
    <definedName name="UnitOfMeasure33">'Бланк заказа'!$W$78:$W$78</definedName>
    <definedName name="UnitOfMeasure330">'Бланк заказа'!$W$624:$W$624</definedName>
    <definedName name="UnitOfMeasure331">'Бланк заказа'!$W$625:$W$625</definedName>
    <definedName name="UnitOfMeasure332">'Бланк заказа'!$W$630:$W$630</definedName>
    <definedName name="UnitOfMeasure333">'Бланк заказа'!$W$631:$W$631</definedName>
    <definedName name="UnitOfMeasure334">'Бланк заказа'!$W$635:$W$635</definedName>
    <definedName name="UnitOfMeasure335">'Бланк заказа'!$W$639:$W$639</definedName>
    <definedName name="UnitOfMeasure336">'Бланк заказа'!$W$643:$W$643</definedName>
    <definedName name="UnitOfMeasure337">'Бланк заказа'!$W$644:$W$644</definedName>
    <definedName name="UnitOfMeasure34">'Бланк заказа'!$W$79:$W$79</definedName>
    <definedName name="UnitOfMeasure35">'Бланк заказа'!$W$80:$W$80</definedName>
    <definedName name="UnitOfMeasure36">'Бланк заказа'!$W$81:$W$81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заказа'!$W$25:$W$25</definedName>
    <definedName name="UnitOfMeasure40">'Бланк заказа'!$W$92:$W$92</definedName>
    <definedName name="UnitOfMeasure41">'Бланк заказа'!$W$93:$W$93</definedName>
    <definedName name="UnitOfMeasure42">'Бланк заказа'!$W$94:$W$94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заказа'!$W$102:$W$102</definedName>
    <definedName name="UnitOfMeasure48">'Бланк заказа'!$W$103:$W$103</definedName>
    <definedName name="UnitOfMeasure49">'Бланк заказа'!$W$108:$W$108</definedName>
    <definedName name="UnitOfMeasure5">'Бланк заказа'!$W$29:$W$29</definedName>
    <definedName name="UnitOfMeasure50">'Бланк заказа'!$W$109:$W$109</definedName>
    <definedName name="UnitOfMeasure51">'Бланк заказа'!$W$110:$W$110</definedName>
    <definedName name="UnitOfMeasure52">'Бланк заказа'!$W$111:$W$111</definedName>
    <definedName name="UnitOfMeasure53">'Бланк заказа'!$W$112:$W$112</definedName>
    <definedName name="UnitOfMeasure54">'Бланк заказа'!$W$116:$W$116</definedName>
    <definedName name="UnitOfMeasure55">'Бланк заказа'!$W$117:$W$117</definedName>
    <definedName name="UnitOfMeasure56">'Бланк заказа'!$W$118:$W$118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заказа'!$W$35:$W$35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заказа'!$W$128:$W$128</definedName>
    <definedName name="UnitOfMeasure64">'Бланк заказа'!$W$132:$W$132</definedName>
    <definedName name="UnitOfMeasure65">'Бланк заказа'!$W$133:$W$133</definedName>
    <definedName name="UnitOfMeasure66">'Бланк заказа'!$W$138:$W$138</definedName>
    <definedName name="UnitOfMeasure67">'Бланк заказа'!$W$139:$W$139</definedName>
    <definedName name="UnitOfMeasure68">'Бланк заказа'!$W$143:$W$143</definedName>
    <definedName name="UnitOfMeasure69">'Бланк заказа'!$W$144:$W$144</definedName>
    <definedName name="UnitOfMeasure7">'Бланк заказа'!$W$36:$W$36</definedName>
    <definedName name="UnitOfMeasure70">'Бланк заказа'!$W$148:$W$148</definedName>
    <definedName name="UnitOfMeasure71">'Бланк заказа'!$W$149:$W$149</definedName>
    <definedName name="UnitOfMeasure72">'Бланк заказа'!$W$154:$W$154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заказа'!$W$161:$W$161</definedName>
    <definedName name="UnitOfMeasure77">'Бланк заказа'!$W$162:$W$162</definedName>
    <definedName name="UnitOfMeasure78">'Бланк заказа'!$W$166:$W$166</definedName>
    <definedName name="UnitOfMeasure79">'Бланк заказа'!$W$167:$W$167</definedName>
    <definedName name="UnitOfMeasure8">'Бланк заказа'!$W$37:$W$37</definedName>
    <definedName name="UnitOfMeasure80">'Бланк заказа'!$W$173:$W$173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заказа'!$W$183:$W$183</definedName>
    <definedName name="UnitOfMeasure88">'Бланк заказа'!$W$184:$W$184</definedName>
    <definedName name="UnitOfMeasure89">'Бланк заказа'!$W$189:$W$189</definedName>
    <definedName name="UnitOfMeasure9">'Бланк заказа'!$W$38:$W$38</definedName>
    <definedName name="UnitOfMeasure90">'Бланк заказа'!$W$190:$W$190</definedName>
    <definedName name="UnitOfMeasure91">'Бланк заказа'!$W$194:$W$194</definedName>
    <definedName name="UnitOfMeasure92">'Бланк заказа'!$W$195:$W$195</definedName>
    <definedName name="UnitOfMeasure93">'Бланк заказа'!$W$199:$W$199</definedName>
    <definedName name="UnitOfMeasure94">'Бланк заказа'!$W$200:$W$200</definedName>
    <definedName name="UnitOfMeasure95">'Бланк заказа'!$W$201:$W$201</definedName>
    <definedName name="UnitOfMeasure96">'Бланк заказа'!$W$202:$W$202</definedName>
    <definedName name="UnitOfMeasure97">'Бланк заказа'!$W$203:$W$203</definedName>
    <definedName name="UnitOfMeasure98">'Бланк заказа'!$W$204:$W$204</definedName>
    <definedName name="UnitOfMeasure99">'Бланк заказа'!$W$205:$W$205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646" i="2" l="1"/>
  <c r="X645" i="2"/>
  <c r="BO644" i="2"/>
  <c r="BM644" i="2"/>
  <c r="Y644" i="2"/>
  <c r="BN644" i="2" s="1"/>
  <c r="BO643" i="2"/>
  <c r="BM643" i="2"/>
  <c r="Y643" i="2"/>
  <c r="BP643" i="2" s="1"/>
  <c r="X641" i="2"/>
  <c r="X640" i="2"/>
  <c r="BO639" i="2"/>
  <c r="BM639" i="2"/>
  <c r="Y639" i="2"/>
  <c r="Y640" i="2" s="1"/>
  <c r="X637" i="2"/>
  <c r="X636" i="2"/>
  <c r="BO635" i="2"/>
  <c r="BM635" i="2"/>
  <c r="Y635" i="2"/>
  <c r="Y636" i="2" s="1"/>
  <c r="X633" i="2"/>
  <c r="X632" i="2"/>
  <c r="BO631" i="2"/>
  <c r="BM631" i="2"/>
  <c r="Y631" i="2"/>
  <c r="BP631" i="2" s="1"/>
  <c r="BO630" i="2"/>
  <c r="BM630" i="2"/>
  <c r="Y630" i="2"/>
  <c r="X627" i="2"/>
  <c r="X626" i="2"/>
  <c r="BO625" i="2"/>
  <c r="BM625" i="2"/>
  <c r="Y625" i="2"/>
  <c r="Z625" i="2" s="1"/>
  <c r="BO624" i="2"/>
  <c r="BM624" i="2"/>
  <c r="Y624" i="2"/>
  <c r="BN624" i="2" s="1"/>
  <c r="BO623" i="2"/>
  <c r="BM623" i="2"/>
  <c r="Y623" i="2"/>
  <c r="Z623" i="2" s="1"/>
  <c r="BO622" i="2"/>
  <c r="BM622" i="2"/>
  <c r="Y622" i="2"/>
  <c r="Z622" i="2" s="1"/>
  <c r="X620" i="2"/>
  <c r="X619" i="2"/>
  <c r="BO618" i="2"/>
  <c r="BM618" i="2"/>
  <c r="Y618" i="2"/>
  <c r="BP618" i="2" s="1"/>
  <c r="BO617" i="2"/>
  <c r="BM617" i="2"/>
  <c r="Y617" i="2"/>
  <c r="BP617" i="2" s="1"/>
  <c r="BO616" i="2"/>
  <c r="BM616" i="2"/>
  <c r="Y616" i="2"/>
  <c r="BP616" i="2" s="1"/>
  <c r="BO615" i="2"/>
  <c r="BM615" i="2"/>
  <c r="Y615" i="2"/>
  <c r="BN615" i="2" s="1"/>
  <c r="BO614" i="2"/>
  <c r="BM614" i="2"/>
  <c r="Y614" i="2"/>
  <c r="BP614" i="2" s="1"/>
  <c r="BO613" i="2"/>
  <c r="BM613" i="2"/>
  <c r="Y613" i="2"/>
  <c r="BP613" i="2" s="1"/>
  <c r="BO612" i="2"/>
  <c r="BM612" i="2"/>
  <c r="Y612" i="2"/>
  <c r="BP612" i="2" s="1"/>
  <c r="BO611" i="2"/>
  <c r="BM611" i="2"/>
  <c r="Y611" i="2"/>
  <c r="BP611" i="2" s="1"/>
  <c r="X609" i="2"/>
  <c r="X608" i="2"/>
  <c r="BO607" i="2"/>
  <c r="BM607" i="2"/>
  <c r="Y607" i="2"/>
  <c r="Z607" i="2" s="1"/>
  <c r="BO606" i="2"/>
  <c r="BM606" i="2"/>
  <c r="Y606" i="2"/>
  <c r="Z606" i="2" s="1"/>
  <c r="BO605" i="2"/>
  <c r="BM605" i="2"/>
  <c r="Y605" i="2"/>
  <c r="Z605" i="2" s="1"/>
  <c r="BO604" i="2"/>
  <c r="BM604" i="2"/>
  <c r="Y604" i="2"/>
  <c r="Z604" i="2" s="1"/>
  <c r="BO603" i="2"/>
  <c r="BM603" i="2"/>
  <c r="Y603" i="2"/>
  <c r="Z603" i="2" s="1"/>
  <c r="BO602" i="2"/>
  <c r="BM602" i="2"/>
  <c r="Y602" i="2"/>
  <c r="Z602" i="2" s="1"/>
  <c r="BO601" i="2"/>
  <c r="BM601" i="2"/>
  <c r="Y601" i="2"/>
  <c r="X599" i="2"/>
  <c r="X598" i="2"/>
  <c r="BO597" i="2"/>
  <c r="BM597" i="2"/>
  <c r="Y597" i="2"/>
  <c r="BP597" i="2" s="1"/>
  <c r="BO596" i="2"/>
  <c r="BM596" i="2"/>
  <c r="Y596" i="2"/>
  <c r="Z596" i="2" s="1"/>
  <c r="BO595" i="2"/>
  <c r="BM595" i="2"/>
  <c r="Y595" i="2"/>
  <c r="BO594" i="2"/>
  <c r="BM594" i="2"/>
  <c r="Y594" i="2"/>
  <c r="X592" i="2"/>
  <c r="X591" i="2"/>
  <c r="BO590" i="2"/>
  <c r="BM590" i="2"/>
  <c r="Y590" i="2"/>
  <c r="BP590" i="2" s="1"/>
  <c r="BO589" i="2"/>
  <c r="BM589" i="2"/>
  <c r="Y589" i="2"/>
  <c r="BP589" i="2" s="1"/>
  <c r="BO588" i="2"/>
  <c r="BM588" i="2"/>
  <c r="Y588" i="2"/>
  <c r="BP588" i="2" s="1"/>
  <c r="BO587" i="2"/>
  <c r="BM587" i="2"/>
  <c r="Y587" i="2"/>
  <c r="BP587" i="2" s="1"/>
  <c r="BO586" i="2"/>
  <c r="BM586" i="2"/>
  <c r="Y586" i="2"/>
  <c r="BP586" i="2" s="1"/>
  <c r="BO585" i="2"/>
  <c r="BM585" i="2"/>
  <c r="Y585" i="2"/>
  <c r="BP585" i="2" s="1"/>
  <c r="BO584" i="2"/>
  <c r="BM584" i="2"/>
  <c r="Z584" i="2"/>
  <c r="Y584" i="2"/>
  <c r="X580" i="2"/>
  <c r="X579" i="2"/>
  <c r="BO578" i="2"/>
  <c r="BM578" i="2"/>
  <c r="Y578" i="2"/>
  <c r="Z578" i="2" s="1"/>
  <c r="Z579" i="2" s="1"/>
  <c r="X574" i="2"/>
  <c r="X573" i="2"/>
  <c r="BO572" i="2"/>
  <c r="BM572" i="2"/>
  <c r="Y572" i="2"/>
  <c r="Z572" i="2" s="1"/>
  <c r="BO571" i="2"/>
  <c r="BM571" i="2"/>
  <c r="Y571" i="2"/>
  <c r="BN571" i="2" s="1"/>
  <c r="P571" i="2"/>
  <c r="X569" i="2"/>
  <c r="X568" i="2"/>
  <c r="BO567" i="2"/>
  <c r="BM567" i="2"/>
  <c r="Y567" i="2"/>
  <c r="BN567" i="2" s="1"/>
  <c r="P567" i="2"/>
  <c r="BO566" i="2"/>
  <c r="BM566" i="2"/>
  <c r="Y566" i="2"/>
  <c r="Z566" i="2" s="1"/>
  <c r="P566" i="2"/>
  <c r="BO565" i="2"/>
  <c r="BM565" i="2"/>
  <c r="Y565" i="2"/>
  <c r="BP565" i="2" s="1"/>
  <c r="P565" i="2"/>
  <c r="X563" i="2"/>
  <c r="X562" i="2"/>
  <c r="BO561" i="2"/>
  <c r="BM561" i="2"/>
  <c r="Y561" i="2"/>
  <c r="BP561" i="2" s="1"/>
  <c r="P561" i="2"/>
  <c r="BO560" i="2"/>
  <c r="BM560" i="2"/>
  <c r="Y560" i="2"/>
  <c r="BP560" i="2" s="1"/>
  <c r="BO559" i="2"/>
  <c r="BM559" i="2"/>
  <c r="Y559" i="2"/>
  <c r="BN559" i="2" s="1"/>
  <c r="P559" i="2"/>
  <c r="BO558" i="2"/>
  <c r="BM558" i="2"/>
  <c r="Y558" i="2"/>
  <c r="Z558" i="2" s="1"/>
  <c r="BO557" i="2"/>
  <c r="BM557" i="2"/>
  <c r="Y557" i="2"/>
  <c r="Z557" i="2" s="1"/>
  <c r="P557" i="2"/>
  <c r="BO556" i="2"/>
  <c r="BM556" i="2"/>
  <c r="Y556" i="2"/>
  <c r="BP556" i="2" s="1"/>
  <c r="BP555" i="2"/>
  <c r="BO555" i="2"/>
  <c r="BN555" i="2"/>
  <c r="BM555" i="2"/>
  <c r="Z555" i="2"/>
  <c r="Y555" i="2"/>
  <c r="P555" i="2"/>
  <c r="BO554" i="2"/>
  <c r="BM554" i="2"/>
  <c r="Y554" i="2"/>
  <c r="BN554" i="2" s="1"/>
  <c r="BP553" i="2"/>
  <c r="BO553" i="2"/>
  <c r="BM553" i="2"/>
  <c r="Y553" i="2"/>
  <c r="BN553" i="2" s="1"/>
  <c r="BO552" i="2"/>
  <c r="BM552" i="2"/>
  <c r="Y552" i="2"/>
  <c r="BN552" i="2" s="1"/>
  <c r="BO551" i="2"/>
  <c r="BM551" i="2"/>
  <c r="Y551" i="2"/>
  <c r="BN551" i="2" s="1"/>
  <c r="BO550" i="2"/>
  <c r="BM550" i="2"/>
  <c r="Y550" i="2"/>
  <c r="BN550" i="2" s="1"/>
  <c r="X548" i="2"/>
  <c r="X547" i="2"/>
  <c r="BO546" i="2"/>
  <c r="BM546" i="2"/>
  <c r="Y546" i="2"/>
  <c r="BP546" i="2" s="1"/>
  <c r="BO545" i="2"/>
  <c r="BM545" i="2"/>
  <c r="Y545" i="2"/>
  <c r="BP545" i="2" s="1"/>
  <c r="BO544" i="2"/>
  <c r="BM544" i="2"/>
  <c r="Y544" i="2"/>
  <c r="BP544" i="2" s="1"/>
  <c r="P544" i="2"/>
  <c r="BO543" i="2"/>
  <c r="BM543" i="2"/>
  <c r="Y543" i="2"/>
  <c r="BN543" i="2" s="1"/>
  <c r="X541" i="2"/>
  <c r="X540" i="2"/>
  <c r="BO539" i="2"/>
  <c r="BM539" i="2"/>
  <c r="Y539" i="2"/>
  <c r="BP539" i="2" s="1"/>
  <c r="BO538" i="2"/>
  <c r="BM538" i="2"/>
  <c r="Y538" i="2"/>
  <c r="BP538" i="2" s="1"/>
  <c r="BP537" i="2"/>
  <c r="BO537" i="2"/>
  <c r="BN537" i="2"/>
  <c r="BM537" i="2"/>
  <c r="Z537" i="2"/>
  <c r="Y537" i="2"/>
  <c r="BO536" i="2"/>
  <c r="BM536" i="2"/>
  <c r="Y536" i="2"/>
  <c r="BP536" i="2" s="1"/>
  <c r="P536" i="2"/>
  <c r="BO535" i="2"/>
  <c r="BM535" i="2"/>
  <c r="Y535" i="2"/>
  <c r="Z535" i="2" s="1"/>
  <c r="P535" i="2"/>
  <c r="BO534" i="2"/>
  <c r="BM534" i="2"/>
  <c r="Y534" i="2"/>
  <c r="BP534" i="2" s="1"/>
  <c r="BO533" i="2"/>
  <c r="BM533" i="2"/>
  <c r="Y533" i="2"/>
  <c r="Z533" i="2" s="1"/>
  <c r="P533" i="2"/>
  <c r="BO532" i="2"/>
  <c r="BM532" i="2"/>
  <c r="Y532" i="2"/>
  <c r="BP532" i="2" s="1"/>
  <c r="P532" i="2"/>
  <c r="BO531" i="2"/>
  <c r="BM531" i="2"/>
  <c r="Y531" i="2"/>
  <c r="BP531" i="2" s="1"/>
  <c r="P531" i="2"/>
  <c r="BO530" i="2"/>
  <c r="BM530" i="2"/>
  <c r="Y530" i="2"/>
  <c r="BN530" i="2" s="1"/>
  <c r="P530" i="2"/>
  <c r="BO529" i="2"/>
  <c r="BM529" i="2"/>
  <c r="Y529" i="2"/>
  <c r="BP529" i="2" s="1"/>
  <c r="P529" i="2"/>
  <c r="BO528" i="2"/>
  <c r="BM528" i="2"/>
  <c r="Y528" i="2"/>
  <c r="Z528" i="2" s="1"/>
  <c r="P528" i="2"/>
  <c r="BO527" i="2"/>
  <c r="BM527" i="2"/>
  <c r="Y527" i="2"/>
  <c r="BP527" i="2" s="1"/>
  <c r="P527" i="2"/>
  <c r="BO526" i="2"/>
  <c r="BM526" i="2"/>
  <c r="Y526" i="2"/>
  <c r="BP526" i="2" s="1"/>
  <c r="P526" i="2"/>
  <c r="BO525" i="2"/>
  <c r="BM525" i="2"/>
  <c r="Y525" i="2"/>
  <c r="BP525" i="2" s="1"/>
  <c r="P525" i="2"/>
  <c r="BO524" i="2"/>
  <c r="BM524" i="2"/>
  <c r="Y524" i="2"/>
  <c r="X520" i="2"/>
  <c r="Y519" i="2"/>
  <c r="X519" i="2"/>
  <c r="BO518" i="2"/>
  <c r="BM518" i="2"/>
  <c r="Y518" i="2"/>
  <c r="Y520" i="2" s="1"/>
  <c r="P518" i="2"/>
  <c r="X516" i="2"/>
  <c r="X515" i="2"/>
  <c r="BO514" i="2"/>
  <c r="BM514" i="2"/>
  <c r="Y514" i="2"/>
  <c r="AC657" i="2" s="1"/>
  <c r="P514" i="2"/>
  <c r="X511" i="2"/>
  <c r="X510" i="2"/>
  <c r="BO509" i="2"/>
  <c r="BM509" i="2"/>
  <c r="Y509" i="2"/>
  <c r="BP509" i="2" s="1"/>
  <c r="BO508" i="2"/>
  <c r="BM508" i="2"/>
  <c r="Y508" i="2"/>
  <c r="BP508" i="2" s="1"/>
  <c r="BP507" i="2"/>
  <c r="BO507" i="2"/>
  <c r="BN507" i="2"/>
  <c r="BM507" i="2"/>
  <c r="Z507" i="2"/>
  <c r="Y507" i="2"/>
  <c r="P507" i="2"/>
  <c r="X504" i="2"/>
  <c r="X503" i="2"/>
  <c r="BO502" i="2"/>
  <c r="BM502" i="2"/>
  <c r="Y502" i="2"/>
  <c r="BP502" i="2" s="1"/>
  <c r="P502" i="2"/>
  <c r="BO501" i="2"/>
  <c r="BM501" i="2"/>
  <c r="Y501" i="2"/>
  <c r="BP501" i="2" s="1"/>
  <c r="P501" i="2"/>
  <c r="BO500" i="2"/>
  <c r="BM500" i="2"/>
  <c r="Y500" i="2"/>
  <c r="BP500" i="2" s="1"/>
  <c r="BO499" i="2"/>
  <c r="BM499" i="2"/>
  <c r="Y499" i="2"/>
  <c r="BP499" i="2" s="1"/>
  <c r="P499" i="2"/>
  <c r="BO498" i="2"/>
  <c r="BM498" i="2"/>
  <c r="Y498" i="2"/>
  <c r="BN498" i="2" s="1"/>
  <c r="X496" i="2"/>
  <c r="X495" i="2"/>
  <c r="BO494" i="2"/>
  <c r="BM494" i="2"/>
  <c r="Y494" i="2"/>
  <c r="BP494" i="2" s="1"/>
  <c r="P494" i="2"/>
  <c r="X491" i="2"/>
  <c r="X490" i="2"/>
  <c r="BO489" i="2"/>
  <c r="BM489" i="2"/>
  <c r="Y489" i="2"/>
  <c r="BP489" i="2" s="1"/>
  <c r="P489" i="2"/>
  <c r="X487" i="2"/>
  <c r="X486" i="2"/>
  <c r="BO485" i="2"/>
  <c r="BM485" i="2"/>
  <c r="Y485" i="2"/>
  <c r="BP485" i="2" s="1"/>
  <c r="P485" i="2"/>
  <c r="BO484" i="2"/>
  <c r="BM484" i="2"/>
  <c r="Y484" i="2"/>
  <c r="BN484" i="2" s="1"/>
  <c r="P484" i="2"/>
  <c r="X482" i="2"/>
  <c r="X481" i="2"/>
  <c r="BO480" i="2"/>
  <c r="BM480" i="2"/>
  <c r="Y480" i="2"/>
  <c r="BN480" i="2" s="1"/>
  <c r="BO479" i="2"/>
  <c r="BM479" i="2"/>
  <c r="Y479" i="2"/>
  <c r="BN479" i="2" s="1"/>
  <c r="P479" i="2"/>
  <c r="BO478" i="2"/>
  <c r="BM478" i="2"/>
  <c r="Y478" i="2"/>
  <c r="Z478" i="2" s="1"/>
  <c r="P478" i="2"/>
  <c r="BO477" i="2"/>
  <c r="BM477" i="2"/>
  <c r="Y477" i="2"/>
  <c r="BP477" i="2" s="1"/>
  <c r="P477" i="2"/>
  <c r="BO476" i="2"/>
  <c r="BM476" i="2"/>
  <c r="Y476" i="2"/>
  <c r="P476" i="2"/>
  <c r="BO475" i="2"/>
  <c r="BM475" i="2"/>
  <c r="Y475" i="2"/>
  <c r="BN475" i="2" s="1"/>
  <c r="BO474" i="2"/>
  <c r="BM474" i="2"/>
  <c r="Y474" i="2"/>
  <c r="Z474" i="2" s="1"/>
  <c r="P474" i="2"/>
  <c r="BO473" i="2"/>
  <c r="BM473" i="2"/>
  <c r="Y473" i="2"/>
  <c r="BN473" i="2" s="1"/>
  <c r="P473" i="2"/>
  <c r="BO472" i="2"/>
  <c r="BM472" i="2"/>
  <c r="Y472" i="2"/>
  <c r="BN472" i="2" s="1"/>
  <c r="P472" i="2"/>
  <c r="BO471" i="2"/>
  <c r="BM471" i="2"/>
  <c r="Y471" i="2"/>
  <c r="Z471" i="2" s="1"/>
  <c r="BO470" i="2"/>
  <c r="BM470" i="2"/>
  <c r="Y470" i="2"/>
  <c r="BP470" i="2" s="1"/>
  <c r="P470" i="2"/>
  <c r="BO469" i="2"/>
  <c r="BM469" i="2"/>
  <c r="Y469" i="2"/>
  <c r="BP469" i="2" s="1"/>
  <c r="P469" i="2"/>
  <c r="BO468" i="2"/>
  <c r="BM468" i="2"/>
  <c r="Y468" i="2"/>
  <c r="BP468" i="2" s="1"/>
  <c r="BP467" i="2"/>
  <c r="BO467" i="2"/>
  <c r="BN467" i="2"/>
  <c r="BM467" i="2"/>
  <c r="Z467" i="2"/>
  <c r="Y467" i="2"/>
  <c r="P467" i="2"/>
  <c r="BO466" i="2"/>
  <c r="BM466" i="2"/>
  <c r="Y466" i="2"/>
  <c r="BO465" i="2"/>
  <c r="BM465" i="2"/>
  <c r="Y465" i="2"/>
  <c r="Z465" i="2" s="1"/>
  <c r="BO464" i="2"/>
  <c r="BM464" i="2"/>
  <c r="Y464" i="2"/>
  <c r="BP464" i="2" s="1"/>
  <c r="X460" i="2"/>
  <c r="X459" i="2"/>
  <c r="BO458" i="2"/>
  <c r="BM458" i="2"/>
  <c r="Y458" i="2"/>
  <c r="X456" i="2"/>
  <c r="X455" i="2"/>
  <c r="BO454" i="2"/>
  <c r="BM454" i="2"/>
  <c r="Y454" i="2"/>
  <c r="BP454" i="2" s="1"/>
  <c r="P454" i="2"/>
  <c r="BO453" i="2"/>
  <c r="BM453" i="2"/>
  <c r="Y453" i="2"/>
  <c r="BP453" i="2" s="1"/>
  <c r="P453" i="2"/>
  <c r="BO452" i="2"/>
  <c r="BM452" i="2"/>
  <c r="Y452" i="2"/>
  <c r="P452" i="2"/>
  <c r="BO451" i="2"/>
  <c r="BM451" i="2"/>
  <c r="Y451" i="2"/>
  <c r="BP451" i="2" s="1"/>
  <c r="BO450" i="2"/>
  <c r="BM450" i="2"/>
  <c r="Y450" i="2"/>
  <c r="X448" i="2"/>
  <c r="X447" i="2"/>
  <c r="BO446" i="2"/>
  <c r="BM446" i="2"/>
  <c r="Y446" i="2"/>
  <c r="P446" i="2"/>
  <c r="BO445" i="2"/>
  <c r="BM445" i="2"/>
  <c r="Y445" i="2"/>
  <c r="Y448" i="2" s="1"/>
  <c r="P445" i="2"/>
  <c r="X443" i="2"/>
  <c r="X442" i="2"/>
  <c r="BO441" i="2"/>
  <c r="BM441" i="2"/>
  <c r="Y441" i="2"/>
  <c r="BP441" i="2" s="1"/>
  <c r="P441" i="2"/>
  <c r="BO440" i="2"/>
  <c r="BM440" i="2"/>
  <c r="Y440" i="2"/>
  <c r="P440" i="2"/>
  <c r="BO439" i="2"/>
  <c r="BM439" i="2"/>
  <c r="Y439" i="2"/>
  <c r="BP439" i="2" s="1"/>
  <c r="P439" i="2"/>
  <c r="BO438" i="2"/>
  <c r="BM438" i="2"/>
  <c r="Y438" i="2"/>
  <c r="P438" i="2"/>
  <c r="BO437" i="2"/>
  <c r="BM437" i="2"/>
  <c r="Y437" i="2"/>
  <c r="BP437" i="2" s="1"/>
  <c r="P437" i="2"/>
  <c r="BO436" i="2"/>
  <c r="BM436" i="2"/>
  <c r="Y436" i="2"/>
  <c r="Z436" i="2" s="1"/>
  <c r="P436" i="2"/>
  <c r="BO435" i="2"/>
  <c r="BM435" i="2"/>
  <c r="Y435" i="2"/>
  <c r="BP435" i="2" s="1"/>
  <c r="P435" i="2"/>
  <c r="BO434" i="2"/>
  <c r="BM434" i="2"/>
  <c r="Y434" i="2"/>
  <c r="BN434" i="2" s="1"/>
  <c r="P434" i="2"/>
  <c r="X431" i="2"/>
  <c r="X430" i="2"/>
  <c r="BO429" i="2"/>
  <c r="BM429" i="2"/>
  <c r="Y429" i="2"/>
  <c r="BN429" i="2" s="1"/>
  <c r="X427" i="2"/>
  <c r="X426" i="2"/>
  <c r="BO425" i="2"/>
  <c r="BM425" i="2"/>
  <c r="Y425" i="2"/>
  <c r="BP425" i="2" s="1"/>
  <c r="BO424" i="2"/>
  <c r="BM424" i="2"/>
  <c r="Y424" i="2"/>
  <c r="BP424" i="2" s="1"/>
  <c r="X422" i="2"/>
  <c r="X421" i="2"/>
  <c r="BO420" i="2"/>
  <c r="BM420" i="2"/>
  <c r="Y420" i="2"/>
  <c r="BN420" i="2" s="1"/>
  <c r="P420" i="2"/>
  <c r="BO419" i="2"/>
  <c r="BM419" i="2"/>
  <c r="Y419" i="2"/>
  <c r="Y422" i="2" s="1"/>
  <c r="P419" i="2"/>
  <c r="X417" i="2"/>
  <c r="X416" i="2"/>
  <c r="BO415" i="2"/>
  <c r="BM415" i="2"/>
  <c r="Y415" i="2"/>
  <c r="BP415" i="2" s="1"/>
  <c r="P415" i="2"/>
  <c r="BO414" i="2"/>
  <c r="BM414" i="2"/>
  <c r="Y414" i="2"/>
  <c r="BN414" i="2" s="1"/>
  <c r="P414" i="2"/>
  <c r="BO413" i="2"/>
  <c r="BM413" i="2"/>
  <c r="Y413" i="2"/>
  <c r="BP413" i="2" s="1"/>
  <c r="P413" i="2"/>
  <c r="BO412" i="2"/>
  <c r="BM412" i="2"/>
  <c r="Y412" i="2"/>
  <c r="BP412" i="2" s="1"/>
  <c r="P412" i="2"/>
  <c r="BO411" i="2"/>
  <c r="BM411" i="2"/>
  <c r="Y411" i="2"/>
  <c r="BP411" i="2" s="1"/>
  <c r="P411" i="2"/>
  <c r="BO410" i="2"/>
  <c r="BM410" i="2"/>
  <c r="Y410" i="2"/>
  <c r="Z410" i="2" s="1"/>
  <c r="P410" i="2"/>
  <c r="BO409" i="2"/>
  <c r="BM409" i="2"/>
  <c r="Y409" i="2"/>
  <c r="BN409" i="2" s="1"/>
  <c r="P409" i="2"/>
  <c r="BO408" i="2"/>
  <c r="BM408" i="2"/>
  <c r="Y408" i="2"/>
  <c r="BN408" i="2" s="1"/>
  <c r="P408" i="2"/>
  <c r="BO407" i="2"/>
  <c r="BM407" i="2"/>
  <c r="Y407" i="2"/>
  <c r="Z407" i="2" s="1"/>
  <c r="P407" i="2"/>
  <c r="BO406" i="2"/>
  <c r="BM406" i="2"/>
  <c r="Y406" i="2"/>
  <c r="BP406" i="2" s="1"/>
  <c r="P406" i="2"/>
  <c r="X402" i="2"/>
  <c r="X401" i="2"/>
  <c r="BO400" i="2"/>
  <c r="BM400" i="2"/>
  <c r="Y400" i="2"/>
  <c r="BP400" i="2" s="1"/>
  <c r="P400" i="2"/>
  <c r="BO399" i="2"/>
  <c r="BM399" i="2"/>
  <c r="Y399" i="2"/>
  <c r="BP399" i="2" s="1"/>
  <c r="P399" i="2"/>
  <c r="BO398" i="2"/>
  <c r="BM398" i="2"/>
  <c r="Y398" i="2"/>
  <c r="BN398" i="2" s="1"/>
  <c r="P398" i="2"/>
  <c r="X396" i="2"/>
  <c r="X395" i="2"/>
  <c r="BO394" i="2"/>
  <c r="BM394" i="2"/>
  <c r="Y394" i="2"/>
  <c r="Y396" i="2" s="1"/>
  <c r="P394" i="2"/>
  <c r="X391" i="2"/>
  <c r="X390" i="2"/>
  <c r="BO389" i="2"/>
  <c r="BM389" i="2"/>
  <c r="Y389" i="2"/>
  <c r="BN389" i="2" s="1"/>
  <c r="P389" i="2"/>
  <c r="BO388" i="2"/>
  <c r="BM388" i="2"/>
  <c r="Y388" i="2"/>
  <c r="P388" i="2"/>
  <c r="BO387" i="2"/>
  <c r="BM387" i="2"/>
  <c r="Y387" i="2"/>
  <c r="BP387" i="2" s="1"/>
  <c r="P387" i="2"/>
  <c r="X385" i="2"/>
  <c r="X384" i="2"/>
  <c r="BO383" i="2"/>
  <c r="BM383" i="2"/>
  <c r="Y383" i="2"/>
  <c r="BN383" i="2" s="1"/>
  <c r="P383" i="2"/>
  <c r="BO382" i="2"/>
  <c r="BM382" i="2"/>
  <c r="Y382" i="2"/>
  <c r="BP382" i="2" s="1"/>
  <c r="P382" i="2"/>
  <c r="BO381" i="2"/>
  <c r="BM381" i="2"/>
  <c r="Y381" i="2"/>
  <c r="BP381" i="2" s="1"/>
  <c r="BO380" i="2"/>
  <c r="BM380" i="2"/>
  <c r="Y380" i="2"/>
  <c r="BN380" i="2" s="1"/>
  <c r="X378" i="2"/>
  <c r="X377" i="2"/>
  <c r="BO376" i="2"/>
  <c r="BM376" i="2"/>
  <c r="Y376" i="2"/>
  <c r="BP376" i="2" s="1"/>
  <c r="P376" i="2"/>
  <c r="BO375" i="2"/>
  <c r="BM375" i="2"/>
  <c r="Y375" i="2"/>
  <c r="BP375" i="2" s="1"/>
  <c r="BO374" i="2"/>
  <c r="BM374" i="2"/>
  <c r="Y374" i="2"/>
  <c r="P374" i="2"/>
  <c r="BO373" i="2"/>
  <c r="BM373" i="2"/>
  <c r="Y373" i="2"/>
  <c r="BP373" i="2" s="1"/>
  <c r="P373" i="2"/>
  <c r="X371" i="2"/>
  <c r="X370" i="2"/>
  <c r="BO369" i="2"/>
  <c r="BM369" i="2"/>
  <c r="Y369" i="2"/>
  <c r="BP369" i="2" s="1"/>
  <c r="P369" i="2"/>
  <c r="BO368" i="2"/>
  <c r="BM368" i="2"/>
  <c r="Y368" i="2"/>
  <c r="P368" i="2"/>
  <c r="BO367" i="2"/>
  <c r="BM367" i="2"/>
  <c r="Y367" i="2"/>
  <c r="P367" i="2"/>
  <c r="BO366" i="2"/>
  <c r="BM366" i="2"/>
  <c r="Y366" i="2"/>
  <c r="BP366" i="2" s="1"/>
  <c r="P366" i="2"/>
  <c r="BO365" i="2"/>
  <c r="BM365" i="2"/>
  <c r="Y365" i="2"/>
  <c r="BP365" i="2" s="1"/>
  <c r="P365" i="2"/>
  <c r="BO364" i="2"/>
  <c r="BM364" i="2"/>
  <c r="Y364" i="2"/>
  <c r="BP364" i="2" s="1"/>
  <c r="P364" i="2"/>
  <c r="X362" i="2"/>
  <c r="X361" i="2"/>
  <c r="BO360" i="2"/>
  <c r="BM360" i="2"/>
  <c r="Y360" i="2"/>
  <c r="Z360" i="2" s="1"/>
  <c r="P360" i="2"/>
  <c r="BO359" i="2"/>
  <c r="BM359" i="2"/>
  <c r="Y359" i="2"/>
  <c r="BP359" i="2" s="1"/>
  <c r="P359" i="2"/>
  <c r="BO358" i="2"/>
  <c r="BM358" i="2"/>
  <c r="Y358" i="2"/>
  <c r="Z358" i="2" s="1"/>
  <c r="P358" i="2"/>
  <c r="BO357" i="2"/>
  <c r="BM357" i="2"/>
  <c r="Y357" i="2"/>
  <c r="Y362" i="2" s="1"/>
  <c r="P357" i="2"/>
  <c r="X355" i="2"/>
  <c r="X354" i="2"/>
  <c r="BP353" i="2"/>
  <c r="BO353" i="2"/>
  <c r="BN353" i="2"/>
  <c r="BM353" i="2"/>
  <c r="Z353" i="2"/>
  <c r="Y353" i="2"/>
  <c r="P353" i="2"/>
  <c r="BO352" i="2"/>
  <c r="BM352" i="2"/>
  <c r="Y352" i="2"/>
  <c r="BN352" i="2" s="1"/>
  <c r="P352" i="2"/>
  <c r="BO351" i="2"/>
  <c r="BM351" i="2"/>
  <c r="Y351" i="2"/>
  <c r="Z351" i="2" s="1"/>
  <c r="P351" i="2"/>
  <c r="BO350" i="2"/>
  <c r="BM350" i="2"/>
  <c r="Y350" i="2"/>
  <c r="P350" i="2"/>
  <c r="BO349" i="2"/>
  <c r="BM349" i="2"/>
  <c r="Y349" i="2"/>
  <c r="BP349" i="2" s="1"/>
  <c r="P349" i="2"/>
  <c r="BO348" i="2"/>
  <c r="BM348" i="2"/>
  <c r="Y348" i="2"/>
  <c r="P348" i="2"/>
  <c r="BO347" i="2"/>
  <c r="BM347" i="2"/>
  <c r="Y347" i="2"/>
  <c r="P347" i="2"/>
  <c r="BO346" i="2"/>
  <c r="BM346" i="2"/>
  <c r="Y346" i="2"/>
  <c r="BP346" i="2" s="1"/>
  <c r="P346" i="2"/>
  <c r="X343" i="2"/>
  <c r="X342" i="2"/>
  <c r="BO341" i="2"/>
  <c r="BM341" i="2"/>
  <c r="Y341" i="2"/>
  <c r="U657" i="2" s="1"/>
  <c r="P341" i="2"/>
  <c r="X338" i="2"/>
  <c r="X337" i="2"/>
  <c r="BO336" i="2"/>
  <c r="BM336" i="2"/>
  <c r="Y336" i="2"/>
  <c r="Y338" i="2" s="1"/>
  <c r="P336" i="2"/>
  <c r="X334" i="2"/>
  <c r="X333" i="2"/>
  <c r="BO332" i="2"/>
  <c r="BM332" i="2"/>
  <c r="Y332" i="2"/>
  <c r="BP332" i="2" s="1"/>
  <c r="P332" i="2"/>
  <c r="BO331" i="2"/>
  <c r="BM331" i="2"/>
  <c r="Y331" i="2"/>
  <c r="BN331" i="2" s="1"/>
  <c r="P331" i="2"/>
  <c r="X329" i="2"/>
  <c r="X328" i="2"/>
  <c r="BO327" i="2"/>
  <c r="BM327" i="2"/>
  <c r="Y327" i="2"/>
  <c r="BN327" i="2" s="1"/>
  <c r="P327" i="2"/>
  <c r="BO326" i="2"/>
  <c r="BM326" i="2"/>
  <c r="Y326" i="2"/>
  <c r="Z326" i="2" s="1"/>
  <c r="P326" i="2"/>
  <c r="X323" i="2"/>
  <c r="X322" i="2"/>
  <c r="BO321" i="2"/>
  <c r="BM321" i="2"/>
  <c r="Y321" i="2"/>
  <c r="P321" i="2"/>
  <c r="BO320" i="2"/>
  <c r="BM320" i="2"/>
  <c r="Y320" i="2"/>
  <c r="Y323" i="2" s="1"/>
  <c r="P320" i="2"/>
  <c r="X318" i="2"/>
  <c r="X317" i="2"/>
  <c r="BO316" i="2"/>
  <c r="BM316" i="2"/>
  <c r="Y316" i="2"/>
  <c r="BP316" i="2" s="1"/>
  <c r="P316" i="2"/>
  <c r="X314" i="2"/>
  <c r="X313" i="2"/>
  <c r="BO312" i="2"/>
  <c r="BM312" i="2"/>
  <c r="Y312" i="2"/>
  <c r="S657" i="2" s="1"/>
  <c r="P312" i="2"/>
  <c r="X309" i="2"/>
  <c r="X308" i="2"/>
  <c r="BO307" i="2"/>
  <c r="BM307" i="2"/>
  <c r="Y307" i="2"/>
  <c r="BP307" i="2" s="1"/>
  <c r="P307" i="2"/>
  <c r="BO306" i="2"/>
  <c r="BM306" i="2"/>
  <c r="Y306" i="2"/>
  <c r="Z306" i="2" s="1"/>
  <c r="P306" i="2"/>
  <c r="X304" i="2"/>
  <c r="X303" i="2"/>
  <c r="BO302" i="2"/>
  <c r="BM302" i="2"/>
  <c r="Y302" i="2"/>
  <c r="Z302" i="2" s="1"/>
  <c r="Z303" i="2" s="1"/>
  <c r="P302" i="2"/>
  <c r="X300" i="2"/>
  <c r="X299" i="2"/>
  <c r="BO298" i="2"/>
  <c r="BM298" i="2"/>
  <c r="Y298" i="2"/>
  <c r="R657" i="2" s="1"/>
  <c r="P298" i="2"/>
  <c r="X295" i="2"/>
  <c r="X294" i="2"/>
  <c r="BO293" i="2"/>
  <c r="BM293" i="2"/>
  <c r="Y293" i="2"/>
  <c r="Z293" i="2" s="1"/>
  <c r="P293" i="2"/>
  <c r="BO292" i="2"/>
  <c r="BM292" i="2"/>
  <c r="Y292" i="2"/>
  <c r="BN292" i="2" s="1"/>
  <c r="P292" i="2"/>
  <c r="BO291" i="2"/>
  <c r="BM291" i="2"/>
  <c r="Y291" i="2"/>
  <c r="BN291" i="2" s="1"/>
  <c r="P291" i="2"/>
  <c r="BO290" i="2"/>
  <c r="BM290" i="2"/>
  <c r="Y290" i="2"/>
  <c r="Z290" i="2" s="1"/>
  <c r="P290" i="2"/>
  <c r="BO289" i="2"/>
  <c r="BM289" i="2"/>
  <c r="Y289" i="2"/>
  <c r="P289" i="2"/>
  <c r="BO288" i="2"/>
  <c r="BM288" i="2"/>
  <c r="Y288" i="2"/>
  <c r="BP288" i="2" s="1"/>
  <c r="P288" i="2"/>
  <c r="X285" i="2"/>
  <c r="X284" i="2"/>
  <c r="BO283" i="2"/>
  <c r="BM283" i="2"/>
  <c r="Y283" i="2"/>
  <c r="BP283" i="2" s="1"/>
  <c r="P283" i="2"/>
  <c r="BO282" i="2"/>
  <c r="BM282" i="2"/>
  <c r="Y282" i="2"/>
  <c r="P282" i="2"/>
  <c r="BO281" i="2"/>
  <c r="BM281" i="2"/>
  <c r="Y281" i="2"/>
  <c r="P281" i="2"/>
  <c r="X278" i="2"/>
  <c r="X277" i="2"/>
  <c r="BO276" i="2"/>
  <c r="BM276" i="2"/>
  <c r="Y276" i="2"/>
  <c r="P276" i="2"/>
  <c r="X273" i="2"/>
  <c r="X272" i="2"/>
  <c r="BO271" i="2"/>
  <c r="BM271" i="2"/>
  <c r="Y271" i="2"/>
  <c r="P271" i="2"/>
  <c r="BO270" i="2"/>
  <c r="BM270" i="2"/>
  <c r="Y270" i="2"/>
  <c r="BP270" i="2" s="1"/>
  <c r="P270" i="2"/>
  <c r="BO269" i="2"/>
  <c r="BM269" i="2"/>
  <c r="Y269" i="2"/>
  <c r="BN269" i="2" s="1"/>
  <c r="P269" i="2"/>
  <c r="BP268" i="2"/>
  <c r="BO268" i="2"/>
  <c r="BM268" i="2"/>
  <c r="Y268" i="2"/>
  <c r="BN268" i="2" s="1"/>
  <c r="P268" i="2"/>
  <c r="BO267" i="2"/>
  <c r="BM267" i="2"/>
  <c r="Y267" i="2"/>
  <c r="BP267" i="2" s="1"/>
  <c r="P267" i="2"/>
  <c r="BO266" i="2"/>
  <c r="BM266" i="2"/>
  <c r="Y266" i="2"/>
  <c r="Z266" i="2" s="1"/>
  <c r="P266" i="2"/>
  <c r="BO265" i="2"/>
  <c r="BM265" i="2"/>
  <c r="Y265" i="2"/>
  <c r="BP265" i="2" s="1"/>
  <c r="P265" i="2"/>
  <c r="BO264" i="2"/>
  <c r="BM264" i="2"/>
  <c r="Y264" i="2"/>
  <c r="BN264" i="2" s="1"/>
  <c r="P264" i="2"/>
  <c r="BO263" i="2"/>
  <c r="BM263" i="2"/>
  <c r="Y263" i="2"/>
  <c r="P263" i="2"/>
  <c r="X260" i="2"/>
  <c r="X259" i="2"/>
  <c r="BO258" i="2"/>
  <c r="BM258" i="2"/>
  <c r="Y258" i="2"/>
  <c r="P258" i="2"/>
  <c r="X256" i="2"/>
  <c r="X255" i="2"/>
  <c r="BO254" i="2"/>
  <c r="BM254" i="2"/>
  <c r="Y254" i="2"/>
  <c r="Z254" i="2" s="1"/>
  <c r="P254" i="2"/>
  <c r="BO253" i="2"/>
  <c r="BM253" i="2"/>
  <c r="Y253" i="2"/>
  <c r="BP253" i="2" s="1"/>
  <c r="P253" i="2"/>
  <c r="BO252" i="2"/>
  <c r="BM252" i="2"/>
  <c r="Y252" i="2"/>
  <c r="BP252" i="2" s="1"/>
  <c r="P252" i="2"/>
  <c r="BO251" i="2"/>
  <c r="BM251" i="2"/>
  <c r="Y251" i="2"/>
  <c r="BP251" i="2" s="1"/>
  <c r="P251" i="2"/>
  <c r="BO250" i="2"/>
  <c r="BM250" i="2"/>
  <c r="Y250" i="2"/>
  <c r="P250" i="2"/>
  <c r="BO249" i="2"/>
  <c r="BM249" i="2"/>
  <c r="Y249" i="2"/>
  <c r="BP249" i="2" s="1"/>
  <c r="P249" i="2"/>
  <c r="BO248" i="2"/>
  <c r="BM248" i="2"/>
  <c r="Y248" i="2"/>
  <c r="BN248" i="2" s="1"/>
  <c r="P248" i="2"/>
  <c r="BO247" i="2"/>
  <c r="BM247" i="2"/>
  <c r="Y247" i="2"/>
  <c r="Z247" i="2" s="1"/>
  <c r="P247" i="2"/>
  <c r="BO246" i="2"/>
  <c r="BM246" i="2"/>
  <c r="Y246" i="2"/>
  <c r="P246" i="2"/>
  <c r="X243" i="2"/>
  <c r="X242" i="2"/>
  <c r="BO241" i="2"/>
  <c r="BM241" i="2"/>
  <c r="Y241" i="2"/>
  <c r="BP241" i="2" s="1"/>
  <c r="P241" i="2"/>
  <c r="BO240" i="2"/>
  <c r="BM240" i="2"/>
  <c r="Y240" i="2"/>
  <c r="BP240" i="2" s="1"/>
  <c r="P240" i="2"/>
  <c r="BO239" i="2"/>
  <c r="BM239" i="2"/>
  <c r="Y239" i="2"/>
  <c r="BP239" i="2" s="1"/>
  <c r="P239" i="2"/>
  <c r="BO238" i="2"/>
  <c r="BM238" i="2"/>
  <c r="Y238" i="2"/>
  <c r="BN238" i="2" s="1"/>
  <c r="P238" i="2"/>
  <c r="BO237" i="2"/>
  <c r="BM237" i="2"/>
  <c r="Y237" i="2"/>
  <c r="Z237" i="2" s="1"/>
  <c r="P237" i="2"/>
  <c r="BO236" i="2"/>
  <c r="BM236" i="2"/>
  <c r="Y236" i="2"/>
  <c r="BP236" i="2" s="1"/>
  <c r="P236" i="2"/>
  <c r="BO235" i="2"/>
  <c r="BM235" i="2"/>
  <c r="Y235" i="2"/>
  <c r="BP235" i="2" s="1"/>
  <c r="P235" i="2"/>
  <c r="BO234" i="2"/>
  <c r="BM234" i="2"/>
  <c r="Y234" i="2"/>
  <c r="Z234" i="2" s="1"/>
  <c r="P234" i="2"/>
  <c r="X231" i="2"/>
  <c r="X230" i="2"/>
  <c r="BO229" i="2"/>
  <c r="BM229" i="2"/>
  <c r="Y229" i="2"/>
  <c r="BN229" i="2" s="1"/>
  <c r="P229" i="2"/>
  <c r="BO228" i="2"/>
  <c r="BM228" i="2"/>
  <c r="Y228" i="2"/>
  <c r="P228" i="2"/>
  <c r="BO227" i="2"/>
  <c r="BM227" i="2"/>
  <c r="Y227" i="2"/>
  <c r="BP227" i="2" s="1"/>
  <c r="P227" i="2"/>
  <c r="BO226" i="2"/>
  <c r="BM226" i="2"/>
  <c r="Y226" i="2"/>
  <c r="BN226" i="2" s="1"/>
  <c r="BO225" i="2"/>
  <c r="BM225" i="2"/>
  <c r="Y225" i="2"/>
  <c r="Z225" i="2" s="1"/>
  <c r="P225" i="2"/>
  <c r="BO224" i="2"/>
  <c r="BM224" i="2"/>
  <c r="Y224" i="2"/>
  <c r="P224" i="2"/>
  <c r="X222" i="2"/>
  <c r="X221" i="2"/>
  <c r="BO220" i="2"/>
  <c r="BM220" i="2"/>
  <c r="Y220" i="2"/>
  <c r="BP220" i="2" s="1"/>
  <c r="P220" i="2"/>
  <c r="BO219" i="2"/>
  <c r="BM219" i="2"/>
  <c r="Y219" i="2"/>
  <c r="BP219" i="2" s="1"/>
  <c r="P219" i="2"/>
  <c r="BO218" i="2"/>
  <c r="BM218" i="2"/>
  <c r="Y218" i="2"/>
  <c r="BP218" i="2" s="1"/>
  <c r="P218" i="2"/>
  <c r="BO217" i="2"/>
  <c r="BM217" i="2"/>
  <c r="Y217" i="2"/>
  <c r="BN217" i="2" s="1"/>
  <c r="P217" i="2"/>
  <c r="BO216" i="2"/>
  <c r="BM216" i="2"/>
  <c r="Y216" i="2"/>
  <c r="BP216" i="2" s="1"/>
  <c r="P216" i="2"/>
  <c r="BO215" i="2"/>
  <c r="BM215" i="2"/>
  <c r="Y215" i="2"/>
  <c r="BN215" i="2" s="1"/>
  <c r="P215" i="2"/>
  <c r="BO214" i="2"/>
  <c r="BM214" i="2"/>
  <c r="Y214" i="2"/>
  <c r="BP214" i="2" s="1"/>
  <c r="P214" i="2"/>
  <c r="BO213" i="2"/>
  <c r="BM213" i="2"/>
  <c r="Y213" i="2"/>
  <c r="BP213" i="2" s="1"/>
  <c r="P213" i="2"/>
  <c r="BO212" i="2"/>
  <c r="BM212" i="2"/>
  <c r="Y212" i="2"/>
  <c r="BP212" i="2" s="1"/>
  <c r="P212" i="2"/>
  <c r="BO211" i="2"/>
  <c r="BM211" i="2"/>
  <c r="Y211" i="2"/>
  <c r="BP211" i="2" s="1"/>
  <c r="P211" i="2"/>
  <c r="BO210" i="2"/>
  <c r="BM210" i="2"/>
  <c r="Y210" i="2"/>
  <c r="BN210" i="2" s="1"/>
  <c r="P210" i="2"/>
  <c r="X208" i="2"/>
  <c r="X207" i="2"/>
  <c r="BO206" i="2"/>
  <c r="BM206" i="2"/>
  <c r="Y206" i="2"/>
  <c r="BN206" i="2" s="1"/>
  <c r="P206" i="2"/>
  <c r="BO205" i="2"/>
  <c r="BM205" i="2"/>
  <c r="Y205" i="2"/>
  <c r="Z205" i="2" s="1"/>
  <c r="P205" i="2"/>
  <c r="BO204" i="2"/>
  <c r="BM204" i="2"/>
  <c r="Y204" i="2"/>
  <c r="BP204" i="2" s="1"/>
  <c r="P204" i="2"/>
  <c r="BO203" i="2"/>
  <c r="BM203" i="2"/>
  <c r="Z203" i="2"/>
  <c r="Y203" i="2"/>
  <c r="BN203" i="2" s="1"/>
  <c r="P203" i="2"/>
  <c r="BO202" i="2"/>
  <c r="BM202" i="2"/>
  <c r="Y202" i="2"/>
  <c r="BP202" i="2" s="1"/>
  <c r="P202" i="2"/>
  <c r="BO201" i="2"/>
  <c r="BM201" i="2"/>
  <c r="Y201" i="2"/>
  <c r="P201" i="2"/>
  <c r="BO200" i="2"/>
  <c r="BM200" i="2"/>
  <c r="Y200" i="2"/>
  <c r="BN200" i="2" s="1"/>
  <c r="P200" i="2"/>
  <c r="BO199" i="2"/>
  <c r="BM199" i="2"/>
  <c r="Y199" i="2"/>
  <c r="BN199" i="2" s="1"/>
  <c r="P199" i="2"/>
  <c r="X197" i="2"/>
  <c r="X196" i="2"/>
  <c r="BO195" i="2"/>
  <c r="BM195" i="2"/>
  <c r="Y195" i="2"/>
  <c r="BN195" i="2" s="1"/>
  <c r="P195" i="2"/>
  <c r="BO194" i="2"/>
  <c r="BM194" i="2"/>
  <c r="Y194" i="2"/>
  <c r="Y196" i="2" s="1"/>
  <c r="P194" i="2"/>
  <c r="X192" i="2"/>
  <c r="X191" i="2"/>
  <c r="BO190" i="2"/>
  <c r="BM190" i="2"/>
  <c r="Y190" i="2"/>
  <c r="BP190" i="2" s="1"/>
  <c r="P190" i="2"/>
  <c r="BO189" i="2"/>
  <c r="BM189" i="2"/>
  <c r="Y189" i="2"/>
  <c r="P189" i="2"/>
  <c r="X186" i="2"/>
  <c r="X185" i="2"/>
  <c r="BO184" i="2"/>
  <c r="BM184" i="2"/>
  <c r="Y184" i="2"/>
  <c r="BP184" i="2" s="1"/>
  <c r="P184" i="2"/>
  <c r="BO183" i="2"/>
  <c r="BM183" i="2"/>
  <c r="Y183" i="2"/>
  <c r="BP183" i="2" s="1"/>
  <c r="P183" i="2"/>
  <c r="BO182" i="2"/>
  <c r="BM182" i="2"/>
  <c r="Y182" i="2"/>
  <c r="BN182" i="2" s="1"/>
  <c r="P182" i="2"/>
  <c r="BO181" i="2"/>
  <c r="BM181" i="2"/>
  <c r="Y181" i="2"/>
  <c r="BP181" i="2" s="1"/>
  <c r="P181" i="2"/>
  <c r="BO180" i="2"/>
  <c r="BM180" i="2"/>
  <c r="Y180" i="2"/>
  <c r="BP180" i="2" s="1"/>
  <c r="P180" i="2"/>
  <c r="BO179" i="2"/>
  <c r="BM179" i="2"/>
  <c r="Y179" i="2"/>
  <c r="Z179" i="2" s="1"/>
  <c r="P179" i="2"/>
  <c r="BO178" i="2"/>
  <c r="BM178" i="2"/>
  <c r="Y178" i="2"/>
  <c r="BP178" i="2" s="1"/>
  <c r="P178" i="2"/>
  <c r="BO177" i="2"/>
  <c r="BM177" i="2"/>
  <c r="Y177" i="2"/>
  <c r="BN177" i="2" s="1"/>
  <c r="P177" i="2"/>
  <c r="X175" i="2"/>
  <c r="X174" i="2"/>
  <c r="BO173" i="2"/>
  <c r="BM173" i="2"/>
  <c r="Y173" i="2"/>
  <c r="Y175" i="2" s="1"/>
  <c r="P173" i="2"/>
  <c r="X169" i="2"/>
  <c r="X168" i="2"/>
  <c r="BO167" i="2"/>
  <c r="BM167" i="2"/>
  <c r="Y167" i="2"/>
  <c r="BN167" i="2" s="1"/>
  <c r="P167" i="2"/>
  <c r="BO166" i="2"/>
  <c r="BM166" i="2"/>
  <c r="Y166" i="2"/>
  <c r="Z166" i="2" s="1"/>
  <c r="P166" i="2"/>
  <c r="X164" i="2"/>
  <c r="X163" i="2"/>
  <c r="BO162" i="2"/>
  <c r="BM162" i="2"/>
  <c r="Y162" i="2"/>
  <c r="Z162" i="2" s="1"/>
  <c r="P162" i="2"/>
  <c r="BO161" i="2"/>
  <c r="BM161" i="2"/>
  <c r="Y161" i="2"/>
  <c r="BN161" i="2" s="1"/>
  <c r="P161" i="2"/>
  <c r="BO160" i="2"/>
  <c r="BM160" i="2"/>
  <c r="Y160" i="2"/>
  <c r="BN160" i="2" s="1"/>
  <c r="P160" i="2"/>
  <c r="BO159" i="2"/>
  <c r="BM159" i="2"/>
  <c r="Y159" i="2"/>
  <c r="BN159" i="2" s="1"/>
  <c r="P159" i="2"/>
  <c r="BO158" i="2"/>
  <c r="BM158" i="2"/>
  <c r="Y158" i="2"/>
  <c r="BP158" i="2" s="1"/>
  <c r="P158" i="2"/>
  <c r="X156" i="2"/>
  <c r="X155" i="2"/>
  <c r="BO154" i="2"/>
  <c r="BM154" i="2"/>
  <c r="Y154" i="2"/>
  <c r="P154" i="2"/>
  <c r="X151" i="2"/>
  <c r="X150" i="2"/>
  <c r="BO149" i="2"/>
  <c r="BM149" i="2"/>
  <c r="Y149" i="2"/>
  <c r="P149" i="2"/>
  <c r="BO148" i="2"/>
  <c r="BM148" i="2"/>
  <c r="Y148" i="2"/>
  <c r="Z148" i="2" s="1"/>
  <c r="P148" i="2"/>
  <c r="X146" i="2"/>
  <c r="X145" i="2"/>
  <c r="BO144" i="2"/>
  <c r="BM144" i="2"/>
  <c r="Y144" i="2"/>
  <c r="BP144" i="2" s="1"/>
  <c r="P144" i="2"/>
  <c r="BO143" i="2"/>
  <c r="BM143" i="2"/>
  <c r="Y143" i="2"/>
  <c r="BP143" i="2" s="1"/>
  <c r="P143" i="2"/>
  <c r="X141" i="2"/>
  <c r="X140" i="2"/>
  <c r="BO139" i="2"/>
  <c r="BM139" i="2"/>
  <c r="Y139" i="2"/>
  <c r="BN139" i="2" s="1"/>
  <c r="P139" i="2"/>
  <c r="BO138" i="2"/>
  <c r="BM138" i="2"/>
  <c r="Y138" i="2"/>
  <c r="Z138" i="2" s="1"/>
  <c r="P138" i="2"/>
  <c r="X135" i="2"/>
  <c r="X134" i="2"/>
  <c r="BO133" i="2"/>
  <c r="BM133" i="2"/>
  <c r="Y133" i="2"/>
  <c r="P133" i="2"/>
  <c r="BO132" i="2"/>
  <c r="BM132" i="2"/>
  <c r="Y132" i="2"/>
  <c r="BP132" i="2" s="1"/>
  <c r="P132" i="2"/>
  <c r="X130" i="2"/>
  <c r="X129" i="2"/>
  <c r="BO128" i="2"/>
  <c r="BM128" i="2"/>
  <c r="Y128" i="2"/>
  <c r="BP128" i="2" s="1"/>
  <c r="P128" i="2"/>
  <c r="BO127" i="2"/>
  <c r="BM127" i="2"/>
  <c r="Y127" i="2"/>
  <c r="BP127" i="2" s="1"/>
  <c r="P127" i="2"/>
  <c r="BO126" i="2"/>
  <c r="BM126" i="2"/>
  <c r="Y126" i="2"/>
  <c r="BN126" i="2" s="1"/>
  <c r="P126" i="2"/>
  <c r="BO125" i="2"/>
  <c r="BM125" i="2"/>
  <c r="Y125" i="2"/>
  <c r="BP125" i="2" s="1"/>
  <c r="P125" i="2"/>
  <c r="BO124" i="2"/>
  <c r="BM124" i="2"/>
  <c r="Y124" i="2"/>
  <c r="BP124" i="2" s="1"/>
  <c r="P124" i="2"/>
  <c r="BO123" i="2"/>
  <c r="BM123" i="2"/>
  <c r="Y123" i="2"/>
  <c r="Z123" i="2" s="1"/>
  <c r="P123" i="2"/>
  <c r="BO122" i="2"/>
  <c r="BM122" i="2"/>
  <c r="Y122" i="2"/>
  <c r="BP122" i="2" s="1"/>
  <c r="P122" i="2"/>
  <c r="X120" i="2"/>
  <c r="X119" i="2"/>
  <c r="BO118" i="2"/>
  <c r="BM118" i="2"/>
  <c r="Y118" i="2"/>
  <c r="BP118" i="2" s="1"/>
  <c r="P118" i="2"/>
  <c r="BO117" i="2"/>
  <c r="BM117" i="2"/>
  <c r="Y117" i="2"/>
  <c r="BN117" i="2" s="1"/>
  <c r="P117" i="2"/>
  <c r="BO116" i="2"/>
  <c r="BM116" i="2"/>
  <c r="Y116" i="2"/>
  <c r="Y119" i="2" s="1"/>
  <c r="P116" i="2"/>
  <c r="X114" i="2"/>
  <c r="X113" i="2"/>
  <c r="BO112" i="2"/>
  <c r="BM112" i="2"/>
  <c r="Y112" i="2"/>
  <c r="P112" i="2"/>
  <c r="BO111" i="2"/>
  <c r="BM111" i="2"/>
  <c r="Y111" i="2"/>
  <c r="BP111" i="2" s="1"/>
  <c r="P111" i="2"/>
  <c r="BO110" i="2"/>
  <c r="BM110" i="2"/>
  <c r="Y110" i="2"/>
  <c r="BP110" i="2" s="1"/>
  <c r="P110" i="2"/>
  <c r="BO109" i="2"/>
  <c r="BM109" i="2"/>
  <c r="Y109" i="2"/>
  <c r="Y114" i="2" s="1"/>
  <c r="P109" i="2"/>
  <c r="BP108" i="2"/>
  <c r="BO108" i="2"/>
  <c r="BN108" i="2"/>
  <c r="BM108" i="2"/>
  <c r="Z108" i="2"/>
  <c r="Y108" i="2"/>
  <c r="P108" i="2"/>
  <c r="X105" i="2"/>
  <c r="X104" i="2"/>
  <c r="BO103" i="2"/>
  <c r="BM103" i="2"/>
  <c r="Y103" i="2"/>
  <c r="BP103" i="2" s="1"/>
  <c r="P103" i="2"/>
  <c r="BO102" i="2"/>
  <c r="BM102" i="2"/>
  <c r="Y102" i="2"/>
  <c r="BP102" i="2" s="1"/>
  <c r="BO101" i="2"/>
  <c r="BM101" i="2"/>
  <c r="Y101" i="2"/>
  <c r="BN101" i="2" s="1"/>
  <c r="P101" i="2"/>
  <c r="BO100" i="2"/>
  <c r="BM100" i="2"/>
  <c r="Y100" i="2"/>
  <c r="P100" i="2"/>
  <c r="BO99" i="2"/>
  <c r="BM99" i="2"/>
  <c r="Y99" i="2"/>
  <c r="P99" i="2"/>
  <c r="BO98" i="2"/>
  <c r="BM98" i="2"/>
  <c r="Y98" i="2"/>
  <c r="BP98" i="2" s="1"/>
  <c r="P98" i="2"/>
  <c r="X96" i="2"/>
  <c r="X95" i="2"/>
  <c r="BO94" i="2"/>
  <c r="BM94" i="2"/>
  <c r="Y94" i="2"/>
  <c r="P94" i="2"/>
  <c r="BO93" i="2"/>
  <c r="BM93" i="2"/>
  <c r="Y93" i="2"/>
  <c r="P93" i="2"/>
  <c r="BO92" i="2"/>
  <c r="BM92" i="2"/>
  <c r="Y92" i="2"/>
  <c r="BN92" i="2" s="1"/>
  <c r="P92" i="2"/>
  <c r="X89" i="2"/>
  <c r="X88" i="2"/>
  <c r="BO87" i="2"/>
  <c r="BM87" i="2"/>
  <c r="Y87" i="2"/>
  <c r="P87" i="2"/>
  <c r="BO86" i="2"/>
  <c r="BM86" i="2"/>
  <c r="Y86" i="2"/>
  <c r="BP86" i="2" s="1"/>
  <c r="P86" i="2"/>
  <c r="BO85" i="2"/>
  <c r="BM85" i="2"/>
  <c r="Y85" i="2"/>
  <c r="P85" i="2"/>
  <c r="X83" i="2"/>
  <c r="X82" i="2"/>
  <c r="BO81" i="2"/>
  <c r="BM81" i="2"/>
  <c r="Y81" i="2"/>
  <c r="BN81" i="2" s="1"/>
  <c r="P81" i="2"/>
  <c r="BO80" i="2"/>
  <c r="BM80" i="2"/>
  <c r="Y80" i="2"/>
  <c r="P80" i="2"/>
  <c r="BO79" i="2"/>
  <c r="BM79" i="2"/>
  <c r="Y79" i="2"/>
  <c r="BP79" i="2" s="1"/>
  <c r="P79" i="2"/>
  <c r="BO78" i="2"/>
  <c r="BM78" i="2"/>
  <c r="Y78" i="2"/>
  <c r="Z78" i="2" s="1"/>
  <c r="P78" i="2"/>
  <c r="BO77" i="2"/>
  <c r="BM77" i="2"/>
  <c r="Y77" i="2"/>
  <c r="BP77" i="2" s="1"/>
  <c r="P77" i="2"/>
  <c r="BO76" i="2"/>
  <c r="BM76" i="2"/>
  <c r="Y76" i="2"/>
  <c r="BN76" i="2" s="1"/>
  <c r="P76" i="2"/>
  <c r="X74" i="2"/>
  <c r="X73" i="2"/>
  <c r="BO72" i="2"/>
  <c r="BM72" i="2"/>
  <c r="Y72" i="2"/>
  <c r="P72" i="2"/>
  <c r="BO71" i="2"/>
  <c r="BM71" i="2"/>
  <c r="Y71" i="2"/>
  <c r="P71" i="2"/>
  <c r="BO70" i="2"/>
  <c r="BM70" i="2"/>
  <c r="Y70" i="2"/>
  <c r="BP70" i="2" s="1"/>
  <c r="P70" i="2"/>
  <c r="BO69" i="2"/>
  <c r="BM69" i="2"/>
  <c r="Y69" i="2"/>
  <c r="P69" i="2"/>
  <c r="BO68" i="2"/>
  <c r="BM68" i="2"/>
  <c r="Y68" i="2"/>
  <c r="P68" i="2"/>
  <c r="BO67" i="2"/>
  <c r="BM67" i="2"/>
  <c r="Y67" i="2"/>
  <c r="BP67" i="2" s="1"/>
  <c r="P67" i="2"/>
  <c r="X65" i="2"/>
  <c r="X64" i="2"/>
  <c r="BO63" i="2"/>
  <c r="BM63" i="2"/>
  <c r="Y63" i="2"/>
  <c r="BP63" i="2" s="1"/>
  <c r="P63" i="2"/>
  <c r="BO62" i="2"/>
  <c r="BM62" i="2"/>
  <c r="Y62" i="2"/>
  <c r="BP62" i="2" s="1"/>
  <c r="P62" i="2"/>
  <c r="BO61" i="2"/>
  <c r="BM61" i="2"/>
  <c r="Y61" i="2"/>
  <c r="BN61" i="2" s="1"/>
  <c r="P61" i="2"/>
  <c r="BO60" i="2"/>
  <c r="BM60" i="2"/>
  <c r="Y60" i="2"/>
  <c r="BN60" i="2" s="1"/>
  <c r="P60" i="2"/>
  <c r="X58" i="2"/>
  <c r="X57" i="2"/>
  <c r="BO56" i="2"/>
  <c r="BM56" i="2"/>
  <c r="Y56" i="2"/>
  <c r="BP56" i="2" s="1"/>
  <c r="P56" i="2"/>
  <c r="BO55" i="2"/>
  <c r="BM55" i="2"/>
  <c r="Y55" i="2"/>
  <c r="BP55" i="2" s="1"/>
  <c r="P55" i="2"/>
  <c r="BO54" i="2"/>
  <c r="BM54" i="2"/>
  <c r="Y54" i="2"/>
  <c r="Z54" i="2" s="1"/>
  <c r="P54" i="2"/>
  <c r="BO53" i="2"/>
  <c r="BM53" i="2"/>
  <c r="Y53" i="2"/>
  <c r="BP53" i="2" s="1"/>
  <c r="P53" i="2"/>
  <c r="BO52" i="2"/>
  <c r="BM52" i="2"/>
  <c r="Y52" i="2"/>
  <c r="BN52" i="2" s="1"/>
  <c r="P52" i="2"/>
  <c r="BO51" i="2"/>
  <c r="BM51" i="2"/>
  <c r="Y51" i="2"/>
  <c r="P51" i="2"/>
  <c r="BO50" i="2"/>
  <c r="BM50" i="2"/>
  <c r="Y50" i="2"/>
  <c r="Z50" i="2" s="1"/>
  <c r="P50" i="2"/>
  <c r="X47" i="2"/>
  <c r="X46" i="2"/>
  <c r="BO45" i="2"/>
  <c r="BM45" i="2"/>
  <c r="Y45" i="2"/>
  <c r="BP45" i="2" s="1"/>
  <c r="P45" i="2"/>
  <c r="BO44" i="2"/>
  <c r="BM44" i="2"/>
  <c r="Y44" i="2"/>
  <c r="Y47" i="2" s="1"/>
  <c r="P44" i="2"/>
  <c r="X42" i="2"/>
  <c r="X41" i="2"/>
  <c r="BO40" i="2"/>
  <c r="BM40" i="2"/>
  <c r="Y40" i="2"/>
  <c r="BP40" i="2" s="1"/>
  <c r="P40" i="2"/>
  <c r="BO39" i="2"/>
  <c r="BM39" i="2"/>
  <c r="Y39" i="2"/>
  <c r="BP39" i="2" s="1"/>
  <c r="P39" i="2"/>
  <c r="BO38" i="2"/>
  <c r="BM38" i="2"/>
  <c r="Y38" i="2"/>
  <c r="BP38" i="2" s="1"/>
  <c r="P38" i="2"/>
  <c r="BO37" i="2"/>
  <c r="BM37" i="2"/>
  <c r="Y37" i="2"/>
  <c r="Z37" i="2" s="1"/>
  <c r="P37" i="2"/>
  <c r="BO36" i="2"/>
  <c r="BM36" i="2"/>
  <c r="Y36" i="2"/>
  <c r="BN36" i="2" s="1"/>
  <c r="P36" i="2"/>
  <c r="BO35" i="2"/>
  <c r="BM35" i="2"/>
  <c r="Y35" i="2"/>
  <c r="P35" i="2"/>
  <c r="X31" i="2"/>
  <c r="X30" i="2"/>
  <c r="BO29" i="2"/>
  <c r="BM29" i="2"/>
  <c r="Y29" i="2"/>
  <c r="Y31" i="2" s="1"/>
  <c r="P29" i="2"/>
  <c r="X27" i="2"/>
  <c r="X26" i="2"/>
  <c r="BO25" i="2"/>
  <c r="BM25" i="2"/>
  <c r="Y25" i="2"/>
  <c r="BP25" i="2" s="1"/>
  <c r="P25" i="2"/>
  <c r="BO24" i="2"/>
  <c r="BM24" i="2"/>
  <c r="Y24" i="2"/>
  <c r="BP24" i="2" s="1"/>
  <c r="P24" i="2"/>
  <c r="BO23" i="2"/>
  <c r="BM23" i="2"/>
  <c r="Y23" i="2"/>
  <c r="Z23" i="2" s="1"/>
  <c r="P23" i="2"/>
  <c r="BO22" i="2"/>
  <c r="BM22" i="2"/>
  <c r="Y22" i="2"/>
  <c r="P22" i="2"/>
  <c r="H10" i="2"/>
  <c r="A9" i="2"/>
  <c r="A10" i="2" s="1"/>
  <c r="D7" i="2"/>
  <c r="Q6" i="2"/>
  <c r="P2" i="2"/>
  <c r="BN67" i="2" l="1"/>
  <c r="BN132" i="2"/>
  <c r="BN336" i="2"/>
  <c r="BN369" i="2"/>
  <c r="BN531" i="2"/>
  <c r="BN611" i="2"/>
  <c r="BN38" i="2"/>
  <c r="Z44" i="2"/>
  <c r="BN44" i="2"/>
  <c r="BP44" i="2"/>
  <c r="BN63" i="2"/>
  <c r="BN98" i="2"/>
  <c r="Z125" i="2"/>
  <c r="BN125" i="2"/>
  <c r="Y134" i="2"/>
  <c r="BN138" i="2"/>
  <c r="BP161" i="2"/>
  <c r="BN183" i="2"/>
  <c r="BP195" i="2"/>
  <c r="Z211" i="2"/>
  <c r="BN240" i="2"/>
  <c r="Z249" i="2"/>
  <c r="BN249" i="2"/>
  <c r="BN252" i="2"/>
  <c r="BP264" i="2"/>
  <c r="Z283" i="2"/>
  <c r="BN283" i="2"/>
  <c r="BN307" i="2"/>
  <c r="Z316" i="2"/>
  <c r="Z317" i="2" s="1"/>
  <c r="BN316" i="2"/>
  <c r="Y337" i="2"/>
  <c r="Z346" i="2"/>
  <c r="BN346" i="2"/>
  <c r="Z381" i="2"/>
  <c r="BN387" i="2"/>
  <c r="BP394" i="2"/>
  <c r="BN399" i="2"/>
  <c r="BN437" i="2"/>
  <c r="Z453" i="2"/>
  <c r="BN453" i="2"/>
  <c r="BN468" i="2"/>
  <c r="Z469" i="2"/>
  <c r="Z472" i="2"/>
  <c r="BP475" i="2"/>
  <c r="BP480" i="2"/>
  <c r="BN508" i="2"/>
  <c r="BN518" i="2"/>
  <c r="Z525" i="2"/>
  <c r="BN525" i="2"/>
  <c r="BN560" i="2"/>
  <c r="Z590" i="2"/>
  <c r="Y599" i="2"/>
  <c r="BN597" i="2"/>
  <c r="Z639" i="2"/>
  <c r="Z640" i="2" s="1"/>
  <c r="BN227" i="2"/>
  <c r="BP76" i="2"/>
  <c r="Y431" i="2"/>
  <c r="Z409" i="2"/>
  <c r="BP409" i="2"/>
  <c r="Y58" i="2"/>
  <c r="Z61" i="2"/>
  <c r="Z81" i="2"/>
  <c r="Z92" i="2"/>
  <c r="BP92" i="2"/>
  <c r="Y150" i="2"/>
  <c r="BP200" i="2"/>
  <c r="Z204" i="2"/>
  <c r="Z214" i="2"/>
  <c r="Z292" i="2"/>
  <c r="BP292" i="2"/>
  <c r="Z359" i="2"/>
  <c r="Z383" i="2"/>
  <c r="BP383" i="2"/>
  <c r="Z439" i="2"/>
  <c r="Z473" i="2"/>
  <c r="BP473" i="2"/>
  <c r="Z514" i="2"/>
  <c r="Z515" i="2" s="1"/>
  <c r="BP514" i="2"/>
  <c r="Z550" i="2"/>
  <c r="Z559" i="2"/>
  <c r="BP559" i="2"/>
  <c r="Z588" i="2"/>
  <c r="Z615" i="2"/>
  <c r="BP615" i="2"/>
  <c r="Z624" i="2"/>
  <c r="AG657" i="2"/>
  <c r="Z36" i="2"/>
  <c r="Z56" i="2"/>
  <c r="Z63" i="2"/>
  <c r="Z67" i="2"/>
  <c r="Z86" i="2"/>
  <c r="Z98" i="2"/>
  <c r="Z126" i="2"/>
  <c r="Z132" i="2"/>
  <c r="Z134" i="2" s="1"/>
  <c r="Z144" i="2"/>
  <c r="Z158" i="2"/>
  <c r="Z182" i="2"/>
  <c r="Z240" i="2"/>
  <c r="Z307" i="2"/>
  <c r="Z308" i="2" s="1"/>
  <c r="Z365" i="2"/>
  <c r="Z387" i="2"/>
  <c r="Z399" i="2"/>
  <c r="Z468" i="2"/>
  <c r="Z508" i="2"/>
  <c r="Z526" i="2"/>
  <c r="Z586" i="2"/>
  <c r="Z611" i="2"/>
  <c r="Z70" i="2"/>
  <c r="BP81" i="2"/>
  <c r="Z102" i="2"/>
  <c r="Y135" i="2"/>
  <c r="Z139" i="2"/>
  <c r="Z140" i="2" s="1"/>
  <c r="BP139" i="2"/>
  <c r="Z200" i="2"/>
  <c r="Z38" i="2"/>
  <c r="BP101" i="2"/>
  <c r="Z111" i="2"/>
  <c r="Z127" i="2"/>
  <c r="H657" i="2"/>
  <c r="Z183" i="2"/>
  <c r="Z227" i="2"/>
  <c r="BP238" i="2"/>
  <c r="Z248" i="2"/>
  <c r="Z252" i="2"/>
  <c r="Z336" i="2"/>
  <c r="Z337" i="2" s="1"/>
  <c r="BP336" i="2"/>
  <c r="Z352" i="2"/>
  <c r="BN359" i="2"/>
  <c r="Z369" i="2"/>
  <c r="Z376" i="2"/>
  <c r="Z408" i="2"/>
  <c r="Z413" i="2"/>
  <c r="Z429" i="2"/>
  <c r="Z430" i="2" s="1"/>
  <c r="Z437" i="2"/>
  <c r="BN514" i="2"/>
  <c r="Y515" i="2"/>
  <c r="Z518" i="2"/>
  <c r="Z519" i="2" s="1"/>
  <c r="BP518" i="2"/>
  <c r="AD657" i="2"/>
  <c r="Z531" i="2"/>
  <c r="Z554" i="2"/>
  <c r="Z560" i="2"/>
  <c r="Z597" i="2"/>
  <c r="F10" i="2"/>
  <c r="BP68" i="2"/>
  <c r="BN68" i="2"/>
  <c r="Z68" i="2"/>
  <c r="BP69" i="2"/>
  <c r="BN69" i="2"/>
  <c r="Z69" i="2"/>
  <c r="BN78" i="2"/>
  <c r="BP78" i="2"/>
  <c r="BP80" i="2"/>
  <c r="Z80" i="2"/>
  <c r="BP87" i="2"/>
  <c r="BN87" i="2"/>
  <c r="Z87" i="2"/>
  <c r="BP99" i="2"/>
  <c r="Z99" i="2"/>
  <c r="BN23" i="2"/>
  <c r="BP23" i="2"/>
  <c r="C657" i="2"/>
  <c r="BP36" i="2"/>
  <c r="Z39" i="2"/>
  <c r="BN39" i="2"/>
  <c r="Z40" i="2"/>
  <c r="BN40" i="2"/>
  <c r="Z45" i="2"/>
  <c r="Z46" i="2" s="1"/>
  <c r="Y46" i="2"/>
  <c r="BP52" i="2"/>
  <c r="BN54" i="2"/>
  <c r="BP54" i="2"/>
  <c r="Z60" i="2"/>
  <c r="BP61" i="2"/>
  <c r="Y73" i="2"/>
  <c r="BN72" i="2"/>
  <c r="BP72" i="2"/>
  <c r="Y89" i="2"/>
  <c r="BP85" i="2"/>
  <c r="BN85" i="2"/>
  <c r="Z85" i="2"/>
  <c r="Z88" i="2" s="1"/>
  <c r="BP93" i="2"/>
  <c r="BN93" i="2"/>
  <c r="Z93" i="2"/>
  <c r="Z95" i="2" s="1"/>
  <c r="BP94" i="2"/>
  <c r="BN94" i="2"/>
  <c r="Z94" i="2"/>
  <c r="Y113" i="2"/>
  <c r="Y145" i="2"/>
  <c r="BP159" i="2"/>
  <c r="BN202" i="2"/>
  <c r="BP215" i="2"/>
  <c r="BN254" i="2"/>
  <c r="BN293" i="2"/>
  <c r="BP293" i="2"/>
  <c r="BN298" i="2"/>
  <c r="BP298" i="2"/>
  <c r="Y299" i="2"/>
  <c r="Y300" i="2"/>
  <c r="BN302" i="2"/>
  <c r="BP302" i="2"/>
  <c r="Y303" i="2"/>
  <c r="Y313" i="2"/>
  <c r="Y322" i="2"/>
  <c r="BP327" i="2"/>
  <c r="BP331" i="2"/>
  <c r="Y384" i="2"/>
  <c r="BN400" i="2"/>
  <c r="BN406" i="2"/>
  <c r="BN410" i="2"/>
  <c r="BP410" i="2"/>
  <c r="BP414" i="2"/>
  <c r="BP434" i="2"/>
  <c r="BN440" i="2"/>
  <c r="Z440" i="2"/>
  <c r="BP450" i="2"/>
  <c r="BN450" i="2"/>
  <c r="Z450" i="2"/>
  <c r="BN454" i="2"/>
  <c r="BP458" i="2"/>
  <c r="BN458" i="2"/>
  <c r="Z458" i="2"/>
  <c r="Z459" i="2" s="1"/>
  <c r="Y459" i="2"/>
  <c r="Y105" i="2"/>
  <c r="Z103" i="2"/>
  <c r="BN103" i="2"/>
  <c r="Z109" i="2"/>
  <c r="BN109" i="2"/>
  <c r="Z110" i="2"/>
  <c r="BN110" i="2"/>
  <c r="BP117" i="2"/>
  <c r="BN123" i="2"/>
  <c r="BP123" i="2"/>
  <c r="BP126" i="2"/>
  <c r="Z128" i="2"/>
  <c r="BN128" i="2"/>
  <c r="Z133" i="2"/>
  <c r="Z143" i="2"/>
  <c r="Z145" i="2" s="1"/>
  <c r="BN143" i="2"/>
  <c r="Y151" i="2"/>
  <c r="Z154" i="2"/>
  <c r="Z155" i="2" s="1"/>
  <c r="Z159" i="2"/>
  <c r="Z160" i="2"/>
  <c r="BP167" i="2"/>
  <c r="Y168" i="2"/>
  <c r="BP173" i="2"/>
  <c r="Y174" i="2"/>
  <c r="BP177" i="2"/>
  <c r="BN179" i="2"/>
  <c r="BP179" i="2"/>
  <c r="BP182" i="2"/>
  <c r="Z184" i="2"/>
  <c r="BN184" i="2"/>
  <c r="Z194" i="2"/>
  <c r="Z199" i="2"/>
  <c r="BP203" i="2"/>
  <c r="Z206" i="2"/>
  <c r="Z212" i="2"/>
  <c r="BN212" i="2"/>
  <c r="Z215" i="2"/>
  <c r="Z216" i="2"/>
  <c r="BN216" i="2"/>
  <c r="Z219" i="2"/>
  <c r="BN219" i="2"/>
  <c r="BN225" i="2"/>
  <c r="BP225" i="2"/>
  <c r="Z226" i="2"/>
  <c r="BP229" i="2"/>
  <c r="Z235" i="2"/>
  <c r="BN235" i="2"/>
  <c r="Z239" i="2"/>
  <c r="Z241" i="2"/>
  <c r="Y255" i="2"/>
  <c r="BN247" i="2"/>
  <c r="BP247" i="2"/>
  <c r="BP248" i="2"/>
  <c r="Z251" i="2"/>
  <c r="BN251" i="2"/>
  <c r="Z253" i="2"/>
  <c r="BN253" i="2"/>
  <c r="Z265" i="2"/>
  <c r="BN265" i="2"/>
  <c r="BN266" i="2"/>
  <c r="BP266" i="2"/>
  <c r="Z270" i="2"/>
  <c r="BN270" i="2"/>
  <c r="Z288" i="2"/>
  <c r="BN288" i="2"/>
  <c r="BN290" i="2"/>
  <c r="Z291" i="2"/>
  <c r="Y304" i="2"/>
  <c r="BN306" i="2"/>
  <c r="BP306" i="2"/>
  <c r="Y308" i="2"/>
  <c r="Z312" i="2"/>
  <c r="Z313" i="2" s="1"/>
  <c r="BN312" i="2"/>
  <c r="Y317" i="2"/>
  <c r="Z320" i="2"/>
  <c r="BN320" i="2"/>
  <c r="Z321" i="2"/>
  <c r="Z322" i="2" s="1"/>
  <c r="Y328" i="2"/>
  <c r="Z327" i="2"/>
  <c r="Z328" i="2" s="1"/>
  <c r="Z331" i="2"/>
  <c r="Z332" i="2"/>
  <c r="BN332" i="2"/>
  <c r="Y333" i="2"/>
  <c r="Y334" i="2"/>
  <c r="Z341" i="2"/>
  <c r="Z342" i="2" s="1"/>
  <c r="BN341" i="2"/>
  <c r="BP341" i="2"/>
  <c r="Y342" i="2"/>
  <c r="Y343" i="2"/>
  <c r="Y354" i="2"/>
  <c r="Z349" i="2"/>
  <c r="BN349" i="2"/>
  <c r="BP352" i="2"/>
  <c r="Z357" i="2"/>
  <c r="Z361" i="2" s="1"/>
  <c r="BN357" i="2"/>
  <c r="BP357" i="2"/>
  <c r="BN358" i="2"/>
  <c r="BP358" i="2"/>
  <c r="Y361" i="2"/>
  <c r="Z364" i="2"/>
  <c r="Z366" i="2"/>
  <c r="BN366" i="2"/>
  <c r="Z373" i="2"/>
  <c r="BN373" i="2"/>
  <c r="Z375" i="2"/>
  <c r="Z382" i="2"/>
  <c r="BP389" i="2"/>
  <c r="BP398" i="2"/>
  <c r="Y401" i="2"/>
  <c r="BP408" i="2"/>
  <c r="Z411" i="2"/>
  <c r="BN411" i="2"/>
  <c r="Z412" i="2"/>
  <c r="Z414" i="2"/>
  <c r="BP420" i="2"/>
  <c r="Z424" i="2"/>
  <c r="BN424" i="2"/>
  <c r="BP429" i="2"/>
  <c r="Z434" i="2"/>
  <c r="Z435" i="2"/>
  <c r="BN435" i="2"/>
  <c r="BN436" i="2"/>
  <c r="BP436" i="2"/>
  <c r="BP438" i="2"/>
  <c r="Z438" i="2"/>
  <c r="BP440" i="2"/>
  <c r="BN446" i="2"/>
  <c r="BP446" i="2"/>
  <c r="BN452" i="2"/>
  <c r="BP452" i="2"/>
  <c r="BN466" i="2"/>
  <c r="BP466" i="2"/>
  <c r="BN474" i="2"/>
  <c r="BP474" i="2"/>
  <c r="BP476" i="2"/>
  <c r="BN476" i="2"/>
  <c r="Z476" i="2"/>
  <c r="BP479" i="2"/>
  <c r="BP498" i="2"/>
  <c r="BN524" i="2"/>
  <c r="BN528" i="2"/>
  <c r="BP528" i="2"/>
  <c r="BN532" i="2"/>
  <c r="BN535" i="2"/>
  <c r="BP535" i="2"/>
  <c r="BP552" i="2"/>
  <c r="BN558" i="2"/>
  <c r="BN561" i="2"/>
  <c r="BP567" i="2"/>
  <c r="BP571" i="2"/>
  <c r="BN596" i="2"/>
  <c r="BP596" i="2"/>
  <c r="BN602" i="2"/>
  <c r="BN603" i="2"/>
  <c r="BP603" i="2"/>
  <c r="BN606" i="2"/>
  <c r="BN607" i="2"/>
  <c r="BP607" i="2"/>
  <c r="BN623" i="2"/>
  <c r="BP623" i="2"/>
  <c r="BN625" i="2"/>
  <c r="BP625" i="2"/>
  <c r="Y626" i="2"/>
  <c r="Y482" i="2"/>
  <c r="BN465" i="2"/>
  <c r="BP465" i="2"/>
  <c r="BP472" i="2"/>
  <c r="BN477" i="2"/>
  <c r="Z479" i="2"/>
  <c r="BP484" i="2"/>
  <c r="Z498" i="2"/>
  <c r="Z499" i="2"/>
  <c r="BN499" i="2"/>
  <c r="Z502" i="2"/>
  <c r="BN502" i="2"/>
  <c r="AB657" i="2"/>
  <c r="Z509" i="2"/>
  <c r="Z510" i="2" s="1"/>
  <c r="BN509" i="2"/>
  <c r="Y510" i="2"/>
  <c r="Y511" i="2"/>
  <c r="Y516" i="2"/>
  <c r="BP530" i="2"/>
  <c r="Z539" i="2"/>
  <c r="BN539" i="2"/>
  <c r="BP543" i="2"/>
  <c r="Z545" i="2"/>
  <c r="BN545" i="2"/>
  <c r="BP550" i="2"/>
  <c r="BP551" i="2"/>
  <c r="Z552" i="2"/>
  <c r="BP554" i="2"/>
  <c r="BN557" i="2"/>
  <c r="BP557" i="2"/>
  <c r="BN565" i="2"/>
  <c r="Z567" i="2"/>
  <c r="Z571" i="2"/>
  <c r="Z573" i="2" s="1"/>
  <c r="BN572" i="2"/>
  <c r="BP572" i="2"/>
  <c r="Y573" i="2"/>
  <c r="Y574" i="2"/>
  <c r="AF657" i="2"/>
  <c r="BN585" i="2"/>
  <c r="BN587" i="2"/>
  <c r="BN589" i="2"/>
  <c r="Y598" i="2"/>
  <c r="BN594" i="2"/>
  <c r="BP594" i="2"/>
  <c r="Z595" i="2"/>
  <c r="BN595" i="2"/>
  <c r="BP595" i="2"/>
  <c r="Y609" i="2"/>
  <c r="BN601" i="2"/>
  <c r="BP601" i="2"/>
  <c r="BN604" i="2"/>
  <c r="BN605" i="2"/>
  <c r="BP605" i="2"/>
  <c r="Z613" i="2"/>
  <c r="BN613" i="2"/>
  <c r="Z617" i="2"/>
  <c r="BN617" i="2"/>
  <c r="Y627" i="2"/>
  <c r="BP622" i="2"/>
  <c r="BP624" i="2"/>
  <c r="BP639" i="2"/>
  <c r="Y164" i="2"/>
  <c r="BP367" i="2"/>
  <c r="BN367" i="2"/>
  <c r="Z367" i="2"/>
  <c r="Z25" i="2"/>
  <c r="Y120" i="2"/>
  <c r="Z181" i="2"/>
  <c r="Z202" i="2"/>
  <c r="Z210" i="2"/>
  <c r="Y222" i="2"/>
  <c r="Y243" i="2"/>
  <c r="BP276" i="2"/>
  <c r="Z276" i="2"/>
  <c r="Z277" i="2" s="1"/>
  <c r="O657" i="2"/>
  <c r="Y278" i="2"/>
  <c r="BP289" i="2"/>
  <c r="Z289" i="2"/>
  <c r="Y294" i="2"/>
  <c r="BP388" i="2"/>
  <c r="BN388" i="2"/>
  <c r="Z388" i="2"/>
  <c r="Z51" i="2"/>
  <c r="Z71" i="2"/>
  <c r="Y82" i="2"/>
  <c r="Z100" i="2"/>
  <c r="Z112" i="2"/>
  <c r="Z113" i="2" s="1"/>
  <c r="Z116" i="2"/>
  <c r="Z149" i="2"/>
  <c r="Z150" i="2" s="1"/>
  <c r="Z263" i="2"/>
  <c r="M657" i="2"/>
  <c r="BN282" i="2"/>
  <c r="Z282" i="2"/>
  <c r="Y284" i="2"/>
  <c r="BN348" i="2"/>
  <c r="Z348" i="2"/>
  <c r="BP350" i="2"/>
  <c r="Z350" i="2"/>
  <c r="B657" i="2"/>
  <c r="BN56" i="2"/>
  <c r="BN80" i="2"/>
  <c r="BN181" i="2"/>
  <c r="Y185" i="2"/>
  <c r="Z190" i="2"/>
  <c r="Y231" i="2"/>
  <c r="Y230" i="2"/>
  <c r="BP224" i="2"/>
  <c r="BP228" i="2"/>
  <c r="Z228" i="2"/>
  <c r="Y256" i="2"/>
  <c r="BP246" i="2"/>
  <c r="L657" i="2"/>
  <c r="BN276" i="2"/>
  <c r="BN289" i="2"/>
  <c r="Y355" i="2"/>
  <c r="Y377" i="2"/>
  <c r="BP374" i="2"/>
  <c r="Z374" i="2"/>
  <c r="Y378" i="2"/>
  <c r="Z29" i="2"/>
  <c r="Z30" i="2" s="1"/>
  <c r="BN25" i="2"/>
  <c r="Z22" i="2"/>
  <c r="BN51" i="2"/>
  <c r="Z53" i="2"/>
  <c r="Y64" i="2"/>
  <c r="BN71" i="2"/>
  <c r="Z77" i="2"/>
  <c r="Y88" i="2"/>
  <c r="BN100" i="2"/>
  <c r="Y104" i="2"/>
  <c r="BN112" i="2"/>
  <c r="BN116" i="2"/>
  <c r="Z118" i="2"/>
  <c r="Z122" i="2"/>
  <c r="Y129" i="2"/>
  <c r="G657" i="2"/>
  <c r="Y146" i="2"/>
  <c r="BN149" i="2"/>
  <c r="BN154" i="2"/>
  <c r="BN158" i="2"/>
  <c r="BN166" i="2"/>
  <c r="Z178" i="2"/>
  <c r="BN194" i="2"/>
  <c r="Y197" i="2"/>
  <c r="BN204" i="2"/>
  <c r="BP210" i="2"/>
  <c r="Z218" i="2"/>
  <c r="Z224" i="2"/>
  <c r="BN237" i="2"/>
  <c r="Z246" i="2"/>
  <c r="Z258" i="2"/>
  <c r="Z259" i="2" s="1"/>
  <c r="Y260" i="2"/>
  <c r="BN263" i="2"/>
  <c r="Z267" i="2"/>
  <c r="Z269" i="2"/>
  <c r="BP271" i="2"/>
  <c r="Z271" i="2"/>
  <c r="Y285" i="2"/>
  <c r="BP291" i="2"/>
  <c r="BN350" i="2"/>
  <c r="BN368" i="2"/>
  <c r="Z368" i="2"/>
  <c r="Y370" i="2"/>
  <c r="Z35" i="2"/>
  <c r="Z41" i="2" s="1"/>
  <c r="Y83" i="2"/>
  <c r="BN86" i="2"/>
  <c r="BN102" i="2"/>
  <c r="BN127" i="2"/>
  <c r="BN162" i="2"/>
  <c r="BN190" i="2"/>
  <c r="BP206" i="2"/>
  <c r="BN214" i="2"/>
  <c r="BN228" i="2"/>
  <c r="BN239" i="2"/>
  <c r="BP250" i="2"/>
  <c r="Z250" i="2"/>
  <c r="BP282" i="2"/>
  <c r="BP348" i="2"/>
  <c r="BN374" i="2"/>
  <c r="BN22" i="2"/>
  <c r="Z24" i="2"/>
  <c r="X651" i="2"/>
  <c r="Y41" i="2"/>
  <c r="D657" i="2"/>
  <c r="BP51" i="2"/>
  <c r="BN53" i="2"/>
  <c r="Z55" i="2"/>
  <c r="BP71" i="2"/>
  <c r="Y74" i="2"/>
  <c r="BN77" i="2"/>
  <c r="Z79" i="2"/>
  <c r="Y95" i="2"/>
  <c r="BP100" i="2"/>
  <c r="BP112" i="2"/>
  <c r="BP116" i="2"/>
  <c r="BN118" i="2"/>
  <c r="BN122" i="2"/>
  <c r="Z124" i="2"/>
  <c r="Y140" i="2"/>
  <c r="BP149" i="2"/>
  <c r="BP154" i="2"/>
  <c r="BP160" i="2"/>
  <c r="BP166" i="2"/>
  <c r="Y169" i="2"/>
  <c r="BN178" i="2"/>
  <c r="Z180" i="2"/>
  <c r="Y186" i="2"/>
  <c r="BP194" i="2"/>
  <c r="BN218" i="2"/>
  <c r="Z220" i="2"/>
  <c r="BN224" i="2"/>
  <c r="BP226" i="2"/>
  <c r="K657" i="2"/>
  <c r="BP237" i="2"/>
  <c r="BN246" i="2"/>
  <c r="BN258" i="2"/>
  <c r="BP263" i="2"/>
  <c r="BN267" i="2"/>
  <c r="BN271" i="2"/>
  <c r="Y277" i="2"/>
  <c r="Q657" i="2"/>
  <c r="Y371" i="2"/>
  <c r="Y385" i="2"/>
  <c r="BP380" i="2"/>
  <c r="Z380" i="2"/>
  <c r="Y391" i="2"/>
  <c r="Z62" i="2"/>
  <c r="X648" i="2"/>
  <c r="BP29" i="2"/>
  <c r="BP35" i="2"/>
  <c r="BN37" i="2"/>
  <c r="BP60" i="2"/>
  <c r="BN62" i="2"/>
  <c r="X649" i="2"/>
  <c r="Y26" i="2"/>
  <c r="Y30" i="2"/>
  <c r="BP37" i="2"/>
  <c r="Y57" i="2"/>
  <c r="Y65" i="2"/>
  <c r="Y130" i="2"/>
  <c r="BN133" i="2"/>
  <c r="BP162" i="2"/>
  <c r="BP201" i="2"/>
  <c r="Z201" i="2"/>
  <c r="Y207" i="2"/>
  <c r="BN241" i="2"/>
  <c r="BN250" i="2"/>
  <c r="BP269" i="2"/>
  <c r="BP368" i="2"/>
  <c r="BN29" i="2"/>
  <c r="BN79" i="2"/>
  <c r="BN124" i="2"/>
  <c r="I657" i="2"/>
  <c r="BN180" i="2"/>
  <c r="Y192" i="2"/>
  <c r="BP189" i="2"/>
  <c r="J657" i="2"/>
  <c r="BN220" i="2"/>
  <c r="BP258" i="2"/>
  <c r="BP22" i="2"/>
  <c r="Y155" i="2"/>
  <c r="H9" i="2"/>
  <c r="X647" i="2"/>
  <c r="Y42" i="2"/>
  <c r="BN45" i="2"/>
  <c r="BN50" i="2"/>
  <c r="Z52" i="2"/>
  <c r="BN70" i="2"/>
  <c r="Z72" i="2"/>
  <c r="Z76" i="2"/>
  <c r="E657" i="2"/>
  <c r="Y96" i="2"/>
  <c r="BN99" i="2"/>
  <c r="Z101" i="2"/>
  <c r="F657" i="2"/>
  <c r="BP109" i="2"/>
  <c r="BN111" i="2"/>
  <c r="Z117" i="2"/>
  <c r="BP133" i="2"/>
  <c r="BP138" i="2"/>
  <c r="Y141" i="2"/>
  <c r="BN144" i="2"/>
  <c r="BN148" i="2"/>
  <c r="Z161" i="2"/>
  <c r="Z163" i="2" s="1"/>
  <c r="Y163" i="2"/>
  <c r="Z167" i="2"/>
  <c r="Z168" i="2" s="1"/>
  <c r="Z173" i="2"/>
  <c r="Z174" i="2" s="1"/>
  <c r="Z177" i="2"/>
  <c r="Z185" i="2" s="1"/>
  <c r="Z189" i="2"/>
  <c r="Y191" i="2"/>
  <c r="Z195" i="2"/>
  <c r="BN201" i="2"/>
  <c r="BN205" i="2"/>
  <c r="BN211" i="2"/>
  <c r="Z213" i="2"/>
  <c r="Z229" i="2"/>
  <c r="BN234" i="2"/>
  <c r="Z236" i="2"/>
  <c r="Z242" i="2" s="1"/>
  <c r="Z238" i="2"/>
  <c r="Z264" i="2"/>
  <c r="Y272" i="2"/>
  <c r="BP281" i="2"/>
  <c r="Z281" i="2"/>
  <c r="P657" i="2"/>
  <c r="Y295" i="2"/>
  <c r="BN351" i="2"/>
  <c r="F9" i="2"/>
  <c r="BN24" i="2"/>
  <c r="J9" i="2"/>
  <c r="BP199" i="2"/>
  <c r="Y208" i="2"/>
  <c r="BP217" i="2"/>
  <c r="Z217" i="2"/>
  <c r="Y242" i="2"/>
  <c r="BP254" i="2"/>
  <c r="Y259" i="2"/>
  <c r="Z268" i="2"/>
  <c r="BP290" i="2"/>
  <c r="BP347" i="2"/>
  <c r="BN347" i="2"/>
  <c r="Z347" i="2"/>
  <c r="Z626" i="2"/>
  <c r="BN35" i="2"/>
  <c r="BN55" i="2"/>
  <c r="Y27" i="2"/>
  <c r="BP50" i="2"/>
  <c r="BP148" i="2"/>
  <c r="Y156" i="2"/>
  <c r="BN173" i="2"/>
  <c r="BN189" i="2"/>
  <c r="BP205" i="2"/>
  <c r="BN213" i="2"/>
  <c r="Y221" i="2"/>
  <c r="BP234" i="2"/>
  <c r="BN236" i="2"/>
  <c r="Y273" i="2"/>
  <c r="BN281" i="2"/>
  <c r="BP351" i="2"/>
  <c r="Y309" i="2"/>
  <c r="Y314" i="2"/>
  <c r="Y318" i="2"/>
  <c r="BN321" i="2"/>
  <c r="BN326" i="2"/>
  <c r="BN360" i="2"/>
  <c r="BN364" i="2"/>
  <c r="BN375" i="2"/>
  <c r="BN381" i="2"/>
  <c r="BN412" i="2"/>
  <c r="Y430" i="2"/>
  <c r="BN438" i="2"/>
  <c r="Y460" i="2"/>
  <c r="BN469" i="2"/>
  <c r="Z480" i="2"/>
  <c r="Z484" i="2"/>
  <c r="BP524" i="2"/>
  <c r="BN526" i="2"/>
  <c r="Z543" i="2"/>
  <c r="Z551" i="2"/>
  <c r="Z553" i="2"/>
  <c r="BP558" i="2"/>
  <c r="Y568" i="2"/>
  <c r="BN584" i="2"/>
  <c r="BN586" i="2"/>
  <c r="BN588" i="2"/>
  <c r="BN590" i="2"/>
  <c r="BP602" i="2"/>
  <c r="BP604" i="2"/>
  <c r="BP606" i="2"/>
  <c r="Y641" i="2"/>
  <c r="BP644" i="2"/>
  <c r="V657" i="2"/>
  <c r="Y402" i="2"/>
  <c r="BN407" i="2"/>
  <c r="Y416" i="2"/>
  <c r="Y426" i="2"/>
  <c r="Y442" i="2"/>
  <c r="Y456" i="2"/>
  <c r="BN471" i="2"/>
  <c r="BN478" i="2"/>
  <c r="Y486" i="2"/>
  <c r="Y490" i="2"/>
  <c r="Y495" i="2"/>
  <c r="BN533" i="2"/>
  <c r="Y547" i="2"/>
  <c r="Y563" i="2"/>
  <c r="BN566" i="2"/>
  <c r="BN578" i="2"/>
  <c r="Y619" i="2"/>
  <c r="BN630" i="2"/>
  <c r="Y637" i="2"/>
  <c r="W657" i="2"/>
  <c r="BP321" i="2"/>
  <c r="BP326" i="2"/>
  <c r="Y329" i="2"/>
  <c r="BP360" i="2"/>
  <c r="Z389" i="2"/>
  <c r="Z394" i="2"/>
  <c r="Z395" i="2" s="1"/>
  <c r="Z398" i="2"/>
  <c r="Z420" i="2"/>
  <c r="Z446" i="2"/>
  <c r="Z452" i="2"/>
  <c r="Z464" i="2"/>
  <c r="Z466" i="2"/>
  <c r="Z475" i="2"/>
  <c r="Z501" i="2"/>
  <c r="Z530" i="2"/>
  <c r="BP584" i="2"/>
  <c r="Z601" i="2"/>
  <c r="Z608" i="2" s="1"/>
  <c r="Y633" i="2"/>
  <c r="Z643" i="2"/>
  <c r="Y645" i="2"/>
  <c r="X657" i="2"/>
  <c r="BP407" i="2"/>
  <c r="BP471" i="2"/>
  <c r="BP478" i="2"/>
  <c r="Y503" i="2"/>
  <c r="BP533" i="2"/>
  <c r="BP566" i="2"/>
  <c r="Y569" i="2"/>
  <c r="BP578" i="2"/>
  <c r="BP630" i="2"/>
  <c r="Y657" i="2"/>
  <c r="BN394" i="2"/>
  <c r="Z400" i="2"/>
  <c r="Z406" i="2"/>
  <c r="Y417" i="2"/>
  <c r="Y427" i="2"/>
  <c r="Y443" i="2"/>
  <c r="Z454" i="2"/>
  <c r="BN464" i="2"/>
  <c r="Z477" i="2"/>
  <c r="Y487" i="2"/>
  <c r="Y491" i="2"/>
  <c r="Y496" i="2"/>
  <c r="BN501" i="2"/>
  <c r="Z532" i="2"/>
  <c r="Y548" i="2"/>
  <c r="Z561" i="2"/>
  <c r="Z565" i="2"/>
  <c r="Z585" i="2"/>
  <c r="Z587" i="2"/>
  <c r="Z589" i="2"/>
  <c r="Y591" i="2"/>
  <c r="Y620" i="2"/>
  <c r="Z635" i="2"/>
  <c r="Z636" i="2" s="1"/>
  <c r="BN643" i="2"/>
  <c r="Z657" i="2"/>
  <c r="Z470" i="2"/>
  <c r="Z527" i="2"/>
  <c r="Z534" i="2"/>
  <c r="Y579" i="2"/>
  <c r="Z631" i="2"/>
  <c r="BN639" i="2"/>
  <c r="Y646" i="2"/>
  <c r="AA657" i="2"/>
  <c r="Y481" i="2"/>
  <c r="Y504" i="2"/>
  <c r="BN635" i="2"/>
  <c r="BP312" i="2"/>
  <c r="BP320" i="2"/>
  <c r="BN365" i="2"/>
  <c r="BN376" i="2"/>
  <c r="BN382" i="2"/>
  <c r="BN413" i="2"/>
  <c r="Z415" i="2"/>
  <c r="Z419" i="2"/>
  <c r="Z425" i="2"/>
  <c r="BN439" i="2"/>
  <c r="Z441" i="2"/>
  <c r="Z445" i="2"/>
  <c r="Z447" i="2" s="1"/>
  <c r="Z451" i="2"/>
  <c r="BN470" i="2"/>
  <c r="Z485" i="2"/>
  <c r="Z489" i="2"/>
  <c r="Z490" i="2" s="1"/>
  <c r="Z494" i="2"/>
  <c r="Z495" i="2" s="1"/>
  <c r="Z500" i="2"/>
  <c r="BN527" i="2"/>
  <c r="Z529" i="2"/>
  <c r="BN534" i="2"/>
  <c r="Z536" i="2"/>
  <c r="Z538" i="2"/>
  <c r="Y540" i="2"/>
  <c r="Z544" i="2"/>
  <c r="Z546" i="2"/>
  <c r="Z556" i="2"/>
  <c r="Y592" i="2"/>
  <c r="Z612" i="2"/>
  <c r="Z614" i="2"/>
  <c r="Z616" i="2"/>
  <c r="Z618" i="2"/>
  <c r="BN631" i="2"/>
  <c r="Z298" i="2"/>
  <c r="Z299" i="2" s="1"/>
  <c r="Y390" i="2"/>
  <c r="Y395" i="2"/>
  <c r="Y421" i="2"/>
  <c r="Y447" i="2"/>
  <c r="Z524" i="2"/>
  <c r="Y580" i="2"/>
  <c r="Y608" i="2"/>
  <c r="BN622" i="2"/>
  <c r="BP635" i="2"/>
  <c r="Z644" i="2"/>
  <c r="BN415" i="2"/>
  <c r="BN419" i="2"/>
  <c r="BN425" i="2"/>
  <c r="BN441" i="2"/>
  <c r="BN445" i="2"/>
  <c r="BN451" i="2"/>
  <c r="BN485" i="2"/>
  <c r="BN489" i="2"/>
  <c r="BN494" i="2"/>
  <c r="BN500" i="2"/>
  <c r="BN529" i="2"/>
  <c r="BN536" i="2"/>
  <c r="BN538" i="2"/>
  <c r="BN544" i="2"/>
  <c r="BN546" i="2"/>
  <c r="BN556" i="2"/>
  <c r="Z594" i="2"/>
  <c r="Z598" i="2" s="1"/>
  <c r="BN612" i="2"/>
  <c r="BN614" i="2"/>
  <c r="BN616" i="2"/>
  <c r="BN618" i="2"/>
  <c r="AE657" i="2"/>
  <c r="Y455" i="2"/>
  <c r="Y541" i="2"/>
  <c r="Y562" i="2"/>
  <c r="T657" i="2"/>
  <c r="BP419" i="2"/>
  <c r="BP445" i="2"/>
  <c r="Z630" i="2"/>
  <c r="Y632" i="2"/>
  <c r="Z568" i="2" l="1"/>
  <c r="Z354" i="2"/>
  <c r="Z191" i="2"/>
  <c r="Z455" i="2"/>
  <c r="Z104" i="2"/>
  <c r="Z426" i="2"/>
  <c r="Z442" i="2"/>
  <c r="Z384" i="2"/>
  <c r="Z207" i="2"/>
  <c r="Z619" i="2"/>
  <c r="Z547" i="2"/>
  <c r="Z503" i="2"/>
  <c r="Z421" i="2"/>
  <c r="Z591" i="2"/>
  <c r="Z562" i="2"/>
  <c r="Z486" i="2"/>
  <c r="Z284" i="2"/>
  <c r="Z196" i="2"/>
  <c r="Z64" i="2"/>
  <c r="Z370" i="2"/>
  <c r="Z377" i="2"/>
  <c r="Z73" i="2"/>
  <c r="Z294" i="2"/>
  <c r="Z333" i="2"/>
  <c r="Y647" i="2"/>
  <c r="Y651" i="2"/>
  <c r="Z57" i="2"/>
  <c r="Z390" i="2"/>
  <c r="Z221" i="2"/>
  <c r="Z255" i="2"/>
  <c r="Z272" i="2"/>
  <c r="X650" i="2"/>
  <c r="Z230" i="2"/>
  <c r="Z540" i="2"/>
  <c r="Z416" i="2"/>
  <c r="Y649" i="2"/>
  <c r="Z119" i="2"/>
  <c r="Y648" i="2"/>
  <c r="Z129" i="2"/>
  <c r="Z26" i="2"/>
  <c r="Z481" i="2"/>
  <c r="Z632" i="2"/>
  <c r="Z82" i="2"/>
  <c r="Z645" i="2"/>
  <c r="Z401" i="2"/>
  <c r="Z652" i="2" l="1"/>
  <c r="Y650" i="2"/>
</calcChain>
</file>

<file path=xl/sharedStrings.xml><?xml version="1.0" encoding="utf-8"?>
<sst xmlns="http://schemas.openxmlformats.org/spreadsheetml/2006/main" count="5119" uniqueCount="1068">
  <si>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</si>
  <si>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</si>
  <si>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</si>
  <si>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</si>
  <si>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</si>
  <si>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</si>
  <si>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</si>
  <si>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</si>
  <si>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</si>
  <si>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</si>
  <si>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</si>
  <si>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</si>
  <si>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</si>
  <si>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</si>
  <si>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</si>
  <si>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</si>
  <si>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</si>
  <si>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</si>
  <si>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</si>
  <si>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</si>
  <si>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</si>
  <si>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</si>
  <si>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</si>
  <si>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</si>
  <si>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</si>
  <si>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</si>
  <si>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</si>
  <si>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</si>
  <si>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</si>
  <si>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</si>
  <si>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</si>
  <si>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</si>
  <si>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</si>
  <si>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</si>
  <si>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</si>
  <si>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</si>
  <si>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</si>
  <si>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</si>
  <si>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</si>
  <si>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</si>
  <si>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</si>
  <si>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</si>
  <si>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</si>
  <si>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</si>
  <si>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</si>
  <si>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</si>
  <si>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</si>
  <si>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</si>
  <si>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</si>
  <si>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</si>
  <si>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</si>
  <si>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</si>
  <si>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</si>
  <si>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</si>
  <si>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</si>
  <si>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</si>
  <si>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</si>
  <si>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</si>
  <si>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</si>
  <si>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</si>
  <si>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</si>
  <si>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</si>
  <si>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Коробок в слое</t>
  </si>
  <si>
    <t>Внешний код номенклатуры</t>
  </si>
  <si>
    <t>Квант заказа</t>
  </si>
  <si>
    <t>Декларация/Сертификат</t>
  </si>
  <si>
    <t>КИ</t>
  </si>
  <si>
    <t>24.02.2025</t>
  </si>
  <si>
    <t>21.02.2025</t>
  </si>
  <si>
    <t>ОБЩЕСТВО С ОГРАНИЧЕННОЙ ОТВЕТСТВЕННОСТЬЮ "ЛОГИСТИЧЕСКИЙ ПАРТНЕР"</t>
  </si>
  <si>
    <t>590704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</si>
  <si>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</si>
  <si>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</si>
  <si>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</si>
  <si>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</si>
  <si>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</si>
  <si>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</si>
  <si>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</si>
  <si>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</si>
  <si>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</si>
  <si>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</si>
  <si>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</si>
  <si>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</si>
  <si>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</si>
  <si>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</si>
  <si>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</si>
  <si>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</si>
  <si>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</si>
  <si>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</si>
  <si>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</si>
  <si>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</si>
  <si>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</si>
  <si>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</si>
  <si>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</si>
  <si>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</si>
  <si>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</si>
  <si>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</si>
  <si>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</si>
  <si>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</si>
  <si>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</si>
  <si>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</si>
  <si>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</si>
  <si>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26.02.2025</t>
  </si>
  <si>
    <t>SU000722</t>
  </si>
  <si>
    <t>P003369</t>
  </si>
  <si>
    <t>ЕАЭС N RU Д-RU.РА02.В.62622/22</t>
  </si>
  <si>
    <t>СК3</t>
  </si>
  <si>
    <t>8</t>
  </si>
  <si>
    <t>P003011</t>
  </si>
  <si>
    <t>ЕАЭС N RU Д- RU.РА01.В.79635/20</t>
  </si>
  <si>
    <t>СК1</t>
  </si>
  <si>
    <t>SU003111</t>
  </si>
  <si>
    <t>P003694</t>
  </si>
  <si>
    <t>ЕАЭС N RU Д-RU.РА08.В.47512/23</t>
  </si>
  <si>
    <t>SU002986</t>
  </si>
  <si>
    <t>P003429</t>
  </si>
  <si>
    <t>12</t>
  </si>
  <si>
    <t>SU001485</t>
  </si>
  <si>
    <t>P003008</t>
  </si>
  <si>
    <t>Слой, мин. 1</t>
  </si>
  <si>
    <t>Слой</t>
  </si>
  <si>
    <t>SU003112</t>
  </si>
  <si>
    <t>P003695</t>
  </si>
  <si>
    <t>SU003502</t>
  </si>
  <si>
    <t>P004556</t>
  </si>
  <si>
    <t>ЕАЭС N RU Д-RU.РА01.В.79167/24, ЕАЭС N RU Д-RU.РА01.В.81056/24</t>
  </si>
  <si>
    <t>18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</si>
  <si>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</si>
  <si>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</si>
  <si>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</si>
  <si>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</si>
  <si>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</si>
  <si>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</si>
  <si>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</si>
  <si>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</si>
  <si>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</si>
  <si>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</si>
  <si>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Палетта, мин. 1</t>
  </si>
  <si>
    <t>Палетта</t>
  </si>
  <si>
    <t>SU002674</t>
  </si>
  <si>
    <t>P003045</t>
  </si>
  <si>
    <t>ЕАЭС № RU Д-RU.АБ75.В.00997/19</t>
  </si>
  <si>
    <t>SU002785</t>
  </si>
  <si>
    <t>P003187</t>
  </si>
  <si>
    <t>ЕАЭС N RU Д-RU.РА05.В.44775/23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</si>
  <si>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</si>
  <si>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</si>
  <si>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</si>
  <si>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</si>
  <si>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</si>
  <si>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</si>
  <si>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</si>
  <si>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</si>
  <si>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</si>
  <si>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</si>
  <si>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</si>
  <si>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</si>
  <si>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</si>
  <si>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</si>
  <si>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</si>
  <si>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</si>
  <si>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</si>
  <si>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</si>
  <si>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</si>
  <si>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</si>
  <si>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SU003028</t>
  </si>
  <si>
    <t>P003572</t>
  </si>
  <si>
    <t>ЕАЭС N RU Д-RU.РА11.В.18821/23</t>
  </si>
  <si>
    <t>SU003030</t>
  </si>
  <si>
    <t>P003567</t>
  </si>
  <si>
    <t>ЕАЭС N RU Д-RU.РА11.В.17299/23</t>
  </si>
  <si>
    <t>SU003032</t>
  </si>
  <si>
    <t>P003562</t>
  </si>
  <si>
    <t>ЕАЭС N RU Д-RU.РА11.В.17985/23</t>
  </si>
  <si>
    <t>SU003027</t>
  </si>
  <si>
    <t>P003573</t>
  </si>
  <si>
    <t>SU003029</t>
  </si>
  <si>
    <t>P003569</t>
  </si>
  <si>
    <t>SU003031</t>
  </si>
  <si>
    <t>P003566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</si>
  <si>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</si>
  <si>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</si>
  <si>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</si>
  <si>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</si>
  <si>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</si>
  <si>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</si>
  <si>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</si>
  <si>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</si>
  <si>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</si>
  <si>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</si>
  <si>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</si>
  <si>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</si>
  <si>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</si>
  <si>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</si>
  <si>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</si>
  <si>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</si>
  <si>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</si>
  <si>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</si>
  <si>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Д-RU.РА01.В.62825/23, ЕАЭС N RU Д-RU.РА01.В.62909/23, ЕАЭС N RU Д-RU.РА01.В.63000/23</t>
  </si>
  <si>
    <t>P003906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</si>
  <si>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</si>
  <si>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</si>
  <si>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</si>
  <si>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</si>
  <si>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</si>
  <si>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</si>
  <si>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</si>
  <si>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</si>
  <si>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</si>
  <si>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</si>
  <si>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</si>
  <si>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</si>
  <si>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</si>
  <si>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</si>
  <si>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Д-RU.РА01.В.20899/23, ЕАЭС N RU Д-RU.РА03.В.39392/23</t>
  </si>
  <si>
    <t>P003328</t>
  </si>
  <si>
    <t>SU001718</t>
  </si>
  <si>
    <t>P003327</t>
  </si>
  <si>
    <t>SU002769</t>
  </si>
  <si>
    <t>P003324</t>
  </si>
  <si>
    <t>ЕАЭС N RU Д-RU.РА06.В.12617/22</t>
  </si>
  <si>
    <t>SU002658</t>
  </si>
  <si>
    <t>P003998</t>
  </si>
  <si>
    <t>Сосиски «Молокуши миникушай» Фикс.вес 0,45 амицел ТМ «Вязанка»</t>
  </si>
  <si>
    <t>P003326</t>
  </si>
  <si>
    <t>Сливушка</t>
  </si>
  <si>
    <t>SU002928</t>
  </si>
  <si>
    <t>P003902</t>
  </si>
  <si>
    <t>ЕАЭС N RU Д-RU.РА06.В.04803/22</t>
  </si>
  <si>
    <t>P003357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</si>
  <si>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</si>
  <si>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</si>
  <si>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</si>
  <si>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</si>
  <si>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</si>
  <si>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</si>
  <si>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</si>
  <si>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</si>
  <si>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</si>
  <si>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</si>
  <si>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</si>
  <si>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</si>
  <si>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</si>
  <si>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</si>
  <si>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</si>
  <si>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</si>
  <si>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</si>
  <si>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</si>
  <si>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SU003337</t>
  </si>
  <si>
    <t>P004117</t>
  </si>
  <si>
    <t>ЕАЭС N RU Д-RU.РА01.В.81091/24, ЕАЭС N RU Д-RU.РА01.В.81330/24</t>
  </si>
  <si>
    <t>SU002139</t>
  </si>
  <si>
    <t>P003162</t>
  </si>
  <si>
    <t>SU001720</t>
  </si>
  <si>
    <t>P003160</t>
  </si>
  <si>
    <t>SU003336</t>
  </si>
  <si>
    <t>P004116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</si>
  <si>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</si>
  <si>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</si>
  <si>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</si>
  <si>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</si>
  <si>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</si>
  <si>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</si>
  <si>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</si>
  <si>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</si>
  <si>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</si>
  <si>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</si>
  <si>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</si>
  <si>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</si>
  <si>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</si>
  <si>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</si>
  <si>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</si>
  <si>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</si>
  <si>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</si>
  <si>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</si>
  <si>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</si>
  <si>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</si>
  <si>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</si>
  <si>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</si>
  <si>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</si>
  <si>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</si>
  <si>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</si>
  <si>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</si>
  <si>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</si>
  <si>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</si>
  <si>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</si>
  <si>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Д-RU.РА02.В.62668/22</t>
  </si>
  <si>
    <t>SU000097</t>
  </si>
  <si>
    <t>P002179</t>
  </si>
  <si>
    <t>ЕАЭС N RU Д-RU.РА02.В.56867/22</t>
  </si>
  <si>
    <t>SU000665</t>
  </si>
  <si>
    <t>P002178</t>
  </si>
  <si>
    <t>SU001605</t>
  </si>
  <si>
    <t>P002180</t>
  </si>
  <si>
    <t>SU001527</t>
  </si>
  <si>
    <t>P003992</t>
  </si>
  <si>
    <t>ЕАЭС N RU Д-RU.РА07.В.08947/22</t>
  </si>
  <si>
    <t>SU001354</t>
  </si>
  <si>
    <t>P003030</t>
  </si>
  <si>
    <t>ЕАЭС N RU Д-RU.РА01.В.25957/22, ЕАЭС N RU Д-RU.РА10.В.03533/24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</si>
  <si>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</si>
  <si>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</si>
  <si>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</si>
  <si>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</si>
  <si>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</si>
  <si>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</si>
  <si>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</si>
  <si>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</si>
  <si>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</si>
  <si>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</si>
  <si>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</si>
  <si>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</si>
  <si>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</si>
  <si>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</si>
  <si>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</si>
  <si>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</si>
  <si>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</si>
  <si>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</si>
  <si>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</si>
  <si>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</si>
  <si>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</si>
  <si>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</si>
  <si>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</si>
  <si>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</si>
  <si>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</si>
  <si>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</si>
  <si>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</si>
  <si>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</si>
  <si>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</si>
  <si>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</si>
  <si>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</si>
  <si>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</si>
  <si>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</si>
  <si>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</si>
  <si>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</si>
  <si>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</si>
  <si>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</si>
  <si>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</si>
  <si>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</si>
  <si>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</si>
  <si>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</si>
  <si>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</si>
  <si>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</si>
  <si>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</si>
  <si>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</si>
  <si>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</si>
  <si>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</si>
  <si>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</si>
  <si>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</si>
  <si>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</si>
  <si>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</si>
  <si>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</si>
  <si>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</si>
  <si>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</si>
  <si>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</si>
  <si>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</si>
  <si>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</si>
  <si>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</si>
  <si>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Д-RU.РА01.В.99309/23, ЕАЭС N RU Д-RU.РА01.В.99334/23</t>
  </si>
  <si>
    <t>SU002795</t>
  </si>
  <si>
    <t>P004180</t>
  </si>
  <si>
    <t>ЕАЭС N RU Д-RU.РА02.В.51431/24, ЕАЭС N RU Д-RU.РА02.В.51546/24</t>
  </si>
  <si>
    <t>SU002845</t>
  </si>
  <si>
    <t>P003266</t>
  </si>
  <si>
    <t>ЕАЭС N RU Д-RU.РА01.В.99153/23, ЕАЭС N RU Д-RU.РА01.В.99184/23, ЕАЭС N RU Д-RU.РА01.В.99209/23</t>
  </si>
  <si>
    <t>SU002725</t>
  </si>
  <si>
    <t>P003959</t>
  </si>
  <si>
    <t>ЕАЭС N RU Д-RU.РА01.В.93966/24, ЕАЭС N RU Д-RU.РА01.В.98062/24</t>
  </si>
  <si>
    <t>SU002842</t>
  </si>
  <si>
    <t>P003262</t>
  </si>
  <si>
    <t>SU002992</t>
  </si>
  <si>
    <t>P004147</t>
  </si>
  <si>
    <t>ЕАЭС N RU Д-RU.РА01.В.93966/24, ЕАЭС N RU Д-RU.РА01.В.98062/24, ЕАЭС N RU Д-RU.РА08.В.57431/22</t>
  </si>
  <si>
    <t>SU002618</t>
  </si>
  <si>
    <t>P003957</t>
  </si>
  <si>
    <t>ЕАЭС N RU Д-RU.РА01.В.93966/24</t>
  </si>
  <si>
    <t>SU002621</t>
  </si>
  <si>
    <t>P003958</t>
  </si>
  <si>
    <t>SU003073</t>
  </si>
  <si>
    <t>P004148</t>
  </si>
  <si>
    <t>SU002686</t>
  </si>
  <si>
    <t>P004178</t>
  </si>
  <si>
    <t>SU002844</t>
  </si>
  <si>
    <t>P003265</t>
  </si>
  <si>
    <t>ЕАЭС N RU Д-RU.РА01.В.99184/23, ЕАЭС N RU Д-RU.РА01.В.99209/23</t>
  </si>
  <si>
    <t>SU003042</t>
  </si>
  <si>
    <t>P003608</t>
  </si>
  <si>
    <t>ЕАЭС N RU Д-RU.РА07.В.82328/22</t>
  </si>
  <si>
    <t>P004232</t>
  </si>
  <si>
    <t>ЕАЭС N RU Д-RU.РА01.В.93036/24</t>
  </si>
  <si>
    <t>P004884</t>
  </si>
  <si>
    <t>Сардельки «Сочинки» Весовой черева ТМ «Стародворье»</t>
  </si>
  <si>
    <t>ЕАЭС N RU Д-RU.РА01.В.93159/24, ЕАЭС N RU Д-RU.РА01.В.93294/24</t>
  </si>
  <si>
    <t>SU003043</t>
  </si>
  <si>
    <t>P003604</t>
  </si>
  <si>
    <t>ЕАЭС N RU Д-RU.РА06.В.64030/23, ЕАЭС N RU Д-RU.РА06.В.64058/23, ЕАЭС N RU Д-RU.РА10.В.01617/23</t>
  </si>
  <si>
    <t>SU002759</t>
  </si>
  <si>
    <t>P003961</t>
  </si>
  <si>
    <t>ЕАЭС N RU Д-RU.РА01.В.93572/24, ЕАЭС N RU Д-RU.РА01.В.93743/24</t>
  </si>
  <si>
    <t>SU002758</t>
  </si>
  <si>
    <t>P003960</t>
  </si>
  <si>
    <t>ЕАЭС N RU Д-RU.РА01.В.93036/24, ЕАЭС N RU Д-RU.РА01.В.93159/24, ЕАЭС N RU Д-RU.РА01.В.93294/24</t>
  </si>
  <si>
    <t>Филедворская</t>
  </si>
  <si>
    <t>SU003267</t>
  </si>
  <si>
    <t>P003941</t>
  </si>
  <si>
    <t>ЕАЭС N RU Д-RU.РА01.В.19834/24</t>
  </si>
  <si>
    <t>P004300</t>
  </si>
  <si>
    <t>ЕАЭС N RU Д-RU.РА03.В.61516/24</t>
  </si>
  <si>
    <t>ВЗ</t>
  </si>
  <si>
    <t>SU003269</t>
  </si>
  <si>
    <t>P003943</t>
  </si>
  <si>
    <t>ЕАЭС N RU Д-RU.РА01.В.16349/24</t>
  </si>
  <si>
    <t>SU003265</t>
  </si>
  <si>
    <t>P003939</t>
  </si>
  <si>
    <t>ЕАЭС N RU Д-RU.РА05.В.81953/23</t>
  </si>
  <si>
    <t>P004299</t>
  </si>
  <si>
    <t>SU003268</t>
  </si>
  <si>
    <t>P003942</t>
  </si>
  <si>
    <t>SU003270</t>
  </si>
  <si>
    <t>P003944</t>
  </si>
  <si>
    <t>SU003266</t>
  </si>
  <si>
    <t>P003940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</si>
  <si>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</si>
  <si>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</si>
  <si>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</si>
  <si>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</si>
  <si>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</si>
  <si>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</si>
  <si>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</si>
  <si>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</si>
  <si>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</si>
  <si>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</si>
  <si>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</si>
  <si>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Д-RU.РА02.В.59666/22</t>
  </si>
  <si>
    <t>P004298</t>
  </si>
  <si>
    <t>SU003274</t>
  </si>
  <si>
    <t>P004067</t>
  </si>
  <si>
    <t>SU003508</t>
  </si>
  <si>
    <t>P004417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</si>
  <si>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</si>
  <si>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</si>
  <si>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</si>
  <si>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</si>
  <si>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</si>
  <si>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</si>
  <si>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</si>
  <si>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</si>
  <si>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</si>
  <si>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</si>
  <si>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</si>
  <si>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</si>
  <si>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</si>
  <si>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</si>
  <si>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</si>
  <si>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</si>
  <si>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</si>
  <si>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</si>
  <si>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</si>
  <si>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</si>
  <si>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SU001792</t>
  </si>
  <si>
    <t>P001792</t>
  </si>
  <si>
    <t>ЕАЭС N RU Д-RU.РА02.В.77891/22</t>
  </si>
  <si>
    <t>SU003390</t>
  </si>
  <si>
    <t>P004208</t>
  </si>
  <si>
    <t>ЕАЭС N RU Д-RU.РА05.В.80946/24</t>
  </si>
  <si>
    <t>SU001795</t>
  </si>
  <si>
    <t>P001795</t>
  </si>
  <si>
    <t>ЕАЭС N RU Д-RU.РА02.В.59562/22</t>
  </si>
  <si>
    <t>SU003388</t>
  </si>
  <si>
    <t>P004207</t>
  </si>
  <si>
    <t>ЕАЭС N RU Д-RU.РА05.В.80546/24</t>
  </si>
  <si>
    <t>SU001794</t>
  </si>
  <si>
    <t>P001794</t>
  </si>
  <si>
    <t>ЕАЭС N RU Д-RU.РА02.В.62632/22</t>
  </si>
  <si>
    <t>Филедворская Золоченная в печи</t>
  </si>
  <si>
    <t>SU003427</t>
  </si>
  <si>
    <t>P004271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</si>
  <si>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</si>
  <si>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</si>
  <si>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</si>
  <si>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</si>
  <si>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</si>
  <si>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</si>
  <si>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</si>
  <si>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</si>
  <si>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</si>
  <si>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</si>
  <si>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SU002857</t>
  </si>
  <si>
    <t>P003264</t>
  </si>
  <si>
    <t>ЕАЭС N RU Д-RU.РА02.В.41322/24, ЕАЭС N RU Д-RU.РА09.В.03891/22, ЕАЭС N RU Д-RU.РА09.В.03932/22</t>
  </si>
  <si>
    <t>SU002802</t>
  </si>
  <si>
    <t>P003580</t>
  </si>
  <si>
    <t>ЕАЭС N RU Д-RU.РА09.В.04339/22, ЕАЭС N RU Д-RU.РА09.В.99193/24</t>
  </si>
  <si>
    <t>SU003814</t>
  </si>
  <si>
    <t>P004838</t>
  </si>
  <si>
    <t>SU002801</t>
  </si>
  <si>
    <t>P003475</t>
  </si>
  <si>
    <t>SU002799</t>
  </si>
  <si>
    <t>P003217</t>
  </si>
  <si>
    <t>SU002800</t>
  </si>
  <si>
    <t>P003201</t>
  </si>
  <si>
    <t>ЕАЭС N RU Д-RU.РА02.В.41322/24, ЕАЭС N RU Д-RU.РА09.В.03891/22, ЕАЭС N RU Д-RU.РА09.В.04339/22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</si>
  <si>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</si>
  <si>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</si>
  <si>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</si>
  <si>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</si>
  <si>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</si>
  <si>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</si>
  <si>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</si>
  <si>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SU003076</t>
  </si>
  <si>
    <t>P002965</t>
  </si>
  <si>
    <t>ЕАЭС N RU Д-RU.РА05.В.42328/23</t>
  </si>
  <si>
    <t>SU003340</t>
  </si>
  <si>
    <t>P004090</t>
  </si>
  <si>
    <t>ЕАЭС N RU Д-RU.РА09.В.08947/23, ЕАЭС N RU Д-RU.РА09.В.09344/23, ЕАЭС N RU Д-RU.РА09.В.09542/23</t>
  </si>
  <si>
    <t>Царедворская EDLP/EDPP</t>
  </si>
  <si>
    <t>SU002616</t>
  </si>
  <si>
    <t>P002950</t>
  </si>
  <si>
    <t>ЕАЭС N RU Д-RU.РА03.В.34702/22</t>
  </si>
  <si>
    <t>SU002699</t>
  </si>
  <si>
    <t>P003073</t>
  </si>
  <si>
    <t>ЕАЭС N RU Д-RU.РА06.В.77461/22</t>
  </si>
  <si>
    <t>SU002723</t>
  </si>
  <si>
    <t>P003124</t>
  </si>
  <si>
    <t>ЕАЭС N RU Д-RU.РА07.В.83514/22</t>
  </si>
  <si>
    <t>SU002619</t>
  </si>
  <si>
    <t>P002953</t>
  </si>
  <si>
    <t>ЕАЭС N RU Д-RU.РА03.В.86382/22</t>
  </si>
  <si>
    <t>Филедворская EDLP/EDPP</t>
  </si>
  <si>
    <t>SU003051</t>
  </si>
  <si>
    <t>P003605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</si>
  <si>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</si>
  <si>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</si>
  <si>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</si>
  <si>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</si>
  <si>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</si>
  <si>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</si>
  <si>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</si>
  <si>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SU003053</t>
  </si>
  <si>
    <t>P003606</t>
  </si>
  <si>
    <t>ЕАЭС N RU Д-RU.РА05.В.76026/23, ЕАЭС N RU Д-RU.РА05.В.76121/23, ЕАЭС N RU Д-RU.РА05.В.76190/23</t>
  </si>
  <si>
    <t>Мясинская</t>
  </si>
  <si>
    <t>SU003264</t>
  </si>
  <si>
    <t>P003938</t>
  </si>
  <si>
    <t>ЕАЭС N RU Д-RU.РА10.В.38607/23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</si>
  <si>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</si>
  <si>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</si>
  <si>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</si>
  <si>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</si>
  <si>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</si>
  <si>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</si>
  <si>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</si>
  <si>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</si>
  <si>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</si>
  <si>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</si>
  <si>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</si>
  <si>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</si>
  <si>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</si>
  <si>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</si>
  <si>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</si>
  <si>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SU002894</t>
  </si>
  <si>
    <t>P003314</t>
  </si>
  <si>
    <t>ЕАЭС N RU Д-RU.РА04.В.76845/23, ЕАЭС N RU Д-RU.РА04.В.76869/23</t>
  </si>
  <si>
    <t>SU003393</t>
  </si>
  <si>
    <t>P004211</t>
  </si>
  <si>
    <t>SU001800</t>
  </si>
  <si>
    <t>P001800</t>
  </si>
  <si>
    <t>ЕАЭС N RU Д-RU.РА02.В.63029/22</t>
  </si>
  <si>
    <t>SU001820</t>
  </si>
  <si>
    <t>P001820</t>
  </si>
  <si>
    <t>ЕАЭС N RU Д-RU.РА02.В.56858/22</t>
  </si>
  <si>
    <t>SU001822</t>
  </si>
  <si>
    <t>P003013</t>
  </si>
  <si>
    <t>ЕАЭС N RU Д-RU.РА02.В.56859/22</t>
  </si>
  <si>
    <t>SU001801</t>
  </si>
  <si>
    <t>P003014</t>
  </si>
  <si>
    <t>ЕАЭС N RU Д-RU.РА02.В.56862/22</t>
  </si>
  <si>
    <t>SU002579</t>
  </si>
  <si>
    <t>P003012</t>
  </si>
  <si>
    <t>SU001340</t>
  </si>
  <si>
    <t>P002209</t>
  </si>
  <si>
    <t>ЕАЭС N RU Д-RU.АБ75.В.00420/19, ЕАЭС N RU Д-RU.РА02.В.59556/22, ЕАЭС N RU Д-RU.РА04.В.49333/24, ЕАЭС № RU Д-RU.АБ75.В.00705/19</t>
  </si>
  <si>
    <t>SU001727</t>
  </si>
  <si>
    <t>P002205</t>
  </si>
  <si>
    <t>ЕАЭС N RU Д-RU.АБ75.В.00420/19, ЕАЭС N RU Д-RU.РА02.В.59549/22, ЕАЭС N RU Д-RU.РА10.В.03664/24</t>
  </si>
  <si>
    <t>SU001728</t>
  </si>
  <si>
    <t>P002207</t>
  </si>
  <si>
    <t>ЕАЭС N RU Д-RU.АБ75.В.00420/19, ЕАЭС N RU Д-RU.РА02.В.59684/22, ЕАЭС N RU Д-RU.РА10.В.11265/24</t>
  </si>
  <si>
    <t>SU003333</t>
  </si>
  <si>
    <t>P004082</t>
  </si>
  <si>
    <t>ЕАЭС N RU Д-RU.РА01.В.41891/22, ЕАЭС N RU Д-RU.РА02.В.59556/22, ЕАЭС N RU Д-RU.РА04.В.49333/24</t>
  </si>
  <si>
    <t>SU001763</t>
  </si>
  <si>
    <t>P002206</t>
  </si>
  <si>
    <t>ЕАЭС N RU Д-RU.АБ75.В.00420/19, ЕАЭС N RU Д-RU.РА02.В.59549/22, ЕАЭС № RU Д-RU.АБ75.В.00703/19</t>
  </si>
  <si>
    <t>SU001762</t>
  </si>
  <si>
    <t>P002208</t>
  </si>
  <si>
    <t>ЕАЭС N RU Д-RU.АБ75.В.00420/19, ЕАЭС N RU Д-RU.РА02.В.59684/22, ЕАЭС N RU Д-RU.РА10.В.11265/24, ЕАЭС № RU Д-RU.АБ75.В.00704/19</t>
  </si>
  <si>
    <t>SU001051</t>
  </si>
  <si>
    <t>P003997</t>
  </si>
  <si>
    <t>ЕАЭС N RU Д-RU.РА01.В.99293/24, ЕАЭС N RU Д-RU.РА01.В.99372/24, ЕАЭС N RU Д-RU.РА01.В.99458/24</t>
  </si>
  <si>
    <t>SU000227</t>
  </si>
  <si>
    <t>P002536</t>
  </si>
  <si>
    <t>ЕАЭС N RU Д-RU.РА01.В.44476/21, ЕАЭС N RU Д-RU.РА03.В.18017/24, ЕАЭС N RU Д-RU.РА03.В.24110/24</t>
  </si>
  <si>
    <t>SU001430</t>
  </si>
  <si>
    <t>P004913</t>
  </si>
  <si>
    <t>Сардельки «Шпикачки Стародворские» Весовой NDX ТМ «Стародворье»</t>
  </si>
  <si>
    <t>ЕАЭС N RU Д-RU.РА10.В.28304/24</t>
  </si>
  <si>
    <t>P002036</t>
  </si>
  <si>
    <t>ЕАЭС N RU Д-RU.РА03.В.16871/22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</si>
  <si>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</si>
  <si>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</si>
  <si>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</si>
  <si>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</si>
  <si>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SU001921</t>
  </si>
  <si>
    <t>P001916</t>
  </si>
  <si>
    <t>С/к колбасы Салями Охотничья Бордо Весовые б/о терм/п 180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</si>
  <si>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</si>
  <si>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</si>
  <si>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</si>
  <si>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</si>
  <si>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</si>
  <si>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</si>
  <si>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</si>
  <si>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</si>
  <si>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</si>
  <si>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</si>
  <si>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</si>
  <si>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</si>
  <si>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</si>
  <si>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</si>
  <si>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</si>
  <si>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</si>
  <si>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</si>
  <si>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</si>
  <si>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</si>
  <si>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</si>
  <si>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Д-RU.РА04.В.57451/23, ЕАЭС № RU Д-RU.АБ75.В.01081/20</t>
  </si>
  <si>
    <t>SU003167</t>
  </si>
  <si>
    <t>P003363</t>
  </si>
  <si>
    <t>ЕАЭС N RU Д-RU.РА05.В.42328/23, ЕАЭС N RU Д-RU.РА05.В.42404/23,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</si>
  <si>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</si>
  <si>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</si>
  <si>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</si>
  <si>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</si>
  <si>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</si>
  <si>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</si>
  <si>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</si>
  <si>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</si>
  <si>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</si>
  <si>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</si>
  <si>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</si>
  <si>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</si>
  <si>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</si>
  <si>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</si>
  <si>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</si>
  <si>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P004293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</si>
  <si>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</si>
  <si>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</si>
  <si>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</si>
  <si>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</si>
  <si>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Д-RU.РА09.В.35957/22, ЕАЭС № RU Д- RU.АБ75.В.00578/19</t>
  </si>
  <si>
    <t>SU002787</t>
  </si>
  <si>
    <t>P003189</t>
  </si>
  <si>
    <t>ЕАЭС N RU Д-RU.РА05.В.17033/23, ЕАЭС N RU Д-RU.РА05.В.17083/23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</si>
  <si>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</si>
  <si>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</si>
  <si>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</si>
  <si>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</si>
  <si>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</si>
  <si>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</si>
  <si>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</si>
  <si>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</si>
  <si>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</si>
  <si>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</si>
  <si>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</si>
  <si>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</si>
  <si>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</si>
  <si>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</si>
  <si>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</si>
  <si>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</si>
  <si>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</si>
  <si>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</si>
  <si>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</si>
  <si>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</si>
  <si>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</si>
  <si>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</si>
  <si>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</si>
  <si>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</si>
  <si>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</si>
  <si>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</si>
  <si>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</si>
  <si>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SU003226</t>
  </si>
  <si>
    <t>P003844</t>
  </si>
  <si>
    <t>P004260</t>
  </si>
  <si>
    <t>SU003424</t>
  </si>
  <si>
    <t>P004259</t>
  </si>
  <si>
    <t>ЕАЭС N RU Д-RU.РА03.В.31251/24, ЕАЭС N RU Д-RU.РА09.В.96881/24, ЕАЭС N RU Д-RU.РА10.В.04488/24</t>
  </si>
  <si>
    <t>SU002187</t>
  </si>
  <si>
    <t>P002559</t>
  </si>
  <si>
    <t>ЕАЭС N RU Д-RU.РА01.В.58959/20, ЕАЭС N RU Д-RU.РА01.В.58970/20, ЕАЭС N RU Д-RU.РА09.В.43414/22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</si>
  <si>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</si>
  <si>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</si>
  <si>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</si>
  <si>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</si>
  <si>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</si>
  <si>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</si>
  <si>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</si>
  <si>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</si>
  <si>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</si>
  <si>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</si>
  <si>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</si>
  <si>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Сосиски «Молочные для завтрака» Весовой п/а ТМ «Особый рецепт»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</si>
  <si>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</si>
  <si>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</si>
  <si>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</si>
  <si>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</si>
  <si>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</si>
  <si>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</si>
  <si>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</si>
  <si>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ЕАЭС N RU Д-RU.РА03.В.21982/24, ЕАЭС N RU Д-RU.РА03.В.22876/24, ЕАЭС N RU Д-RU.РА03.В.22955/24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</si>
  <si>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</si>
  <si>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</si>
  <si>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</si>
  <si>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</si>
  <si>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</si>
  <si>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</si>
  <si>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</si>
  <si>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</si>
  <si>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</si>
  <si>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</si>
  <si>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</si>
  <si>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</si>
  <si>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</si>
  <si>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</si>
  <si>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</si>
  <si>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</si>
  <si>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</si>
  <si>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</si>
  <si>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</si>
  <si>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</si>
  <si>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</si>
  <si>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</si>
  <si>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</si>
  <si>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</si>
  <si>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</si>
  <si>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</si>
  <si>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SU003079</t>
  </si>
  <si>
    <t>P004354</t>
  </si>
  <si>
    <t>ЕАЭС N RU Д-RU.РА02.В.65693/23</t>
  </si>
  <si>
    <t>P004547</t>
  </si>
  <si>
    <t>В/к колбасы «Сервелат Филейбургский с ароматными пряностями» срез Фикс.вес 0,28 фиброуз ТМ «Баварушка»</t>
  </si>
  <si>
    <t>SU002602</t>
  </si>
  <si>
    <t>P004344</t>
  </si>
  <si>
    <t>P004518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</si>
  <si>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</si>
  <si>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</si>
  <si>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</si>
  <si>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</si>
  <si>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</si>
  <si>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</si>
  <si>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P004351</t>
  </si>
  <si>
    <t>ЕАЭС N RU Д-RU.РА02.В.66890/23</t>
  </si>
  <si>
    <t>P004521</t>
  </si>
  <si>
    <t>SU002603</t>
  </si>
  <si>
    <t>P004519</t>
  </si>
  <si>
    <t>SU003082</t>
  </si>
  <si>
    <t>P003644</t>
  </si>
  <si>
    <t>ЕАЭС N RU Д-RU.РА03.В.60842/22</t>
  </si>
  <si>
    <t>P004541</t>
  </si>
  <si>
    <t>В/к колбасы «Филейбургская с душистым чесноком» срез Фикс.вес 0,28 фиброуз в/у Баварушка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</si>
  <si>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</si>
  <si>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</si>
  <si>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</si>
  <si>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</si>
  <si>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</si>
  <si>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</si>
  <si>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SU003281</t>
  </si>
  <si>
    <t>P003774</t>
  </si>
  <si>
    <t>ЕАЭС N RU Д-RU.РА05.В.39473/23</t>
  </si>
  <si>
    <t>ДК</t>
  </si>
  <si>
    <t>10</t>
  </si>
  <si>
    <t>Балыкбургская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</si>
  <si>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</si>
  <si>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</si>
  <si>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</si>
  <si>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</si>
  <si>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</si>
  <si>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</si>
  <si>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</si>
  <si>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</si>
  <si>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</si>
  <si>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</si>
  <si>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</si>
  <si>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</si>
  <si>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</si>
  <si>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</si>
  <si>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</si>
  <si>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P004339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</si>
  <si>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</si>
  <si>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</si>
  <si>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</si>
  <si>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</si>
  <si>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</si>
  <si>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</si>
  <si>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</si>
  <si>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</si>
  <si>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</si>
  <si>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SU003505</t>
  </si>
  <si>
    <t>P004924</t>
  </si>
  <si>
    <t>Копченые колбасы «Краковюрст» Фикс.вес 0,28 NDX ТМ «Баварушка»</t>
  </si>
  <si>
    <t>ЕАЭС N RU Д-RU.РА07.В.99597/24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</si>
  <si>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</si>
  <si>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</si>
  <si>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</si>
  <si>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</si>
  <si>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</si>
  <si>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</si>
  <si>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</si>
  <si>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</si>
  <si>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SU003847</t>
  </si>
  <si>
    <t>P004917</t>
  </si>
  <si>
    <t>Вареные колбасы «Докторская» ГОСТ 23670-2019 Фикс.вес 0,4 полиамид ТМ «Стародворье»</t>
  </si>
  <si>
    <t>Новинка</t>
  </si>
  <si>
    <t>SU002011</t>
  </si>
  <si>
    <t>P004028</t>
  </si>
  <si>
    <t>SU002182</t>
  </si>
  <si>
    <t>P004406</t>
  </si>
  <si>
    <t>ЕАЭС N RU Д-RU.РА02.В.51764/24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</si>
  <si>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</si>
  <si>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</si>
  <si>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</si>
  <si>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</si>
  <si>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</si>
  <si>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</si>
  <si>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</si>
  <si>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</si>
  <si>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</si>
  <si>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SU002634</t>
  </si>
  <si>
    <t>P002989</t>
  </si>
  <si>
    <t>ЕАЭС N RU Д-RU.РА03.В.56116/24</t>
  </si>
  <si>
    <t>SU002632</t>
  </si>
  <si>
    <t>P004043</t>
  </si>
  <si>
    <t>P004689</t>
  </si>
  <si>
    <t>SU002635</t>
  </si>
  <si>
    <t>P004690</t>
  </si>
  <si>
    <t>SU003786</t>
  </si>
  <si>
    <t>P004752</t>
  </si>
  <si>
    <t>Вареные колбасы «Молочная Дугушка» Фикс.вес 0,4 полиамид ТМ «Дугушка»</t>
  </si>
  <si>
    <t>ЕАЭС N RU Д-RU.РА02.В.59575/22, ЕАЭС N RU Д-RU.РА07.В.78433/22</t>
  </si>
  <si>
    <t>SU002631</t>
  </si>
  <si>
    <t>P004048</t>
  </si>
  <si>
    <t>P004688</t>
  </si>
  <si>
    <t>SU003812</t>
  </si>
  <si>
    <t>P004853</t>
  </si>
  <si>
    <t>Вареные колбасы «Молочная» ГОСТ 23670-2019 Фикс.вес 0,55 п/а ТМ «Стародворье»</t>
  </si>
  <si>
    <t>SU003813</t>
  </si>
  <si>
    <t>P004854</t>
  </si>
  <si>
    <t>Вареные колбасы «Русская» ГОСТ 23670-2019 Фикс.вес 0,55 п/а ТМ «Стародворье»</t>
  </si>
  <si>
    <t>SU003810</t>
  </si>
  <si>
    <t>P004851</t>
  </si>
  <si>
    <t>Вареные колбасы «Дугушка Стародворская» Фикс.вес 0,55 п/а ТМ «Стародворье»</t>
  </si>
  <si>
    <t>SU003742</t>
  </si>
  <si>
    <t>P004757</t>
  </si>
  <si>
    <t>Ветчины «Дугушка» Фикс.вес 0,4 полиамид ТМ «Стародворье»</t>
  </si>
  <si>
    <t>ЕАЭС N RU Д-RU.РА04.В.71599/24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</si>
  <si>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</si>
  <si>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</si>
  <si>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</si>
  <si>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</si>
  <si>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</si>
  <si>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SU002643</t>
  </si>
  <si>
    <t>P004923</t>
  </si>
  <si>
    <t>Ветчины «Дугушка» Фикс.вес 0,6 полиамид ТМ «Дугушка»</t>
  </si>
  <si>
    <t>SU003848</t>
  </si>
  <si>
    <t>P004918</t>
  </si>
  <si>
    <t>В/к колбасы «Рубленая запеченная» Фикс.вес 0,4 полиамид ТМ «Стародворье»</t>
  </si>
  <si>
    <t>ЕАЭС N RU Д-RU.РА04.В.72302/24</t>
  </si>
  <si>
    <t>SU002150</t>
  </si>
  <si>
    <t>P004465</t>
  </si>
  <si>
    <t>В/к колбасы «Рубленая Запеченная» Весовые Вектор ТМ «Дугушка»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</si>
  <si>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</si>
  <si>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</si>
  <si>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</si>
  <si>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</si>
  <si>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</si>
  <si>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</si>
  <si>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</si>
  <si>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</si>
  <si>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SU002916</t>
  </si>
  <si>
    <t>P004934</t>
  </si>
  <si>
    <t>В/к колбасы «Рубленая Запеченная» Фикс.вес 0,6 вектор ТМ «Дугушка»</t>
  </si>
  <si>
    <t>P004692</t>
  </si>
  <si>
    <t>ЕАЭС N RU Д-RU.РА05.В.41862/23</t>
  </si>
  <si>
    <t>P004468</t>
  </si>
  <si>
    <t>В/к колбасы «Рубленая Запеченная» Фикс.вес 0,6 Вектор ТМ «Дугушка»</t>
  </si>
  <si>
    <t>SU002919</t>
  </si>
  <si>
    <t>P003635</t>
  </si>
  <si>
    <t>ЕАЭС № RU Д-RU.РА01.В.04512/20</t>
  </si>
  <si>
    <t>P004930</t>
  </si>
  <si>
    <t>Копченые колбасы «Салями Запеченая» Фикс.вес 0,6 вектор ТМ «Стародворье»</t>
  </si>
  <si>
    <t>SU002918</t>
  </si>
  <si>
    <t>P003637</t>
  </si>
  <si>
    <t>ЕАЭС N RU Д-RU.РА01.В.81823/20</t>
  </si>
  <si>
    <t>P004929</t>
  </si>
  <si>
    <t>В/к колбасы «Сервелат Запеченный» Фикс.вес 0,6 вектор ТМ «Стародворье»</t>
  </si>
  <si>
    <t>P004693</t>
  </si>
  <si>
    <t>SU002218</t>
  </si>
  <si>
    <t>P002854</t>
  </si>
  <si>
    <t>ЕАЭС N RU Д-RU.РА11.В.11513/23, ЕАЭС № RU Д-RU.РА01.В.93894/20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</si>
  <si>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</si>
  <si>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</si>
  <si>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</si>
  <si>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</si>
  <si>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</si>
  <si>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Д-RU.РА04.В.72602/23,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</si>
  <si>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</si>
  <si>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</si>
  <si>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</si>
  <si>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</si>
  <si>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</si>
  <si>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</si>
  <si>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Сафияль</t>
  </si>
  <si>
    <t>SU003401</t>
  </si>
  <si>
    <t>P004243</t>
  </si>
  <si>
    <t>Вареные колбасы «Исламская халяль» Весовой п/а ТМ «Сафияль»</t>
  </si>
  <si>
    <t>ЕАЭС N RU Д-RU.РА05.В.47527/24</t>
  </si>
  <si>
    <t>САМ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</si>
  <si>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</si>
  <si>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</si>
  <si>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</si>
  <si>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</si>
  <si>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</si>
  <si>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</si>
  <si>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</si>
  <si>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</si>
  <si>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</si>
  <si>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</si>
  <si>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</si>
  <si>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</si>
  <si>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</si>
  <si>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</si>
  <si>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</si>
  <si>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</si>
  <si>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</si>
  <si>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</si>
  <si>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</si>
  <si>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</si>
  <si>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</si>
  <si>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</si>
  <si>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</si>
  <si>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</si>
  <si>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</si>
  <si>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</si>
  <si>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</si>
  <si>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</si>
  <si>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</si>
  <si>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</si>
  <si>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</si>
  <si>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</si>
  <si>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</si>
  <si>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</si>
  <si>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</si>
  <si>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</si>
  <si>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</si>
  <si>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</si>
  <si>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</si>
  <si>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</si>
  <si>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</si>
  <si>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</si>
  <si>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</si>
  <si>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</si>
  <si>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</si>
  <si>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</si>
  <si>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</si>
  <si>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</si>
  <si>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</si>
  <si>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</si>
  <si>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</si>
  <si>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</si>
  <si>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</si>
  <si>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</si>
  <si>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</si>
  <si>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</si>
  <si>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</si>
  <si>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</si>
  <si>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</si>
  <si>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</si>
  <si>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</si>
  <si>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</si>
  <si>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</si>
  <si>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</si>
  <si>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</si>
  <si>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</si>
  <si>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</si>
  <si>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</si>
  <si>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</si>
  <si>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ЕАЭС N RU Д-RU.РА05.В.94085/23</t>
  </si>
  <si>
    <t>P004737</t>
  </si>
  <si>
    <t>Сосиски «Датские» Весовой п/а ТМ «Зареченские продукты»</t>
  </si>
  <si>
    <t>SU002803</t>
  </si>
  <si>
    <t>P003590</t>
  </si>
  <si>
    <t>Сосиски «Сочные» Весовой п/а ТМ «Зареченские»</t>
  </si>
  <si>
    <t>ЕАЭС N RU Д-RU.РА05.В.94245/23</t>
  </si>
  <si>
    <t>P004738</t>
  </si>
  <si>
    <t>Сосиски «Сочные» Весовой п/а ТМ «Зареченские продукты»</t>
  </si>
  <si>
    <t>SU002812</t>
  </si>
  <si>
    <t>P003218</t>
  </si>
  <si>
    <t>Сосиски «Датские» Фикс.вес 0,3 П/а мгс ТМ «Зареченские»</t>
  </si>
  <si>
    <t>P004879</t>
  </si>
  <si>
    <t>Сосиски «Датские» Фикс.вес 0,3 п/а ТМ «Зареченские продукты»</t>
  </si>
  <si>
    <t>SU002922</t>
  </si>
  <si>
    <t>P003358</t>
  </si>
  <si>
    <t>Сосиски «Сочные» Фикс.Вес 0,3 п/а ТМ «Зареченские»</t>
  </si>
  <si>
    <t>P004880</t>
  </si>
  <si>
    <t>Сосиски «Сочные» Фикс.вес 0,3 п/а ТМ «Зареченские продукты»</t>
  </si>
  <si>
    <t>SU002970</t>
  </si>
  <si>
    <t>P003422</t>
  </si>
  <si>
    <t>Сардельки Зареченские Весовой NDX ТМ Зареченские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</si>
  <si>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</si>
  <si>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</si>
  <si>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</si>
  <si>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</si>
  <si>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</si>
  <si>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</si>
  <si>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</si>
  <si>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</si>
  <si>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</si>
  <si>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</si>
  <si>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</si>
  <si>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</si>
  <si>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</si>
  <si>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</si>
  <si>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SU003055</t>
  </si>
  <si>
    <t>P004323</t>
  </si>
  <si>
    <t>Вареные колбасы «Мясная со шпиком» Весовой п/а ТМ «Зареченские» HR</t>
  </si>
  <si>
    <t>ЕАЭС N RU Д-RU.РА06.В.29400/23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</si>
  <si>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</si>
  <si>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</si>
  <si>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</si>
  <si>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</si>
  <si>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</si>
  <si>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</si>
  <si>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</si>
  <si>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</si>
  <si>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</si>
  <si>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</si>
  <si>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</si>
  <si>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</si>
  <si>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SU002968</t>
  </si>
  <si>
    <t>P004321</t>
  </si>
  <si>
    <t>Сосиски «Молочные классические» Весовой п/а ТМ «Зареченские» HR</t>
  </si>
  <si>
    <t>ЕАЭС N RU Д-RU.РА05.В.10146/23</t>
  </si>
  <si>
    <t>MSDAX_КИ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</si>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</sst>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107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17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Border="1" applyAlignment="1" applyProtection="1">
      <alignment wrapText="1"/>
      <protection hidden="1"/>
    </xf>
    <xf numFmtId="0" fontId="939" fillId="0" borderId="0" xfId="0" applyFont="1"/>
    <xf numFmtId="0" fontId="941" fillId="0" borderId="11" xfId="0" applyFont="1" applyBorder="1" applyAlignment="1" applyProtection="1">
      <alignment wrapText="1"/>
      <protection hidden="1"/>
    </xf>
    <xf numFmtId="0" fontId="942" fillId="0" borderId="0" xfId="0" applyFont="1"/>
    <xf numFmtId="0" fontId="944" fillId="0" borderId="11" xfId="0" applyFont="1" applyBorder="1" applyAlignment="1" applyProtection="1">
      <alignment wrapText="1"/>
      <protection hidden="1"/>
    </xf>
    <xf numFmtId="0" fontId="945" fillId="0" borderId="0" xfId="0" applyFont="1"/>
    <xf numFmtId="0" fontId="947" fillId="0" borderId="11" xfId="0" applyFont="1" applyBorder="1" applyAlignment="1" applyProtection="1">
      <alignment wrapText="1"/>
      <protection hidden="1"/>
    </xf>
    <xf numFmtId="0" fontId="948" fillId="0" borderId="0" xfId="0" applyFont="1"/>
    <xf numFmtId="0" fontId="950" fillId="0" borderId="11" xfId="0" applyFont="1" applyBorder="1" applyAlignment="1" applyProtection="1">
      <alignment wrapText="1"/>
      <protection hidden="1"/>
    </xf>
    <xf numFmtId="0" fontId="951" fillId="0" borderId="0" xfId="0" applyFont="1"/>
    <xf numFmtId="0" fontId="953" fillId="0" borderId="11" xfId="0" applyFont="1" applyBorder="1" applyAlignment="1" applyProtection="1">
      <alignment wrapText="1"/>
      <protection hidden="1"/>
    </xf>
    <xf numFmtId="0" fontId="954" fillId="0" borderId="0" xfId="0" applyFont="1"/>
    <xf numFmtId="0" fontId="956" fillId="0" borderId="11" xfId="0" applyFont="1" applyBorder="1" applyAlignment="1" applyProtection="1">
      <alignment wrapText="1"/>
      <protection hidden="1"/>
    </xf>
    <xf numFmtId="0" fontId="957" fillId="0" borderId="0" xfId="0" applyFont="1"/>
    <xf numFmtId="0" fontId="959" fillId="0" borderId="11" xfId="0" applyFont="1" applyBorder="1" applyAlignment="1" applyProtection="1">
      <alignment wrapText="1"/>
      <protection hidden="1"/>
    </xf>
    <xf numFmtId="0" fontId="960" fillId="0" borderId="0" xfId="0" applyFont="1"/>
    <xf numFmtId="0" fontId="962" fillId="0" borderId="11" xfId="0" applyFont="1" applyBorder="1" applyAlignment="1" applyProtection="1">
      <alignment wrapText="1"/>
      <protection hidden="1"/>
    </xf>
    <xf numFmtId="0" fontId="963" fillId="0" borderId="0" xfId="0" applyFont="1"/>
    <xf numFmtId="0" fontId="965" fillId="0" borderId="11" xfId="0" applyFont="1" applyBorder="1" applyAlignment="1" applyProtection="1">
      <alignment wrapText="1"/>
      <protection hidden="1"/>
    </xf>
    <xf numFmtId="0" fontId="966" fillId="0" borderId="0" xfId="0" applyFont="1"/>
    <xf numFmtId="0" fontId="968" fillId="0" borderId="11" xfId="0" applyFont="1" applyBorder="1" applyAlignment="1" applyProtection="1">
      <alignment wrapText="1"/>
      <protection hidden="1"/>
    </xf>
    <xf numFmtId="0" fontId="969" fillId="0" borderId="0" xfId="0" applyFont="1"/>
    <xf numFmtId="0" fontId="971" fillId="0" borderId="11" xfId="0" applyFont="1" applyBorder="1" applyAlignment="1" applyProtection="1">
      <alignment wrapText="1"/>
      <protection hidden="1"/>
    </xf>
    <xf numFmtId="0" fontId="972" fillId="0" borderId="0" xfId="0" applyFont="1"/>
    <xf numFmtId="0" fontId="974" fillId="0" borderId="11" xfId="0" applyFont="1" applyBorder="1" applyAlignment="1" applyProtection="1">
      <alignment wrapText="1"/>
      <protection hidden="1"/>
    </xf>
    <xf numFmtId="0" fontId="975" fillId="0" borderId="0" xfId="0" applyFont="1"/>
    <xf numFmtId="0" fontId="977" fillId="0" borderId="11" xfId="0" applyFont="1" applyBorder="1" applyAlignment="1" applyProtection="1">
      <alignment wrapText="1"/>
      <protection hidden="1"/>
    </xf>
    <xf numFmtId="0" fontId="978" fillId="0" borderId="0" xfId="0" applyFont="1"/>
    <xf numFmtId="0" fontId="980" fillId="0" borderId="11" xfId="0" applyFont="1" applyBorder="1" applyAlignment="1" applyProtection="1">
      <alignment wrapText="1"/>
      <protection hidden="1"/>
    </xf>
    <xf numFmtId="0" fontId="981" fillId="0" borderId="0" xfId="0" applyFont="1"/>
    <xf numFmtId="0" fontId="983" fillId="0" borderId="11" xfId="0" applyFont="1" applyBorder="1" applyAlignment="1" applyProtection="1">
      <alignment wrapText="1"/>
      <protection hidden="1"/>
    </xf>
    <xf numFmtId="0" fontId="984" fillId="0" borderId="0" xfId="0" applyFont="1"/>
    <xf numFmtId="0" fontId="986" fillId="0" borderId="11" xfId="0" applyFont="1" applyBorder="1" applyAlignment="1" applyProtection="1">
      <alignment wrapText="1"/>
      <protection hidden="1"/>
    </xf>
    <xf numFmtId="0" fontId="987" fillId="0" borderId="0" xfId="0" applyFont="1"/>
    <xf numFmtId="0" fontId="989" fillId="0" borderId="11" xfId="0" applyFont="1" applyBorder="1" applyAlignment="1" applyProtection="1">
      <alignment wrapText="1"/>
      <protection hidden="1"/>
    </xf>
    <xf numFmtId="0" fontId="990" fillId="0" borderId="0" xfId="0" applyFont="1"/>
    <xf numFmtId="0" fontId="992" fillId="0" borderId="11" xfId="0" applyFont="1" applyBorder="1" applyAlignment="1" applyProtection="1">
      <alignment wrapText="1"/>
      <protection hidden="1"/>
    </xf>
    <xf numFmtId="0" fontId="993" fillId="0" borderId="0" xfId="0" applyFont="1"/>
    <xf numFmtId="0" fontId="995" fillId="0" borderId="11" xfId="0" applyFont="1" applyBorder="1" applyAlignment="1" applyProtection="1">
      <alignment wrapText="1"/>
      <protection hidden="1"/>
    </xf>
    <xf numFmtId="0" fontId="996" fillId="0" borderId="0" xfId="0" applyFont="1"/>
    <xf numFmtId="0" fontId="998" fillId="0" borderId="11" xfId="0" applyFont="1" applyBorder="1" applyAlignment="1" applyProtection="1">
      <alignment wrapText="1"/>
      <protection hidden="1"/>
    </xf>
    <xf numFmtId="0" fontId="999" fillId="0" borderId="0" xfId="0" applyFont="1"/>
    <xf numFmtId="0" fontId="1001" fillId="0" borderId="11" xfId="0" applyFont="1" applyBorder="1" applyAlignment="1" applyProtection="1">
      <alignment wrapText="1"/>
      <protection hidden="1"/>
    </xf>
    <xf numFmtId="0" fontId="1002" fillId="0" borderId="0" xfId="0" applyFont="1"/>
    <xf numFmtId="0" fontId="1004" fillId="0" borderId="11" xfId="0" applyFont="1" applyBorder="1" applyAlignment="1" applyProtection="1">
      <alignment wrapText="1"/>
      <protection hidden="1"/>
    </xf>
    <xf numFmtId="0" fontId="1005" fillId="0" borderId="0" xfId="0" applyFont="1"/>
    <xf numFmtId="0" fontId="1007" fillId="0" borderId="11" xfId="0" applyFont="1" applyBorder="1" applyAlignment="1" applyProtection="1">
      <alignment wrapText="1"/>
      <protection hidden="1"/>
    </xf>
    <xf numFmtId="0" fontId="1008" fillId="0" borderId="0" xfId="0" applyFont="1"/>
    <xf numFmtId="0" fontId="1010" fillId="0" borderId="11" xfId="0" applyFont="1" applyBorder="1" applyAlignment="1" applyProtection="1">
      <alignment wrapText="1"/>
      <protection hidden="1"/>
    </xf>
    <xf numFmtId="0" fontId="1011" fillId="0" borderId="0" xfId="0" applyFont="1"/>
    <xf numFmtId="0" fontId="1013" fillId="0" borderId="11" xfId="0" applyFont="1" applyBorder="1" applyAlignment="1" applyProtection="1">
      <alignment wrapText="1"/>
      <protection hidden="1"/>
    </xf>
    <xf numFmtId="0" fontId="1014" fillId="0" borderId="0" xfId="0" applyFont="1"/>
    <xf numFmtId="0" fontId="1016" fillId="0" borderId="11" xfId="0" applyFont="1" applyBorder="1" applyAlignment="1" applyProtection="1">
      <alignment wrapText="1"/>
      <protection hidden="1"/>
    </xf>
    <xf numFmtId="0" fontId="1017" fillId="0" borderId="0" xfId="0" applyFont="1"/>
    <xf numFmtId="0" fontId="1019" fillId="0" borderId="11" xfId="0" applyFont="1" applyBorder="1" applyAlignment="1" applyProtection="1">
      <alignment wrapText="1"/>
      <protection hidden="1"/>
    </xf>
    <xf numFmtId="0" fontId="1020" fillId="0" borderId="0" xfId="0" applyFont="1"/>
    <xf numFmtId="0" fontId="1022" fillId="0" borderId="11" xfId="0" applyFont="1" applyBorder="1" applyAlignment="1" applyProtection="1">
      <alignment wrapText="1"/>
      <protection hidden="1"/>
    </xf>
    <xf numFmtId="0" fontId="1023" fillId="0" borderId="0" xfId="0" applyFont="1"/>
    <xf numFmtId="0" fontId="1025" fillId="0" borderId="11" xfId="0" applyFont="1" applyBorder="1" applyAlignment="1" applyProtection="1">
      <alignment wrapText="1"/>
      <protection hidden="1"/>
    </xf>
    <xf numFmtId="0" fontId="1026" fillId="0" borderId="0" xfId="0" applyFont="1"/>
    <xf numFmtId="0" fontId="1028" fillId="0" borderId="11" xfId="0" applyFont="1" applyBorder="1" applyAlignment="1" applyProtection="1">
      <alignment wrapText="1"/>
      <protection hidden="1"/>
    </xf>
    <xf numFmtId="0" fontId="1029" fillId="0" borderId="0" xfId="0" applyFont="1"/>
    <xf numFmtId="0" fontId="1031" fillId="0" borderId="11" xfId="0" applyFont="1" applyBorder="1" applyAlignment="1" applyProtection="1">
      <alignment wrapText="1"/>
      <protection hidden="1"/>
    </xf>
    <xf numFmtId="0" fontId="1032" fillId="0" borderId="0" xfId="0" applyFont="1"/>
    <xf numFmtId="0" fontId="1034" fillId="0" borderId="11" xfId="0" applyFont="1" applyBorder="1" applyAlignment="1" applyProtection="1">
      <alignment wrapText="1"/>
      <protection hidden="1"/>
    </xf>
    <xf numFmtId="0" fontId="1035" fillId="0" borderId="0" xfId="0" applyFont="1"/>
    <xf numFmtId="0" fontId="1037" fillId="0" borderId="11" xfId="0" applyFont="1" applyBorder="1" applyAlignment="1" applyProtection="1">
      <alignment wrapText="1"/>
      <protection hidden="1"/>
    </xf>
    <xf numFmtId="0" fontId="1038" fillId="0" borderId="0" xfId="0" applyFont="1"/>
    <xf numFmtId="0" fontId="1040" fillId="0" borderId="11" xfId="0" applyFont="1" applyBorder="1" applyAlignment="1" applyProtection="1">
      <alignment wrapText="1"/>
      <protection hidden="1"/>
    </xf>
    <xf numFmtId="0" fontId="1041" fillId="0" borderId="0" xfId="0" applyFont="1"/>
    <xf numFmtId="0" fontId="1043" fillId="0" borderId="11" xfId="0" applyFont="1" applyBorder="1" applyAlignment="1" applyProtection="1">
      <alignment wrapText="1"/>
      <protection hidden="1"/>
    </xf>
    <xf numFmtId="0" fontId="1044" fillId="0" borderId="0" xfId="0" applyFont="1"/>
    <xf numFmtId="0" fontId="1046" fillId="0" borderId="11" xfId="0" applyFont="1" applyBorder="1" applyAlignment="1" applyProtection="1">
      <alignment wrapText="1"/>
      <protection hidden="1"/>
    </xf>
    <xf numFmtId="0" fontId="1047" fillId="0" borderId="0" xfId="0" applyFont="1"/>
    <xf numFmtId="0" fontId="1049" fillId="0" borderId="11" xfId="0" applyFont="1" applyBorder="1" applyAlignment="1" applyProtection="1">
      <alignment wrapText="1"/>
      <protection hidden="1"/>
    </xf>
    <xf numFmtId="0" fontId="1050" fillId="0" borderId="0" xfId="0" applyFont="1"/>
    <xf numFmtId="0" fontId="1052" fillId="0" borderId="11" xfId="0" applyFont="1" applyBorder="1" applyAlignment="1" applyProtection="1">
      <alignment wrapText="1"/>
      <protection hidden="1"/>
    </xf>
    <xf numFmtId="0" fontId="1053" fillId="0" borderId="0" xfId="0" applyFont="1"/>
    <xf numFmtId="0" fontId="1055" fillId="0" borderId="11" xfId="0" applyFont="1" applyBorder="1" applyAlignment="1" applyProtection="1">
      <alignment wrapText="1"/>
      <protection hidden="1"/>
    </xf>
    <xf numFmtId="0" fontId="1056" fillId="0" borderId="0" xfId="0" applyFont="1"/>
    <xf numFmtId="0" fontId="1058" fillId="0" borderId="11" xfId="0" applyFont="1" applyBorder="1" applyAlignment="1" applyProtection="1">
      <alignment wrapText="1"/>
      <protection hidden="1"/>
    </xf>
    <xf numFmtId="0" fontId="1059" fillId="0" borderId="0" xfId="0" applyFont="1"/>
    <xf numFmtId="0" fontId="1061" fillId="0" borderId="11" xfId="0" applyFont="1" applyBorder="1" applyAlignment="1" applyProtection="1">
      <alignment wrapText="1"/>
      <protection hidden="1"/>
    </xf>
    <xf numFmtId="0" fontId="1062" fillId="0" borderId="0" xfId="0" applyFont="1"/>
    <xf numFmtId="0" fontId="1064" fillId="0" borderId="11" xfId="0" applyFont="1" applyBorder="1" applyAlignment="1" applyProtection="1">
      <alignment wrapText="1"/>
      <protection hidden="1"/>
    </xf>
    <xf numFmtId="0" fontId="1065" fillId="0" borderId="0" xfId="0" applyFont="1"/>
    <xf numFmtId="0" fontId="1067" fillId="0" borderId="11" xfId="0" applyFont="1" applyBorder="1" applyAlignment="1" applyProtection="1">
      <alignment wrapText="1"/>
      <protection hidden="1"/>
    </xf>
    <xf numFmtId="0" fontId="1068" fillId="0" borderId="0" xfId="0" applyFont="1"/>
    <xf numFmtId="0" fontId="1070" fillId="0" borderId="11" xfId="0" applyFont="1" applyBorder="1" applyAlignment="1" applyProtection="1">
      <alignment wrapText="1"/>
      <protection hidden="1"/>
    </xf>
    <xf numFmtId="0" fontId="1071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1063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1066" fillId="0" borderId="45" xfId="0" applyFont="1" applyBorder="1" applyAlignment="1">
      <alignment horizontal="left" vertical="center" wrapText="1"/>
    </xf>
    <xf numFmtId="0" fontId="1069" fillId="0" borderId="45" xfId="0" applyFont="1" applyBorder="1" applyAlignment="1">
      <alignment horizontal="left" vertical="center" wrapText="1"/>
    </xf>
    <xf numFmtId="0" fontId="1051" fillId="0" borderId="45" xfId="0" applyFont="1" applyBorder="1" applyAlignment="1">
      <alignment horizontal="left" vertical="center" wrapText="1"/>
    </xf>
    <xf numFmtId="0" fontId="56" fillId="26" borderId="0" xfId="0" applyFont="1" applyFill="1" applyAlignment="1" applyProtection="1">
      <alignment horizontal="center"/>
      <protection hidden="1"/>
    </xf>
    <xf numFmtId="0" fontId="1054" fillId="0" borderId="45" xfId="0" applyFont="1" applyBorder="1" applyAlignment="1">
      <alignment horizontal="left" vertical="center" wrapText="1"/>
    </xf>
    <xf numFmtId="0" fontId="1057" fillId="0" borderId="45" xfId="0" applyFont="1" applyBorder="1" applyAlignment="1">
      <alignment horizontal="left" vertical="center" wrapText="1"/>
    </xf>
    <xf numFmtId="0" fontId="1060" fillId="0" borderId="45" xfId="0" applyFont="1" applyBorder="1" applyAlignment="1">
      <alignment horizontal="left" vertical="center" wrapText="1"/>
    </xf>
    <xf numFmtId="0" fontId="1030" fillId="0" borderId="45" xfId="0" applyFont="1" applyBorder="1" applyAlignment="1">
      <alignment horizontal="left" vertical="center" wrapText="1"/>
    </xf>
    <xf numFmtId="0" fontId="1033" fillId="0" borderId="45" xfId="0" applyFont="1" applyBorder="1" applyAlignment="1">
      <alignment horizontal="left" vertical="center" wrapText="1"/>
    </xf>
    <xf numFmtId="0" fontId="1036" fillId="0" borderId="45" xfId="0" applyFont="1" applyBorder="1" applyAlignment="1">
      <alignment horizontal="left" vertical="center" wrapText="1"/>
    </xf>
    <xf numFmtId="0" fontId="1039" fillId="0" borderId="45" xfId="0" applyFont="1" applyBorder="1" applyAlignment="1">
      <alignment horizontal="left" vertical="center" wrapText="1"/>
    </xf>
    <xf numFmtId="0" fontId="1042" fillId="0" borderId="45" xfId="0" applyFont="1" applyBorder="1" applyAlignment="1">
      <alignment horizontal="left" vertical="center" wrapText="1"/>
    </xf>
    <xf numFmtId="0" fontId="1045" fillId="0" borderId="45" xfId="0" applyFont="1" applyBorder="1" applyAlignment="1">
      <alignment horizontal="left" vertical="center" wrapText="1"/>
    </xf>
    <xf numFmtId="0" fontId="1048" fillId="0" borderId="45" xfId="0" applyFont="1" applyBorder="1" applyAlignment="1">
      <alignment horizontal="left" vertical="center" wrapText="1"/>
    </xf>
    <xf numFmtId="0" fontId="1009" fillId="0" borderId="45" xfId="0" applyFont="1" applyBorder="1" applyAlignment="1">
      <alignment horizontal="left" vertical="center" wrapText="1"/>
    </xf>
    <xf numFmtId="0" fontId="1012" fillId="0" borderId="45" xfId="0" applyFont="1" applyBorder="1" applyAlignment="1">
      <alignment horizontal="left" vertical="center" wrapText="1"/>
    </xf>
    <xf numFmtId="0" fontId="1015" fillId="0" borderId="45" xfId="0" applyFont="1" applyBorder="1" applyAlignment="1">
      <alignment horizontal="left" vertical="center" wrapText="1"/>
    </xf>
    <xf numFmtId="0" fontId="1018" fillId="0" borderId="45" xfId="0" applyFont="1" applyBorder="1" applyAlignment="1">
      <alignment horizontal="left" vertical="center" wrapText="1"/>
    </xf>
    <xf numFmtId="0" fontId="1021" fillId="0" borderId="45" xfId="0" applyFont="1" applyBorder="1" applyAlignment="1">
      <alignment horizontal="left" vertical="center" wrapText="1"/>
    </xf>
    <xf numFmtId="0" fontId="1024" fillId="0" borderId="45" xfId="0" applyFont="1" applyBorder="1" applyAlignment="1">
      <alignment horizontal="left" vertical="center" wrapText="1"/>
    </xf>
    <xf numFmtId="0" fontId="1027" fillId="0" borderId="45" xfId="0" applyFont="1" applyBorder="1" applyAlignment="1">
      <alignment horizontal="left" vertical="center" wrapText="1"/>
    </xf>
    <xf numFmtId="0" fontId="988" fillId="0" borderId="45" xfId="0" applyFont="1" applyBorder="1" applyAlignment="1">
      <alignment horizontal="left" vertical="center" wrapText="1"/>
    </xf>
    <xf numFmtId="0" fontId="991" fillId="0" borderId="45" xfId="0" applyFont="1" applyBorder="1" applyAlignment="1">
      <alignment horizontal="left" vertical="center" wrapText="1"/>
    </xf>
    <xf numFmtId="0" fontId="994" fillId="0" borderId="45" xfId="0" applyFont="1" applyBorder="1" applyAlignment="1">
      <alignment horizontal="left" vertical="center" wrapText="1"/>
    </xf>
    <xf numFmtId="0" fontId="997" fillId="0" borderId="45" xfId="0" applyFont="1" applyBorder="1" applyAlignment="1">
      <alignment horizontal="left" vertical="center" wrapText="1"/>
    </xf>
    <xf numFmtId="0" fontId="1000" fillId="0" borderId="45" xfId="0" applyFont="1" applyBorder="1" applyAlignment="1">
      <alignment horizontal="left" vertical="center" wrapText="1"/>
    </xf>
    <xf numFmtId="0" fontId="1003" fillId="0" borderId="45" xfId="0" applyFont="1" applyBorder="1" applyAlignment="1">
      <alignment horizontal="left" vertical="center" wrapText="1"/>
    </xf>
    <xf numFmtId="0" fontId="1006" fillId="0" borderId="45" xfId="0" applyFont="1" applyBorder="1" applyAlignment="1">
      <alignment horizontal="left" vertical="center" wrapText="1"/>
    </xf>
    <xf numFmtId="0" fontId="967" fillId="0" borderId="45" xfId="0" applyFont="1" applyBorder="1" applyAlignment="1">
      <alignment horizontal="left" vertical="center" wrapText="1"/>
    </xf>
    <xf numFmtId="0" fontId="970" fillId="0" borderId="45" xfId="0" applyFont="1" applyBorder="1" applyAlignment="1">
      <alignment horizontal="left" vertical="center" wrapText="1"/>
    </xf>
    <xf numFmtId="0" fontId="973" fillId="0" borderId="45" xfId="0" applyFont="1" applyBorder="1" applyAlignment="1">
      <alignment horizontal="left" vertical="center" wrapText="1"/>
    </xf>
    <xf numFmtId="0" fontId="976" fillId="0" borderId="45" xfId="0" applyFont="1" applyBorder="1" applyAlignment="1">
      <alignment horizontal="left" vertical="center" wrapText="1"/>
    </xf>
    <xf numFmtId="0" fontId="979" fillId="0" borderId="45" xfId="0" applyFont="1" applyBorder="1" applyAlignment="1">
      <alignment horizontal="left" vertical="center" wrapText="1"/>
    </xf>
    <xf numFmtId="0" fontId="982" fillId="0" borderId="45" xfId="0" applyFont="1" applyBorder="1" applyAlignment="1">
      <alignment horizontal="left" vertical="center" wrapText="1"/>
    </xf>
    <xf numFmtId="0" fontId="985" fillId="0" borderId="45" xfId="0" applyFont="1" applyBorder="1" applyAlignment="1">
      <alignment horizontal="left" vertical="center" wrapText="1"/>
    </xf>
    <xf numFmtId="0" fontId="958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961" fillId="0" borderId="45" xfId="0" applyFont="1" applyBorder="1" applyAlignment="1">
      <alignment horizontal="left" vertical="center" wrapText="1"/>
    </xf>
    <xf numFmtId="0" fontId="964" fillId="0" borderId="45" xfId="0" applyFont="1" applyBorder="1" applyAlignment="1">
      <alignment horizontal="left" vertical="center" wrapText="1"/>
    </xf>
    <xf numFmtId="0" fontId="943" fillId="0" borderId="45" xfId="0" applyFont="1" applyBorder="1" applyAlignment="1">
      <alignment horizontal="left" vertical="center" wrapText="1"/>
    </xf>
    <xf numFmtId="0" fontId="946" fillId="0" borderId="45" xfId="0" applyFont="1" applyBorder="1" applyAlignment="1">
      <alignment horizontal="left" vertical="center" wrapText="1"/>
    </xf>
    <xf numFmtId="0" fontId="949" fillId="0" borderId="45" xfId="0" applyFont="1" applyBorder="1" applyAlignment="1">
      <alignment horizontal="left" vertical="center" wrapText="1"/>
    </xf>
    <xf numFmtId="0" fontId="952" fillId="0" borderId="45" xfId="0" applyFont="1" applyBorder="1" applyAlignment="1">
      <alignment horizontal="left" vertical="center" wrapText="1"/>
    </xf>
    <xf numFmtId="0" fontId="955" fillId="0" borderId="45" xfId="0" applyFont="1" applyBorder="1" applyAlignment="1">
      <alignment horizontal="left" vertical="center" wrapText="1"/>
    </xf>
    <xf numFmtId="0" fontId="916" fillId="0" borderId="45" xfId="0" applyFont="1" applyBorder="1" applyAlignment="1">
      <alignment horizontal="left" vertical="center" wrapText="1"/>
    </xf>
    <xf numFmtId="0" fontId="919" fillId="0" borderId="45" xfId="0" applyFont="1" applyBorder="1" applyAlignment="1">
      <alignment horizontal="left" vertical="center" wrapText="1"/>
    </xf>
    <xf numFmtId="0" fontId="922" fillId="0" borderId="45" xfId="0" applyFont="1" applyBorder="1" applyAlignment="1">
      <alignment horizontal="left" vertical="center" wrapText="1"/>
    </xf>
    <xf numFmtId="0" fontId="925" fillId="0" borderId="45" xfId="0" applyFont="1" applyBorder="1" applyAlignment="1">
      <alignment horizontal="left" vertical="center" wrapText="1"/>
    </xf>
    <xf numFmtId="0" fontId="928" fillId="0" borderId="45" xfId="0" applyFont="1" applyBorder="1" applyAlignment="1">
      <alignment horizontal="left" vertical="center" wrapText="1"/>
    </xf>
    <xf numFmtId="0" fontId="931" fillId="0" borderId="45" xfId="0" applyFont="1" applyBorder="1" applyAlignment="1">
      <alignment horizontal="left" vertical="center" wrapText="1"/>
    </xf>
    <xf numFmtId="0" fontId="934" fillId="0" borderId="45" xfId="0" applyFont="1" applyBorder="1" applyAlignment="1">
      <alignment horizontal="left" vertical="center" wrapText="1"/>
    </xf>
    <xf numFmtId="0" fontId="937" fillId="0" borderId="45" xfId="0" applyFont="1" applyBorder="1" applyAlignment="1">
      <alignment horizontal="left" vertical="center" wrapText="1"/>
    </xf>
    <xf numFmtId="0" fontId="940" fillId="0" borderId="45" xfId="0" applyFont="1" applyBorder="1" applyAlignment="1">
      <alignment horizontal="left" vertical="center" wrapText="1"/>
    </xf>
    <xf numFmtId="0" fontId="898" fillId="0" borderId="45" xfId="0" applyFont="1" applyBorder="1" applyAlignment="1">
      <alignment horizontal="left" vertical="center" wrapText="1"/>
    </xf>
    <xf numFmtId="0" fontId="901" fillId="0" borderId="45" xfId="0" applyFont="1" applyBorder="1" applyAlignment="1">
      <alignment horizontal="left" vertical="center" wrapText="1"/>
    </xf>
    <xf numFmtId="0" fontId="904" fillId="0" borderId="45" xfId="0" applyFont="1" applyBorder="1" applyAlignment="1">
      <alignment horizontal="left" vertical="center" wrapText="1"/>
    </xf>
    <xf numFmtId="0" fontId="907" fillId="0" borderId="45" xfId="0" applyFont="1" applyBorder="1" applyAlignment="1">
      <alignment horizontal="left" vertical="center" wrapText="1"/>
    </xf>
    <xf numFmtId="0" fontId="910" fillId="0" borderId="45" xfId="0" applyFont="1" applyBorder="1" applyAlignment="1">
      <alignment horizontal="left" vertical="center" wrapText="1"/>
    </xf>
    <xf numFmtId="0" fontId="913" fillId="0" borderId="45" xfId="0" applyFont="1" applyBorder="1" applyAlignment="1">
      <alignment horizontal="left" vertical="center" wrapText="1"/>
    </xf>
    <xf numFmtId="0" fontId="874" fillId="0" borderId="45" xfId="0" applyFont="1" applyBorder="1" applyAlignment="1">
      <alignment horizontal="left" vertical="center" wrapText="1"/>
    </xf>
    <xf numFmtId="0" fontId="877" fillId="0" borderId="45" xfId="0" applyFont="1" applyBorder="1" applyAlignment="1">
      <alignment horizontal="left" vertical="center" wrapText="1"/>
    </xf>
    <xf numFmtId="0" fontId="880" fillId="0" borderId="45" xfId="0" applyFont="1" applyBorder="1" applyAlignment="1">
      <alignment horizontal="left" vertical="center" wrapText="1"/>
    </xf>
    <xf numFmtId="0" fontId="883" fillId="0" borderId="45" xfId="0" applyFont="1" applyBorder="1" applyAlignment="1">
      <alignment horizontal="left" vertical="center" wrapText="1"/>
    </xf>
    <xf numFmtId="0" fontId="886" fillId="0" borderId="45" xfId="0" applyFont="1" applyBorder="1" applyAlignment="1">
      <alignment horizontal="left" vertical="center" wrapText="1"/>
    </xf>
    <xf numFmtId="0" fontId="889" fillId="0" borderId="45" xfId="0" applyFont="1" applyBorder="1" applyAlignment="1">
      <alignment horizontal="left" vertical="center" wrapText="1"/>
    </xf>
    <xf numFmtId="0" fontId="892" fillId="0" borderId="45" xfId="0" applyFont="1" applyBorder="1" applyAlignment="1">
      <alignment horizontal="left" vertical="center" wrapText="1"/>
    </xf>
    <xf numFmtId="0" fontId="895" fillId="0" borderId="45" xfId="0" applyFont="1" applyBorder="1" applyAlignment="1">
      <alignment horizontal="left" vertical="center" wrapText="1"/>
    </xf>
    <xf numFmtId="0" fontId="850" fillId="0" borderId="45" xfId="0" applyFont="1" applyBorder="1" applyAlignment="1">
      <alignment horizontal="left" vertical="center" wrapText="1"/>
    </xf>
    <xf numFmtId="0" fontId="853" fillId="0" borderId="45" xfId="0" applyFont="1" applyBorder="1" applyAlignment="1">
      <alignment horizontal="left" vertical="center" wrapText="1"/>
    </xf>
    <xf numFmtId="0" fontId="856" fillId="0" borderId="45" xfId="0" applyFont="1" applyBorder="1" applyAlignment="1">
      <alignment horizontal="left" vertical="center" wrapText="1"/>
    </xf>
    <xf numFmtId="0" fontId="859" fillId="0" borderId="45" xfId="0" applyFont="1" applyBorder="1" applyAlignment="1">
      <alignment horizontal="left" vertical="center" wrapText="1"/>
    </xf>
    <xf numFmtId="0" fontId="862" fillId="0" borderId="45" xfId="0" applyFont="1" applyBorder="1" applyAlignment="1">
      <alignment horizontal="left" vertical="center" wrapText="1"/>
    </xf>
    <xf numFmtId="0" fontId="865" fillId="0" borderId="45" xfId="0" applyFont="1" applyBorder="1" applyAlignment="1">
      <alignment horizontal="left" vertical="center" wrapText="1"/>
    </xf>
    <xf numFmtId="0" fontId="868" fillId="0" borderId="45" xfId="0" applyFont="1" applyBorder="1" applyAlignment="1">
      <alignment horizontal="left" vertical="center" wrapText="1"/>
    </xf>
    <xf numFmtId="0" fontId="871" fillId="0" borderId="45" xfId="0" applyFont="1" applyBorder="1" applyAlignment="1">
      <alignment horizontal="left" vertical="center" wrapText="1"/>
    </xf>
    <xf numFmtId="0" fontId="844" fillId="0" borderId="45" xfId="0" applyFont="1" applyBorder="1" applyAlignment="1">
      <alignment horizontal="left" vertical="center" wrapText="1"/>
    </xf>
    <xf numFmtId="0" fontId="847" fillId="0" borderId="45" xfId="0" applyFont="1" applyBorder="1" applyAlignment="1">
      <alignment horizontal="left" vertical="center" wrapText="1"/>
    </xf>
    <xf numFmtId="0" fontId="826" fillId="0" borderId="45" xfId="0" applyFont="1" applyBorder="1" applyAlignment="1">
      <alignment horizontal="left" vertical="center" wrapText="1"/>
    </xf>
    <xf numFmtId="0" fontId="829" fillId="0" borderId="45" xfId="0" applyFont="1" applyBorder="1" applyAlignment="1">
      <alignment horizontal="left" vertical="center" wrapText="1"/>
    </xf>
    <xf numFmtId="0" fontId="832" fillId="0" borderId="45" xfId="0" applyFont="1" applyBorder="1" applyAlignment="1">
      <alignment horizontal="left" vertical="center" wrapText="1"/>
    </xf>
    <xf numFmtId="0" fontId="835" fillId="0" borderId="45" xfId="0" applyFont="1" applyBorder="1" applyAlignment="1">
      <alignment horizontal="left" vertical="center" wrapText="1"/>
    </xf>
    <xf numFmtId="0" fontId="838" fillId="0" borderId="45" xfId="0" applyFont="1" applyBorder="1" applyAlignment="1">
      <alignment horizontal="left" vertical="center" wrapText="1"/>
    </xf>
    <xf numFmtId="0" fontId="841" fillId="0" borderId="45" xfId="0" applyFont="1" applyBorder="1" applyAlignment="1">
      <alignment horizontal="left" vertical="center" wrapText="1"/>
    </xf>
    <xf numFmtId="0" fontId="814" fillId="0" borderId="45" xfId="0" applyFont="1" applyBorder="1" applyAlignment="1">
      <alignment horizontal="left" vertical="center" wrapText="1"/>
    </xf>
    <xf numFmtId="0" fontId="817" fillId="0" borderId="45" xfId="0" applyFont="1" applyBorder="1" applyAlignment="1">
      <alignment horizontal="left" vertical="center" wrapText="1"/>
    </xf>
    <xf numFmtId="0" fontId="820" fillId="0" borderId="45" xfId="0" applyFont="1" applyBorder="1" applyAlignment="1">
      <alignment horizontal="left" vertical="center" wrapText="1"/>
    </xf>
    <xf numFmtId="0" fontId="823" fillId="0" borderId="45" xfId="0" applyFont="1" applyBorder="1" applyAlignment="1">
      <alignment horizontal="left" vertical="center" wrapText="1"/>
    </xf>
    <xf numFmtId="0" fontId="796" fillId="0" borderId="45" xfId="0" applyFont="1" applyBorder="1" applyAlignment="1">
      <alignment horizontal="left" vertical="center" wrapText="1"/>
    </xf>
    <xf numFmtId="0" fontId="799" fillId="0" borderId="45" xfId="0" applyFont="1" applyBorder="1" applyAlignment="1">
      <alignment horizontal="left" vertical="center" wrapText="1"/>
    </xf>
    <xf numFmtId="0" fontId="802" fillId="0" borderId="45" xfId="0" applyFont="1" applyBorder="1" applyAlignment="1">
      <alignment horizontal="left" vertical="center" wrapText="1"/>
    </xf>
    <xf numFmtId="0" fontId="805" fillId="0" borderId="45" xfId="0" applyFont="1" applyBorder="1" applyAlignment="1">
      <alignment horizontal="left" vertical="center" wrapText="1"/>
    </xf>
    <xf numFmtId="0" fontId="808" fillId="0" borderId="45" xfId="0" applyFont="1" applyBorder="1" applyAlignment="1">
      <alignment horizontal="left" vertical="center" wrapText="1"/>
    </xf>
    <xf numFmtId="0" fontId="811" fillId="0" borderId="45" xfId="0" applyFont="1" applyBorder="1" applyAlignment="1">
      <alignment horizontal="left" vertical="center" wrapText="1"/>
    </xf>
    <xf numFmtId="0" fontId="769" fillId="0" borderId="45" xfId="0" applyFont="1" applyBorder="1" applyAlignment="1">
      <alignment horizontal="left" vertical="center" wrapText="1"/>
    </xf>
    <xf numFmtId="0" fontId="772" fillId="0" borderId="45" xfId="0" applyFont="1" applyBorder="1" applyAlignment="1">
      <alignment horizontal="left" vertical="center" wrapText="1"/>
    </xf>
    <xf numFmtId="0" fontId="775" fillId="0" borderId="45" xfId="0" applyFont="1" applyBorder="1" applyAlignment="1">
      <alignment horizontal="left" vertical="center" wrapText="1"/>
    </xf>
    <xf numFmtId="0" fontId="778" fillId="0" borderId="45" xfId="0" applyFont="1" applyBorder="1" applyAlignment="1">
      <alignment horizontal="left" vertical="center" wrapText="1"/>
    </xf>
    <xf numFmtId="0" fontId="781" fillId="0" borderId="45" xfId="0" applyFont="1" applyBorder="1" applyAlignment="1">
      <alignment horizontal="left" vertical="center" wrapText="1"/>
    </xf>
    <xf numFmtId="0" fontId="784" fillId="0" borderId="45" xfId="0" applyFont="1" applyBorder="1" applyAlignment="1">
      <alignment horizontal="left" vertical="center" wrapText="1"/>
    </xf>
    <xf numFmtId="0" fontId="787" fillId="0" borderId="45" xfId="0" applyFont="1" applyBorder="1" applyAlignment="1">
      <alignment horizontal="left" vertical="center" wrapText="1"/>
    </xf>
    <xf numFmtId="0" fontId="790" fillId="0" borderId="45" xfId="0" applyFont="1" applyBorder="1" applyAlignment="1">
      <alignment horizontal="left" vertical="center" wrapText="1"/>
    </xf>
    <xf numFmtId="0" fontId="793" fillId="0" borderId="45" xfId="0" applyFont="1" applyBorder="1" applyAlignment="1">
      <alignment horizontal="left" vertical="center" wrapText="1"/>
    </xf>
    <xf numFmtId="0" fontId="754" fillId="0" borderId="45" xfId="0" applyFont="1" applyBorder="1" applyAlignment="1">
      <alignment horizontal="left" vertical="center" wrapText="1"/>
    </xf>
    <xf numFmtId="0" fontId="757" fillId="0" borderId="45" xfId="0" applyFont="1" applyBorder="1" applyAlignment="1">
      <alignment horizontal="left" vertical="center" wrapText="1"/>
    </xf>
    <xf numFmtId="0" fontId="760" fillId="0" borderId="45" xfId="0" applyFont="1" applyBorder="1" applyAlignment="1">
      <alignment horizontal="left" vertical="center" wrapText="1"/>
    </xf>
    <xf numFmtId="0" fontId="763" fillId="0" borderId="45" xfId="0" applyFont="1" applyBorder="1" applyAlignment="1">
      <alignment horizontal="left" vertical="center" wrapText="1"/>
    </xf>
    <xf numFmtId="0" fontId="766" fillId="0" borderId="45" xfId="0" applyFont="1" applyBorder="1" applyAlignment="1">
      <alignment horizontal="left" vertical="center" wrapText="1"/>
    </xf>
    <xf numFmtId="0" fontId="736" fillId="0" borderId="45" xfId="0" applyFont="1" applyBorder="1" applyAlignment="1">
      <alignment horizontal="left" vertical="center" wrapText="1"/>
    </xf>
    <xf numFmtId="0" fontId="739" fillId="0" borderId="45" xfId="0" applyFont="1" applyBorder="1" applyAlignment="1">
      <alignment horizontal="left" vertical="center" wrapText="1"/>
    </xf>
    <xf numFmtId="0" fontId="742" fillId="0" borderId="45" xfId="0" applyFont="1" applyBorder="1" applyAlignment="1">
      <alignment horizontal="left" vertical="center" wrapText="1"/>
    </xf>
    <xf numFmtId="0" fontId="745" fillId="0" borderId="45" xfId="0" applyFont="1" applyBorder="1" applyAlignment="1">
      <alignment horizontal="left" vertical="center" wrapText="1"/>
    </xf>
    <xf numFmtId="0" fontId="748" fillId="0" borderId="45" xfId="0" applyFont="1" applyBorder="1" applyAlignment="1">
      <alignment horizontal="left" vertical="center" wrapText="1"/>
    </xf>
    <xf numFmtId="0" fontId="751" fillId="0" borderId="45" xfId="0" applyFont="1" applyBorder="1" applyAlignment="1">
      <alignment horizontal="left" vertical="center" wrapText="1"/>
    </xf>
    <xf numFmtId="0" fontId="715" fillId="0" borderId="45" xfId="0" applyFont="1" applyBorder="1" applyAlignment="1">
      <alignment horizontal="left" vertical="center" wrapText="1"/>
    </xf>
    <xf numFmtId="0" fontId="718" fillId="0" borderId="45" xfId="0" applyFont="1" applyBorder="1" applyAlignment="1">
      <alignment horizontal="left" vertical="center" wrapText="1"/>
    </xf>
    <xf numFmtId="0" fontId="721" fillId="0" borderId="45" xfId="0" applyFont="1" applyBorder="1" applyAlignment="1">
      <alignment horizontal="left" vertical="center" wrapText="1"/>
    </xf>
    <xf numFmtId="0" fontId="724" fillId="0" borderId="45" xfId="0" applyFont="1" applyBorder="1" applyAlignment="1">
      <alignment horizontal="left" vertical="center" wrapText="1"/>
    </xf>
    <xf numFmtId="0" fontId="727" fillId="0" borderId="45" xfId="0" applyFont="1" applyBorder="1" applyAlignment="1">
      <alignment horizontal="left" vertical="center" wrapText="1"/>
    </xf>
    <xf numFmtId="0" fontId="730" fillId="0" borderId="45" xfId="0" applyFont="1" applyBorder="1" applyAlignment="1">
      <alignment horizontal="left" vertical="center" wrapText="1"/>
    </xf>
    <xf numFmtId="0" fontId="733" fillId="0" borderId="45" xfId="0" applyFont="1" applyBorder="1" applyAlignment="1">
      <alignment horizontal="left" vertical="center" wrapText="1"/>
    </xf>
    <xf numFmtId="0" fontId="703" fillId="0" borderId="45" xfId="0" applyFont="1" applyBorder="1" applyAlignment="1">
      <alignment horizontal="left" vertical="center" wrapText="1"/>
    </xf>
    <xf numFmtId="0" fontId="706" fillId="0" borderId="45" xfId="0" applyFont="1" applyBorder="1" applyAlignment="1">
      <alignment horizontal="left" vertical="center" wrapText="1"/>
    </xf>
    <xf numFmtId="0" fontId="709" fillId="0" borderId="45" xfId="0" applyFont="1" applyBorder="1" applyAlignment="1">
      <alignment horizontal="left" vertical="center" wrapText="1"/>
    </xf>
    <xf numFmtId="0" fontId="712" fillId="0" borderId="45" xfId="0" applyFont="1" applyBorder="1" applyAlignment="1">
      <alignment horizontal="left" vertical="center" wrapText="1"/>
    </xf>
    <xf numFmtId="0" fontId="688" fillId="0" borderId="45" xfId="0" applyFont="1" applyBorder="1" applyAlignment="1">
      <alignment horizontal="left" vertical="center" wrapText="1"/>
    </xf>
    <xf numFmtId="0" fontId="691" fillId="0" borderId="45" xfId="0" applyFont="1" applyBorder="1" applyAlignment="1">
      <alignment horizontal="left" vertical="center" wrapText="1"/>
    </xf>
    <xf numFmtId="0" fontId="694" fillId="0" borderId="45" xfId="0" applyFont="1" applyBorder="1" applyAlignment="1">
      <alignment horizontal="left" vertical="center" wrapText="1"/>
    </xf>
    <xf numFmtId="0" fontId="697" fillId="0" borderId="45" xfId="0" applyFont="1" applyBorder="1" applyAlignment="1">
      <alignment horizontal="left" vertical="center" wrapText="1"/>
    </xf>
    <xf numFmtId="0" fontId="700" fillId="0" borderId="45" xfId="0" applyFont="1" applyBorder="1" applyAlignment="1">
      <alignment horizontal="left" vertical="center" wrapText="1"/>
    </xf>
    <xf numFmtId="0" fontId="664" fillId="0" borderId="45" xfId="0" applyFont="1" applyBorder="1" applyAlignment="1">
      <alignment horizontal="left" vertical="center" wrapText="1"/>
    </xf>
    <xf numFmtId="0" fontId="667" fillId="0" borderId="45" xfId="0" applyFont="1" applyBorder="1" applyAlignment="1">
      <alignment horizontal="left" vertical="center" wrapText="1"/>
    </xf>
    <xf numFmtId="0" fontId="670" fillId="0" borderId="45" xfId="0" applyFont="1" applyBorder="1" applyAlignment="1">
      <alignment horizontal="left" vertical="center" wrapText="1"/>
    </xf>
    <xf numFmtId="0" fontId="673" fillId="0" borderId="45" xfId="0" applyFont="1" applyBorder="1" applyAlignment="1">
      <alignment horizontal="left" vertical="center" wrapText="1"/>
    </xf>
    <xf numFmtId="0" fontId="676" fillId="0" borderId="45" xfId="0" applyFont="1" applyBorder="1" applyAlignment="1">
      <alignment horizontal="left" vertical="center" wrapText="1"/>
    </xf>
    <xf numFmtId="0" fontId="679" fillId="0" borderId="45" xfId="0" applyFont="1" applyBorder="1" applyAlignment="1">
      <alignment horizontal="left" vertical="center" wrapText="1"/>
    </xf>
    <xf numFmtId="0" fontId="682" fillId="0" borderId="45" xfId="0" applyFont="1" applyBorder="1" applyAlignment="1">
      <alignment horizontal="left" vertical="center" wrapText="1"/>
    </xf>
    <xf numFmtId="0" fontId="685" fillId="0" borderId="45" xfId="0" applyFont="1" applyBorder="1" applyAlignment="1">
      <alignment horizontal="left" vertical="center" wrapText="1"/>
    </xf>
    <xf numFmtId="0" fontId="652" fillId="0" borderId="45" xfId="0" applyFont="1" applyBorder="1" applyAlignment="1">
      <alignment horizontal="left" vertical="center" wrapText="1"/>
    </xf>
    <xf numFmtId="0" fontId="655" fillId="0" borderId="45" xfId="0" applyFont="1" applyBorder="1" applyAlignment="1">
      <alignment horizontal="left" vertical="center" wrapText="1"/>
    </xf>
    <xf numFmtId="0" fontId="658" fillId="0" borderId="45" xfId="0" applyFont="1" applyBorder="1" applyAlignment="1">
      <alignment horizontal="left" vertical="center" wrapText="1"/>
    </xf>
    <xf numFmtId="0" fontId="661" fillId="0" borderId="45" xfId="0" applyFont="1" applyBorder="1" applyAlignment="1">
      <alignment horizontal="left" vertical="center" wrapText="1"/>
    </xf>
    <xf numFmtId="0" fontId="640" fillId="0" borderId="45" xfId="0" applyFont="1" applyBorder="1" applyAlignment="1">
      <alignment horizontal="left" vertical="center" wrapText="1"/>
    </xf>
    <xf numFmtId="0" fontId="643" fillId="0" borderId="45" xfId="0" applyFont="1" applyBorder="1" applyAlignment="1">
      <alignment horizontal="left" vertical="center" wrapText="1"/>
    </xf>
    <xf numFmtId="0" fontId="646" fillId="0" borderId="45" xfId="0" applyFont="1" applyBorder="1" applyAlignment="1">
      <alignment horizontal="left" vertical="center" wrapText="1"/>
    </xf>
    <xf numFmtId="0" fontId="649" fillId="0" borderId="45" xfId="0" applyFont="1" applyBorder="1" applyAlignment="1">
      <alignment horizontal="left" vertical="center" wrapText="1"/>
    </xf>
    <xf numFmtId="0" fontId="619" fillId="0" borderId="45" xfId="0" applyFont="1" applyBorder="1" applyAlignment="1">
      <alignment horizontal="left" vertical="center" wrapText="1"/>
    </xf>
    <xf numFmtId="0" fontId="622" fillId="0" borderId="45" xfId="0" applyFont="1" applyBorder="1" applyAlignment="1">
      <alignment horizontal="left" vertical="center" wrapText="1"/>
    </xf>
    <xf numFmtId="0" fontId="625" fillId="0" borderId="45" xfId="0" applyFont="1" applyBorder="1" applyAlignment="1">
      <alignment horizontal="left" vertical="center" wrapText="1"/>
    </xf>
    <xf numFmtId="0" fontId="628" fillId="0" borderId="45" xfId="0" applyFont="1" applyBorder="1" applyAlignment="1">
      <alignment horizontal="left" vertical="center" wrapText="1"/>
    </xf>
    <xf numFmtId="0" fontId="631" fillId="0" borderId="45" xfId="0" applyFont="1" applyBorder="1" applyAlignment="1">
      <alignment horizontal="left" vertical="center" wrapText="1"/>
    </xf>
    <xf numFmtId="0" fontId="634" fillId="0" borderId="45" xfId="0" applyFont="1" applyBorder="1" applyAlignment="1">
      <alignment horizontal="left" vertical="center" wrapText="1"/>
    </xf>
    <xf numFmtId="0" fontId="637" fillId="0" borderId="45" xfId="0" applyFont="1" applyBorder="1" applyAlignment="1">
      <alignment horizontal="left" vertical="center" wrapText="1"/>
    </xf>
    <xf numFmtId="0" fontId="601" fillId="0" borderId="45" xfId="0" applyFont="1" applyBorder="1" applyAlignment="1">
      <alignment horizontal="left" vertical="center" wrapText="1"/>
    </xf>
    <xf numFmtId="0" fontId="604" fillId="0" borderId="45" xfId="0" applyFont="1" applyBorder="1" applyAlignment="1">
      <alignment horizontal="left" vertical="center" wrapText="1"/>
    </xf>
    <xf numFmtId="0" fontId="607" fillId="0" borderId="45" xfId="0" applyFont="1" applyBorder="1" applyAlignment="1">
      <alignment horizontal="left" vertical="center" wrapText="1"/>
    </xf>
    <xf numFmtId="0" fontId="610" fillId="0" borderId="45" xfId="0" applyFont="1" applyBorder="1" applyAlignment="1">
      <alignment horizontal="left" vertical="center" wrapText="1"/>
    </xf>
    <xf numFmtId="0" fontId="613" fillId="0" borderId="45" xfId="0" applyFont="1" applyBorder="1" applyAlignment="1">
      <alignment horizontal="left" vertical="center" wrapText="1"/>
    </xf>
    <xf numFmtId="0" fontId="616" fillId="0" borderId="45" xfId="0" applyFont="1" applyBorder="1" applyAlignment="1">
      <alignment horizontal="left" vertical="center" wrapText="1"/>
    </xf>
    <xf numFmtId="0" fontId="583" fillId="0" borderId="45" xfId="0" applyFont="1" applyBorder="1" applyAlignment="1">
      <alignment horizontal="left" vertical="center" wrapText="1"/>
    </xf>
    <xf numFmtId="0" fontId="586" fillId="0" borderId="45" xfId="0" applyFont="1" applyBorder="1" applyAlignment="1">
      <alignment horizontal="left" vertical="center" wrapText="1"/>
    </xf>
    <xf numFmtId="0" fontId="589" fillId="0" borderId="45" xfId="0" applyFont="1" applyBorder="1" applyAlignment="1">
      <alignment horizontal="left" vertical="center" wrapText="1"/>
    </xf>
    <xf numFmtId="0" fontId="592" fillId="0" borderId="45" xfId="0" applyFont="1" applyBorder="1" applyAlignment="1">
      <alignment horizontal="left" vertical="center" wrapText="1"/>
    </xf>
    <xf numFmtId="0" fontId="595" fillId="0" borderId="45" xfId="0" applyFont="1" applyBorder="1" applyAlignment="1">
      <alignment horizontal="left" vertical="center" wrapText="1"/>
    </xf>
    <xf numFmtId="0" fontId="598" fillId="0" borderId="45" xfId="0" applyFont="1" applyBorder="1" applyAlignment="1">
      <alignment horizontal="left" vertical="center" wrapText="1"/>
    </xf>
    <xf numFmtId="0" fontId="565" fillId="0" borderId="45" xfId="0" applyFont="1" applyBorder="1" applyAlignment="1">
      <alignment horizontal="left" vertical="center" wrapText="1"/>
    </xf>
    <xf numFmtId="0" fontId="568" fillId="0" borderId="45" xfId="0" applyFont="1" applyBorder="1" applyAlignment="1">
      <alignment horizontal="left" vertical="center" wrapText="1"/>
    </xf>
    <xf numFmtId="0" fontId="571" fillId="0" borderId="45" xfId="0" applyFont="1" applyBorder="1" applyAlignment="1">
      <alignment horizontal="left" vertical="center" wrapText="1"/>
    </xf>
    <xf numFmtId="0" fontId="574" fillId="0" borderId="45" xfId="0" applyFont="1" applyBorder="1" applyAlignment="1">
      <alignment horizontal="left" vertical="center" wrapText="1"/>
    </xf>
    <xf numFmtId="0" fontId="577" fillId="0" borderId="45" xfId="0" applyFont="1" applyBorder="1" applyAlignment="1">
      <alignment horizontal="left" vertical="center" wrapText="1"/>
    </xf>
    <xf numFmtId="0" fontId="580" fillId="0" borderId="45" xfId="0" applyFont="1" applyBorder="1" applyAlignment="1">
      <alignment horizontal="left" vertical="center" wrapText="1"/>
    </xf>
    <xf numFmtId="0" fontId="553" fillId="0" borderId="45" xfId="0" applyFont="1" applyBorder="1" applyAlignment="1">
      <alignment horizontal="left" vertical="center" wrapText="1"/>
    </xf>
    <xf numFmtId="0" fontId="556" fillId="0" borderId="45" xfId="0" applyFont="1" applyBorder="1" applyAlignment="1">
      <alignment horizontal="left" vertical="center" wrapText="1"/>
    </xf>
    <xf numFmtId="0" fontId="559" fillId="0" borderId="45" xfId="0" applyFont="1" applyBorder="1" applyAlignment="1">
      <alignment horizontal="left" vertical="center" wrapText="1"/>
    </xf>
    <xf numFmtId="0" fontId="562" fillId="0" borderId="45" xfId="0" applyFont="1" applyBorder="1" applyAlignment="1">
      <alignment horizontal="left" vertical="center" wrapText="1"/>
    </xf>
    <xf numFmtId="0" fontId="541" fillId="0" borderId="45" xfId="0" applyFont="1" applyBorder="1" applyAlignment="1">
      <alignment horizontal="left" vertical="center" wrapText="1"/>
    </xf>
    <xf numFmtId="0" fontId="544" fillId="0" borderId="45" xfId="0" applyFont="1" applyBorder="1" applyAlignment="1">
      <alignment horizontal="left" vertical="center" wrapText="1"/>
    </xf>
    <xf numFmtId="0" fontId="547" fillId="0" borderId="45" xfId="0" applyFont="1" applyBorder="1" applyAlignment="1">
      <alignment horizontal="left" vertical="center" wrapText="1"/>
    </xf>
    <xf numFmtId="0" fontId="550" fillId="0" borderId="45" xfId="0" applyFont="1" applyBorder="1" applyAlignment="1">
      <alignment horizontal="left" vertical="center" wrapText="1"/>
    </xf>
    <xf numFmtId="0" fontId="535" fillId="0" borderId="45" xfId="0" applyFont="1" applyBorder="1" applyAlignment="1">
      <alignment horizontal="left" vertical="center" wrapText="1"/>
    </xf>
    <xf numFmtId="0" fontId="538" fillId="0" borderId="45" xfId="0" applyFont="1" applyBorder="1" applyAlignment="1">
      <alignment horizontal="left" vertical="center" wrapText="1"/>
    </xf>
    <xf numFmtId="0" fontId="523" fillId="0" borderId="45" xfId="0" applyFont="1" applyBorder="1" applyAlignment="1">
      <alignment horizontal="left" vertical="center" wrapText="1"/>
    </xf>
    <xf numFmtId="0" fontId="526" fillId="0" borderId="45" xfId="0" applyFont="1" applyBorder="1" applyAlignment="1">
      <alignment horizontal="left" vertical="center" wrapText="1"/>
    </xf>
    <xf numFmtId="0" fontId="529" fillId="0" borderId="45" xfId="0" applyFont="1" applyBorder="1" applyAlignment="1">
      <alignment horizontal="left" vertical="center" wrapText="1"/>
    </xf>
    <xf numFmtId="0" fontId="532" fillId="0" borderId="45" xfId="0" applyFont="1" applyBorder="1" applyAlignment="1">
      <alignment horizontal="left" vertical="center" wrapText="1"/>
    </xf>
    <xf numFmtId="0" fontId="505" fillId="0" borderId="45" xfId="0" applyFont="1" applyBorder="1" applyAlignment="1">
      <alignment horizontal="left" vertical="center" wrapText="1"/>
    </xf>
    <xf numFmtId="0" fontId="508" fillId="0" borderId="45" xfId="0" applyFont="1" applyBorder="1" applyAlignment="1">
      <alignment horizontal="left" vertical="center" wrapText="1"/>
    </xf>
    <xf numFmtId="0" fontId="511" fillId="0" borderId="45" xfId="0" applyFont="1" applyBorder="1" applyAlignment="1">
      <alignment horizontal="left" vertical="center" wrapText="1"/>
    </xf>
    <xf numFmtId="0" fontId="514" fillId="0" borderId="45" xfId="0" applyFont="1" applyBorder="1" applyAlignment="1">
      <alignment horizontal="left" vertical="center" wrapText="1"/>
    </xf>
    <xf numFmtId="0" fontId="517" fillId="0" borderId="45" xfId="0" applyFont="1" applyBorder="1" applyAlignment="1">
      <alignment horizontal="left" vertical="center" wrapText="1"/>
    </xf>
    <xf numFmtId="0" fontId="520" fillId="0" borderId="45" xfId="0" applyFont="1" applyBorder="1" applyAlignment="1">
      <alignment horizontal="left" vertical="center" wrapText="1"/>
    </xf>
    <xf numFmtId="0" fontId="493" fillId="0" borderId="45" xfId="0" applyFont="1" applyBorder="1" applyAlignment="1">
      <alignment horizontal="left" vertical="center" wrapText="1"/>
    </xf>
    <xf numFmtId="0" fontId="496" fillId="0" borderId="45" xfId="0" applyFont="1" applyBorder="1" applyAlignment="1">
      <alignment horizontal="left" vertical="center" wrapText="1"/>
    </xf>
    <xf numFmtId="0" fontId="499" fillId="0" borderId="45" xfId="0" applyFont="1" applyBorder="1" applyAlignment="1">
      <alignment horizontal="left" vertical="center" wrapText="1"/>
    </xf>
    <xf numFmtId="0" fontId="502" fillId="0" borderId="45" xfId="0" applyFont="1" applyBorder="1" applyAlignment="1">
      <alignment horizontal="left" vertical="center" wrapText="1"/>
    </xf>
    <xf numFmtId="0" fontId="475" fillId="0" borderId="45" xfId="0" applyFont="1" applyBorder="1" applyAlignment="1">
      <alignment horizontal="left" vertical="center" wrapText="1"/>
    </xf>
    <xf numFmtId="0" fontId="478" fillId="0" borderId="45" xfId="0" applyFont="1" applyBorder="1" applyAlignment="1">
      <alignment horizontal="left" vertical="center" wrapText="1"/>
    </xf>
    <xf numFmtId="0" fontId="481" fillId="0" borderId="45" xfId="0" applyFont="1" applyBorder="1" applyAlignment="1">
      <alignment horizontal="left" vertical="center" wrapText="1"/>
    </xf>
    <xf numFmtId="0" fontId="484" fillId="0" borderId="45" xfId="0" applyFont="1" applyBorder="1" applyAlignment="1">
      <alignment horizontal="left" vertical="center" wrapText="1"/>
    </xf>
    <xf numFmtId="0" fontId="487" fillId="0" borderId="45" xfId="0" applyFont="1" applyBorder="1" applyAlignment="1">
      <alignment horizontal="left" vertical="center" wrapText="1"/>
    </xf>
    <xf numFmtId="0" fontId="490" fillId="0" borderId="45" xfId="0" applyFont="1" applyBorder="1" applyAlignment="1">
      <alignment horizontal="left" vertical="center" wrapText="1"/>
    </xf>
    <xf numFmtId="0" fontId="463" fillId="0" borderId="45" xfId="0" applyFont="1" applyBorder="1" applyAlignment="1">
      <alignment horizontal="left" vertical="center" wrapText="1"/>
    </xf>
    <xf numFmtId="0" fontId="466" fillId="0" borderId="45" xfId="0" applyFont="1" applyBorder="1" applyAlignment="1">
      <alignment horizontal="left" vertical="center" wrapText="1"/>
    </xf>
    <xf numFmtId="0" fontId="469" fillId="0" borderId="45" xfId="0" applyFont="1" applyBorder="1" applyAlignment="1">
      <alignment horizontal="left" vertical="center" wrapText="1"/>
    </xf>
    <xf numFmtId="0" fontId="472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454" fillId="0" borderId="45" xfId="0" applyFont="1" applyBorder="1" applyAlignment="1">
      <alignment horizontal="left" vertical="center" wrapText="1"/>
    </xf>
    <xf numFmtId="0" fontId="457" fillId="0" borderId="45" xfId="0" applyFont="1" applyBorder="1" applyAlignment="1">
      <alignment horizontal="left" vertical="center" wrapText="1"/>
    </xf>
    <xf numFmtId="0" fontId="460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433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415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0" fontId="61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57"/>
  <sheetViews>
    <sheetView showGridLines="0" tabSelected="1" topLeftCell="A626" zoomScaleNormal="100" zoomScaleSheetLayoutView="100" workbookViewId="0">
      <selection activeCell="Z653" sqref="Z653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1150" t="s">
        <v>26</v>
      </c>
      <c r="E1" s="1150"/>
      <c r="F1" s="1150"/>
      <c r="G1" s="14" t="s">
        <v>66</v>
      </c>
      <c r="H1" s="1150" t="s">
        <v>46</v>
      </c>
      <c r="I1" s="1150"/>
      <c r="J1" s="1150"/>
      <c r="K1" s="1150"/>
      <c r="L1" s="1150"/>
      <c r="M1" s="1150"/>
      <c r="N1" s="1150"/>
      <c r="O1" s="1150"/>
      <c r="P1" s="1150"/>
      <c r="Q1" s="1150"/>
      <c r="R1" s="1151" t="s">
        <v>67</v>
      </c>
      <c r="S1" s="1152"/>
      <c r="T1" s="1152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15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53"/>
      <c r="R2" s="1153"/>
      <c r="S2" s="1153"/>
      <c r="T2" s="1153"/>
      <c r="U2" s="1153"/>
      <c r="V2" s="1153"/>
      <c r="W2" s="1153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1153"/>
      <c r="Q3" s="1153"/>
      <c r="R3" s="1153"/>
      <c r="S3" s="1153"/>
      <c r="T3" s="1153"/>
      <c r="U3" s="1153"/>
      <c r="V3" s="1153"/>
      <c r="W3" s="1153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1154" t="s">
        <v>8</v>
      </c>
      <c r="B5" s="1154"/>
      <c r="C5" s="1154"/>
      <c r="D5" s="1155"/>
      <c r="E5" s="1155"/>
      <c r="F5" s="1156" t="s">
        <v>14</v>
      </c>
      <c r="G5" s="1156"/>
      <c r="H5" s="1155"/>
      <c r="I5" s="1155"/>
      <c r="J5" s="1155"/>
      <c r="K5" s="1155"/>
      <c r="L5" s="1155"/>
      <c r="M5" s="1155"/>
      <c r="N5" s="69"/>
      <c r="P5" s="26" t="s">
        <v>4</v>
      </c>
      <c r="Q5" s="1157">
        <v>45715</v>
      </c>
      <c r="R5" s="1157"/>
      <c r="T5" s="1158" t="s">
        <v>3</v>
      </c>
      <c r="U5" s="1159"/>
      <c r="V5" s="1160" t="s">
        <v>1054</v>
      </c>
      <c r="W5" s="1161"/>
      <c r="AB5" s="57"/>
      <c r="AC5" s="57"/>
      <c r="AD5" s="57"/>
      <c r="AE5" s="57"/>
    </row>
    <row r="6" spans="1:32" s="17" customFormat="1" ht="24" customHeight="1" x14ac:dyDescent="0.2">
      <c r="A6" s="1154" t="s">
        <v>1</v>
      </c>
      <c r="B6" s="1154"/>
      <c r="C6" s="1154"/>
      <c r="D6" s="1162" t="s">
        <v>75</v>
      </c>
      <c r="E6" s="1162"/>
      <c r="F6" s="1162"/>
      <c r="G6" s="1162"/>
      <c r="H6" s="1162"/>
      <c r="I6" s="1162"/>
      <c r="J6" s="1162"/>
      <c r="K6" s="1162"/>
      <c r="L6" s="1162"/>
      <c r="M6" s="1162"/>
      <c r="N6" s="70"/>
      <c r="P6" s="26" t="s">
        <v>27</v>
      </c>
      <c r="Q6" s="1163" t="str">
        <f>IF(Q5=0," ",CHOOSE(WEEKDAY(Q5,2),"Понедельник","Вторник","Среда","Четверг","Пятница","Суббота","Воскресенье"))</f>
        <v>Четверг</v>
      </c>
      <c r="R6" s="1163"/>
      <c r="T6" s="1164" t="s">
        <v>5</v>
      </c>
      <c r="U6" s="1165"/>
      <c r="V6" s="1166" t="s">
        <v>69</v>
      </c>
      <c r="W6" s="1167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1172" t="str">
        <f>IFERROR(VLOOKUP(DeliveryAddress,Table,3,0),1)</f>
        <v>1</v>
      </c>
      <c r="E7" s="1173"/>
      <c r="F7" s="1173"/>
      <c r="G7" s="1173"/>
      <c r="H7" s="1173"/>
      <c r="I7" s="1173"/>
      <c r="J7" s="1173"/>
      <c r="K7" s="1173"/>
      <c r="L7" s="1173"/>
      <c r="M7" s="1174"/>
      <c r="N7" s="71"/>
      <c r="P7" s="26"/>
      <c r="Q7" s="46"/>
      <c r="R7" s="46"/>
      <c r="T7" s="1164"/>
      <c r="U7" s="1165"/>
      <c r="V7" s="1168"/>
      <c r="W7" s="1169"/>
      <c r="AB7" s="57"/>
      <c r="AC7" s="57"/>
      <c r="AD7" s="57"/>
      <c r="AE7" s="57"/>
    </row>
    <row r="8" spans="1:32" s="17" customFormat="1" ht="25.5" customHeight="1" x14ac:dyDescent="0.2">
      <c r="A8" s="1175" t="s">
        <v>57</v>
      </c>
      <c r="B8" s="1175"/>
      <c r="C8" s="1175"/>
      <c r="D8" s="1176" t="s">
        <v>76</v>
      </c>
      <c r="E8" s="1176"/>
      <c r="F8" s="1176"/>
      <c r="G8" s="1176"/>
      <c r="H8" s="1176"/>
      <c r="I8" s="1176"/>
      <c r="J8" s="1176"/>
      <c r="K8" s="1176"/>
      <c r="L8" s="1176"/>
      <c r="M8" s="1176"/>
      <c r="N8" s="72"/>
      <c r="P8" s="26" t="s">
        <v>11</v>
      </c>
      <c r="Q8" s="1135">
        <v>0.41666666666666669</v>
      </c>
      <c r="R8" s="1135"/>
      <c r="T8" s="1164"/>
      <c r="U8" s="1165"/>
      <c r="V8" s="1168"/>
      <c r="W8" s="1169"/>
      <c r="AB8" s="57"/>
      <c r="AC8" s="57"/>
      <c r="AD8" s="57"/>
      <c r="AE8" s="57"/>
    </row>
    <row r="9" spans="1:32" s="17" customFormat="1" ht="39.950000000000003" customHeight="1" x14ac:dyDescent="0.2">
      <c r="A9" s="112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25"/>
      <c r="C9" s="1125"/>
      <c r="D9" s="1126" t="s">
        <v>45</v>
      </c>
      <c r="E9" s="1127"/>
      <c r="F9" s="112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25"/>
      <c r="H9" s="1177" t="str">
        <f>IF(AND($A$9="Тип доверенности/получателя при получении в адресе перегруза:",$D$9="Разовая доверенность"),"Введите ФИО","")</f>
        <v/>
      </c>
      <c r="I9" s="1177"/>
      <c r="J9" s="117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177"/>
      <c r="L9" s="1177"/>
      <c r="M9" s="1177"/>
      <c r="N9" s="67"/>
      <c r="P9" s="29" t="s">
        <v>15</v>
      </c>
      <c r="Q9" s="1178"/>
      <c r="R9" s="1178"/>
      <c r="T9" s="1164"/>
      <c r="U9" s="1165"/>
      <c r="V9" s="1170"/>
      <c r="W9" s="1171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112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25"/>
      <c r="C10" s="1125"/>
      <c r="D10" s="1126"/>
      <c r="E10" s="1127"/>
      <c r="F10" s="112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25"/>
      <c r="H10" s="1128" t="str">
        <f>IFERROR(VLOOKUP($D$10,Proxy,2,FALSE),"")</f>
        <v/>
      </c>
      <c r="I10" s="1128"/>
      <c r="J10" s="1128"/>
      <c r="K10" s="1128"/>
      <c r="L10" s="1128"/>
      <c r="M10" s="1128"/>
      <c r="N10" s="68"/>
      <c r="P10" s="29" t="s">
        <v>32</v>
      </c>
      <c r="Q10" s="1129"/>
      <c r="R10" s="1129"/>
      <c r="U10" s="26" t="s">
        <v>12</v>
      </c>
      <c r="V10" s="1130" t="s">
        <v>70</v>
      </c>
      <c r="W10" s="1131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50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1132"/>
      <c r="R11" s="1132"/>
      <c r="U11" s="26" t="s">
        <v>28</v>
      </c>
      <c r="V11" s="1133" t="s">
        <v>54</v>
      </c>
      <c r="W11" s="1133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1134" t="s">
        <v>71</v>
      </c>
      <c r="B12" s="1134"/>
      <c r="C12" s="1134"/>
      <c r="D12" s="1134"/>
      <c r="E12" s="1134"/>
      <c r="F12" s="1134"/>
      <c r="G12" s="1134"/>
      <c r="H12" s="1134"/>
      <c r="I12" s="1134"/>
      <c r="J12" s="1134"/>
      <c r="K12" s="1134"/>
      <c r="L12" s="1134"/>
      <c r="M12" s="1134"/>
      <c r="N12" s="73"/>
      <c r="P12" s="26" t="s">
        <v>30</v>
      </c>
      <c r="Q12" s="1135"/>
      <c r="R12" s="1135"/>
      <c r="S12" s="27"/>
      <c r="T12"/>
      <c r="U12" s="26" t="s">
        <v>45</v>
      </c>
      <c r="V12" s="1136"/>
      <c r="W12" s="1136"/>
      <c r="X12"/>
      <c r="AB12" s="57"/>
      <c r="AC12" s="57"/>
      <c r="AD12" s="57"/>
      <c r="AE12" s="57"/>
    </row>
    <row r="13" spans="1:32" s="17" customFormat="1" ht="23.25" customHeight="1" x14ac:dyDescent="0.2">
      <c r="A13" s="1134" t="s">
        <v>72</v>
      </c>
      <c r="B13" s="1134"/>
      <c r="C13" s="1134"/>
      <c r="D13" s="1134"/>
      <c r="E13" s="1134"/>
      <c r="F13" s="1134"/>
      <c r="G13" s="1134"/>
      <c r="H13" s="1134"/>
      <c r="I13" s="1134"/>
      <c r="J13" s="1134"/>
      <c r="K13" s="1134"/>
      <c r="L13" s="1134"/>
      <c r="M13" s="1134"/>
      <c r="N13" s="73"/>
      <c r="O13" s="29"/>
      <c r="P13" s="29" t="s">
        <v>31</v>
      </c>
      <c r="Q13" s="1133"/>
      <c r="R13" s="1133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1134" t="s">
        <v>73</v>
      </c>
      <c r="B14" s="1134"/>
      <c r="C14" s="1134"/>
      <c r="D14" s="1134"/>
      <c r="E14" s="1134"/>
      <c r="F14" s="1134"/>
      <c r="G14" s="1134"/>
      <c r="H14" s="1134"/>
      <c r="I14" s="1134"/>
      <c r="J14" s="1134"/>
      <c r="K14" s="1134"/>
      <c r="L14" s="1134"/>
      <c r="M14" s="1134"/>
      <c r="N14" s="73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1137" t="s">
        <v>74</v>
      </c>
      <c r="B15" s="1137"/>
      <c r="C15" s="1137"/>
      <c r="D15" s="1137"/>
      <c r="E15" s="1137"/>
      <c r="F15" s="1137"/>
      <c r="G15" s="1137"/>
      <c r="H15" s="1137"/>
      <c r="I15" s="1137"/>
      <c r="J15" s="1137"/>
      <c r="K15" s="1137"/>
      <c r="L15" s="1137"/>
      <c r="M15" s="1137"/>
      <c r="N15" s="74"/>
      <c r="O15"/>
      <c r="P15" s="1138" t="s">
        <v>60</v>
      </c>
      <c r="Q15" s="1138"/>
      <c r="R15" s="1138"/>
      <c r="S15" s="1138"/>
      <c r="T15" s="113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1139"/>
      <c r="Q16" s="1139"/>
      <c r="R16" s="1139"/>
      <c r="S16" s="1139"/>
      <c r="T16" s="113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1108" t="s">
        <v>58</v>
      </c>
      <c r="B17" s="1108" t="s">
        <v>48</v>
      </c>
      <c r="C17" s="1142" t="s">
        <v>47</v>
      </c>
      <c r="D17" s="1144" t="s">
        <v>49</v>
      </c>
      <c r="E17" s="1145"/>
      <c r="F17" s="1108" t="s">
        <v>21</v>
      </c>
      <c r="G17" s="1108" t="s">
        <v>24</v>
      </c>
      <c r="H17" s="1108" t="s">
        <v>22</v>
      </c>
      <c r="I17" s="1108" t="s">
        <v>23</v>
      </c>
      <c r="J17" s="1108" t="s">
        <v>16</v>
      </c>
      <c r="K17" s="1108" t="s">
        <v>62</v>
      </c>
      <c r="L17" s="1108" t="s">
        <v>64</v>
      </c>
      <c r="M17" s="1108" t="s">
        <v>2</v>
      </c>
      <c r="N17" s="1108" t="s">
        <v>63</v>
      </c>
      <c r="O17" s="1108" t="s">
        <v>25</v>
      </c>
      <c r="P17" s="1144" t="s">
        <v>17</v>
      </c>
      <c r="Q17" s="1148"/>
      <c r="R17" s="1148"/>
      <c r="S17" s="1148"/>
      <c r="T17" s="1145"/>
      <c r="U17" s="1140" t="s">
        <v>55</v>
      </c>
      <c r="V17" s="1141"/>
      <c r="W17" s="1108" t="s">
        <v>6</v>
      </c>
      <c r="X17" s="1108" t="s">
        <v>41</v>
      </c>
      <c r="Y17" s="1110" t="s">
        <v>53</v>
      </c>
      <c r="Z17" s="1112" t="s">
        <v>18</v>
      </c>
      <c r="AA17" s="1114" t="s">
        <v>59</v>
      </c>
      <c r="AB17" s="1114" t="s">
        <v>19</v>
      </c>
      <c r="AC17" s="1114" t="s">
        <v>65</v>
      </c>
      <c r="AD17" s="1116" t="s">
        <v>56</v>
      </c>
      <c r="AE17" s="1117"/>
      <c r="AF17" s="1118"/>
      <c r="AG17" s="77"/>
      <c r="BD17" s="76" t="s">
        <v>61</v>
      </c>
    </row>
    <row r="18" spans="1:68" ht="14.25" customHeight="1" x14ac:dyDescent="0.2">
      <c r="A18" s="1109"/>
      <c r="B18" s="1109"/>
      <c r="C18" s="1143"/>
      <c r="D18" s="1146"/>
      <c r="E18" s="1147"/>
      <c r="F18" s="1109"/>
      <c r="G18" s="1109"/>
      <c r="H18" s="1109"/>
      <c r="I18" s="1109"/>
      <c r="J18" s="1109"/>
      <c r="K18" s="1109"/>
      <c r="L18" s="1109"/>
      <c r="M18" s="1109"/>
      <c r="N18" s="1109"/>
      <c r="O18" s="1109"/>
      <c r="P18" s="1146"/>
      <c r="Q18" s="1149"/>
      <c r="R18" s="1149"/>
      <c r="S18" s="1149"/>
      <c r="T18" s="1147"/>
      <c r="U18" s="78" t="s">
        <v>44</v>
      </c>
      <c r="V18" s="78" t="s">
        <v>43</v>
      </c>
      <c r="W18" s="1109"/>
      <c r="X18" s="1109"/>
      <c r="Y18" s="1111"/>
      <c r="Z18" s="1113"/>
      <c r="AA18" s="1115"/>
      <c r="AB18" s="1115"/>
      <c r="AC18" s="1115"/>
      <c r="AD18" s="1119"/>
      <c r="AE18" s="1120"/>
      <c r="AF18" s="1121"/>
      <c r="AG18" s="77"/>
      <c r="BD18" s="76"/>
    </row>
    <row r="19" spans="1:68" ht="27.75" customHeight="1" x14ac:dyDescent="0.2">
      <c r="A19" s="809" t="s">
        <v>77</v>
      </c>
      <c r="B19" s="809"/>
      <c r="C19" s="809"/>
      <c r="D19" s="809"/>
      <c r="E19" s="809"/>
      <c r="F19" s="809"/>
      <c r="G19" s="809"/>
      <c r="H19" s="809"/>
      <c r="I19" s="809"/>
      <c r="J19" s="809"/>
      <c r="K19" s="809"/>
      <c r="L19" s="809"/>
      <c r="M19" s="809"/>
      <c r="N19" s="809"/>
      <c r="O19" s="809"/>
      <c r="P19" s="809"/>
      <c r="Q19" s="809"/>
      <c r="R19" s="809"/>
      <c r="S19" s="809"/>
      <c r="T19" s="809"/>
      <c r="U19" s="809"/>
      <c r="V19" s="809"/>
      <c r="W19" s="809"/>
      <c r="X19" s="809"/>
      <c r="Y19" s="809"/>
      <c r="Z19" s="809"/>
      <c r="AA19" s="52"/>
      <c r="AB19" s="52"/>
      <c r="AC19" s="52"/>
    </row>
    <row r="20" spans="1:68" ht="16.5" customHeight="1" x14ac:dyDescent="0.25">
      <c r="A20" s="776" t="s">
        <v>77</v>
      </c>
      <c r="B20" s="776"/>
      <c r="C20" s="776"/>
      <c r="D20" s="776"/>
      <c r="E20" s="776"/>
      <c r="F20" s="776"/>
      <c r="G20" s="776"/>
      <c r="H20" s="776"/>
      <c r="I20" s="776"/>
      <c r="J20" s="776"/>
      <c r="K20" s="776"/>
      <c r="L20" s="776"/>
      <c r="M20" s="776"/>
      <c r="N20" s="776"/>
      <c r="O20" s="776"/>
      <c r="P20" s="776"/>
      <c r="Q20" s="776"/>
      <c r="R20" s="776"/>
      <c r="S20" s="776"/>
      <c r="T20" s="776"/>
      <c r="U20" s="776"/>
      <c r="V20" s="776"/>
      <c r="W20" s="776"/>
      <c r="X20" s="776"/>
      <c r="Y20" s="776"/>
      <c r="Z20" s="776"/>
      <c r="AA20" s="62"/>
      <c r="AB20" s="62"/>
      <c r="AC20" s="62"/>
    </row>
    <row r="21" spans="1:68" ht="14.25" customHeight="1" x14ac:dyDescent="0.25">
      <c r="A21" s="768" t="s">
        <v>78</v>
      </c>
      <c r="B21" s="768"/>
      <c r="C21" s="768"/>
      <c r="D21" s="768"/>
      <c r="E21" s="768"/>
      <c r="F21" s="768"/>
      <c r="G21" s="768"/>
      <c r="H21" s="768"/>
      <c r="I21" s="768"/>
      <c r="J21" s="768"/>
      <c r="K21" s="768"/>
      <c r="L21" s="768"/>
      <c r="M21" s="768"/>
      <c r="N21" s="768"/>
      <c r="O21" s="768"/>
      <c r="P21" s="768"/>
      <c r="Q21" s="768"/>
      <c r="R21" s="768"/>
      <c r="S21" s="768"/>
      <c r="T21" s="768"/>
      <c r="U21" s="768"/>
      <c r="V21" s="768"/>
      <c r="W21" s="768"/>
      <c r="X21" s="768"/>
      <c r="Y21" s="768"/>
      <c r="Z21" s="768"/>
      <c r="AA21" s="63"/>
      <c r="AB21" s="63"/>
      <c r="AC21" s="63"/>
    </row>
    <row r="22" spans="1:68" ht="37.5" customHeight="1" x14ac:dyDescent="0.25">
      <c r="A22" s="60" t="s">
        <v>79</v>
      </c>
      <c r="B22" s="60" t="s">
        <v>80</v>
      </c>
      <c r="C22" s="34">
        <v>4301051865</v>
      </c>
      <c r="D22" s="769">
        <v>4680115885912</v>
      </c>
      <c r="E22" s="769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83</v>
      </c>
      <c r="L22" s="35" t="s">
        <v>45</v>
      </c>
      <c r="M22" s="36" t="s">
        <v>82</v>
      </c>
      <c r="N22" s="36"/>
      <c r="O22" s="35">
        <v>40</v>
      </c>
      <c r="P22" s="1122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71"/>
      <c r="R22" s="771"/>
      <c r="S22" s="771"/>
      <c r="T22" s="772"/>
      <c r="U22" s="37" t="s">
        <v>45</v>
      </c>
      <c r="V22" s="37" t="s">
        <v>45</v>
      </c>
      <c r="W22" s="38" t="s">
        <v>0</v>
      </c>
      <c r="X22" s="56">
        <v>0</v>
      </c>
      <c r="Y22" s="53">
        <f>IFERROR(IF(X22="",0,CEILING((X22/$H22),1)*$H22),"")</f>
        <v>0</v>
      </c>
      <c r="Z22" s="39" t="str">
        <f>IFERROR(IF(Y22=0,"",ROUNDUP(Y22/H22,0)*0.00651),"")</f>
        <v/>
      </c>
      <c r="AA22" s="65" t="s">
        <v>45</v>
      </c>
      <c r="AB22" s="66" t="s">
        <v>45</v>
      </c>
      <c r="AC22" s="81" t="s">
        <v>81</v>
      </c>
      <c r="AG22" s="75"/>
      <c r="AJ22" s="79" t="s">
        <v>45</v>
      </c>
      <c r="AK22" s="79">
        <v>0</v>
      </c>
      <c r="BB22" s="82" t="s">
        <v>66</v>
      </c>
      <c r="BM22" s="75">
        <f>IFERROR(X22*I22/H22,"0")</f>
        <v>0</v>
      </c>
      <c r="BN22" s="75">
        <f>IFERROR(Y22*I22/H22,"0")</f>
        <v>0</v>
      </c>
      <c r="BO22" s="75">
        <f>IFERROR(1/J22*(X22/H22),"0")</f>
        <v>0</v>
      </c>
      <c r="BP22" s="75">
        <f>IFERROR(1/J22*(Y22/H22),"0")</f>
        <v>0</v>
      </c>
    </row>
    <row r="23" spans="1:68" ht="27" customHeight="1" x14ac:dyDescent="0.25">
      <c r="A23" s="60" t="s">
        <v>84</v>
      </c>
      <c r="B23" s="60" t="s">
        <v>85</v>
      </c>
      <c r="C23" s="34">
        <v>4301051552</v>
      </c>
      <c r="D23" s="769">
        <v>4607091388237</v>
      </c>
      <c r="E23" s="769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83</v>
      </c>
      <c r="L23" s="35" t="s">
        <v>45</v>
      </c>
      <c r="M23" s="36" t="s">
        <v>82</v>
      </c>
      <c r="N23" s="36"/>
      <c r="O23" s="35">
        <v>40</v>
      </c>
      <c r="P23" s="112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71"/>
      <c r="R23" s="771"/>
      <c r="S23" s="771"/>
      <c r="T23" s="772"/>
      <c r="U23" s="37" t="s">
        <v>45</v>
      </c>
      <c r="V23" s="37" t="s">
        <v>45</v>
      </c>
      <c r="W23" s="38" t="s">
        <v>0</v>
      </c>
      <c r="X23" s="56">
        <v>0</v>
      </c>
      <c r="Y23" s="53">
        <f>IFERROR(IF(X23="",0,CEILING((X23/$H23),1)*$H23),"")</f>
        <v>0</v>
      </c>
      <c r="Z23" s="39" t="str">
        <f>IFERROR(IF(Y23=0,"",ROUNDUP(Y23/H23,0)*0.00651),"")</f>
        <v/>
      </c>
      <c r="AA23" s="65" t="s">
        <v>45</v>
      </c>
      <c r="AB23" s="66" t="s">
        <v>45</v>
      </c>
      <c r="AC23" s="83" t="s">
        <v>86</v>
      </c>
      <c r="AG23" s="75"/>
      <c r="AJ23" s="79" t="s">
        <v>45</v>
      </c>
      <c r="AK23" s="79">
        <v>0</v>
      </c>
      <c r="BB23" s="84" t="s">
        <v>66</v>
      </c>
      <c r="BM23" s="75">
        <f>IFERROR(X23*I23/H23,"0")</f>
        <v>0</v>
      </c>
      <c r="BN23" s="75">
        <f>IFERROR(Y23*I23/H23,"0")</f>
        <v>0</v>
      </c>
      <c r="BO23" s="75">
        <f>IFERROR(1/J23*(X23/H23),"0")</f>
        <v>0</v>
      </c>
      <c r="BP23" s="75">
        <f>IFERROR(1/J23*(Y23/H23),"0")</f>
        <v>0</v>
      </c>
    </row>
    <row r="24" spans="1:68" ht="27" customHeight="1" x14ac:dyDescent="0.25">
      <c r="A24" s="60" t="s">
        <v>87</v>
      </c>
      <c r="B24" s="60" t="s">
        <v>88</v>
      </c>
      <c r="C24" s="34">
        <v>4301051861</v>
      </c>
      <c r="D24" s="769">
        <v>4680115885905</v>
      </c>
      <c r="E24" s="769"/>
      <c r="F24" s="59">
        <v>0.3</v>
      </c>
      <c r="G24" s="35">
        <v>6</v>
      </c>
      <c r="H24" s="59">
        <v>1.8</v>
      </c>
      <c r="I24" s="59">
        <v>3.18</v>
      </c>
      <c r="J24" s="35">
        <v>182</v>
      </c>
      <c r="K24" s="35" t="s">
        <v>83</v>
      </c>
      <c r="L24" s="35" t="s">
        <v>45</v>
      </c>
      <c r="M24" s="36" t="s">
        <v>82</v>
      </c>
      <c r="N24" s="36"/>
      <c r="O24" s="35">
        <v>40</v>
      </c>
      <c r="P24" s="112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4" s="771"/>
      <c r="R24" s="771"/>
      <c r="S24" s="771"/>
      <c r="T24" s="772"/>
      <c r="U24" s="37" t="s">
        <v>45</v>
      </c>
      <c r="V24" s="37" t="s">
        <v>45</v>
      </c>
      <c r="W24" s="38" t="s">
        <v>0</v>
      </c>
      <c r="X24" s="56">
        <v>0</v>
      </c>
      <c r="Y24" s="53">
        <f>IFERROR(IF(X24="",0,CEILING((X24/$H24),1)*$H24),"")</f>
        <v>0</v>
      </c>
      <c r="Z24" s="39" t="str">
        <f>IFERROR(IF(Y24=0,"",ROUNDUP(Y24/H24,0)*0.00651),"")</f>
        <v/>
      </c>
      <c r="AA24" s="65" t="s">
        <v>45</v>
      </c>
      <c r="AB24" s="66" t="s">
        <v>45</v>
      </c>
      <c r="AC24" s="85" t="s">
        <v>89</v>
      </c>
      <c r="AG24" s="75"/>
      <c r="AJ24" s="79" t="s">
        <v>45</v>
      </c>
      <c r="AK24" s="79">
        <v>0</v>
      </c>
      <c r="BB24" s="86" t="s">
        <v>66</v>
      </c>
      <c r="BM24" s="75">
        <f>IFERROR(X24*I24/H24,"0")</f>
        <v>0</v>
      </c>
      <c r="BN24" s="75">
        <f>IFERROR(Y24*I24/H24,"0")</f>
        <v>0</v>
      </c>
      <c r="BO24" s="75">
        <f>IFERROR(1/J24*(X24/H24),"0")</f>
        <v>0</v>
      </c>
      <c r="BP24" s="75">
        <f>IFERROR(1/J24*(Y24/H24),"0")</f>
        <v>0</v>
      </c>
    </row>
    <row r="25" spans="1:68" ht="37.5" customHeight="1" x14ac:dyDescent="0.25">
      <c r="A25" s="60" t="s">
        <v>90</v>
      </c>
      <c r="B25" s="60" t="s">
        <v>91</v>
      </c>
      <c r="C25" s="34">
        <v>4301051592</v>
      </c>
      <c r="D25" s="769">
        <v>4607091388244</v>
      </c>
      <c r="E25" s="769"/>
      <c r="F25" s="59">
        <v>0.42</v>
      </c>
      <c r="G25" s="35">
        <v>6</v>
      </c>
      <c r="H25" s="59">
        <v>2.52</v>
      </c>
      <c r="I25" s="59">
        <v>2.766</v>
      </c>
      <c r="J25" s="35">
        <v>182</v>
      </c>
      <c r="K25" s="35" t="s">
        <v>83</v>
      </c>
      <c r="L25" s="35" t="s">
        <v>45</v>
      </c>
      <c r="M25" s="36" t="s">
        <v>82</v>
      </c>
      <c r="N25" s="36"/>
      <c r="O25" s="35">
        <v>40</v>
      </c>
      <c r="P25" s="1104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5" s="771"/>
      <c r="R25" s="771"/>
      <c r="S25" s="771"/>
      <c r="T25" s="772"/>
      <c r="U25" s="37" t="s">
        <v>45</v>
      </c>
      <c r="V25" s="37" t="s">
        <v>45</v>
      </c>
      <c r="W25" s="38" t="s">
        <v>0</v>
      </c>
      <c r="X25" s="56">
        <v>0</v>
      </c>
      <c r="Y25" s="53">
        <f>IFERROR(IF(X25="",0,CEILING((X25/$H25),1)*$H25),"")</f>
        <v>0</v>
      </c>
      <c r="Z25" s="39" t="str">
        <f>IFERROR(IF(Y25=0,"",ROUNDUP(Y25/H25,0)*0.00651),"")</f>
        <v/>
      </c>
      <c r="AA25" s="65" t="s">
        <v>45</v>
      </c>
      <c r="AB25" s="66" t="s">
        <v>45</v>
      </c>
      <c r="AC25" s="87" t="s">
        <v>92</v>
      </c>
      <c r="AG25" s="75"/>
      <c r="AJ25" s="79" t="s">
        <v>45</v>
      </c>
      <c r="AK25" s="79">
        <v>0</v>
      </c>
      <c r="BB25" s="88" t="s">
        <v>66</v>
      </c>
      <c r="BM25" s="75">
        <f>IFERROR(X25*I25/H25,"0")</f>
        <v>0</v>
      </c>
      <c r="BN25" s="75">
        <f>IFERROR(Y25*I25/H25,"0")</f>
        <v>0</v>
      </c>
      <c r="BO25" s="75">
        <f>IFERROR(1/J25*(X25/H25),"0")</f>
        <v>0</v>
      </c>
      <c r="BP25" s="75">
        <f>IFERROR(1/J25*(Y25/H25),"0")</f>
        <v>0</v>
      </c>
    </row>
    <row r="26" spans="1:68" x14ac:dyDescent="0.2">
      <c r="A26" s="759"/>
      <c r="B26" s="759"/>
      <c r="C26" s="759"/>
      <c r="D26" s="759"/>
      <c r="E26" s="759"/>
      <c r="F26" s="759"/>
      <c r="G26" s="759"/>
      <c r="H26" s="759"/>
      <c r="I26" s="759"/>
      <c r="J26" s="759"/>
      <c r="K26" s="759"/>
      <c r="L26" s="759"/>
      <c r="M26" s="759"/>
      <c r="N26" s="759"/>
      <c r="O26" s="767"/>
      <c r="P26" s="764" t="s">
        <v>40</v>
      </c>
      <c r="Q26" s="765"/>
      <c r="R26" s="765"/>
      <c r="S26" s="765"/>
      <c r="T26" s="765"/>
      <c r="U26" s="765"/>
      <c r="V26" s="766"/>
      <c r="W26" s="40" t="s">
        <v>39</v>
      </c>
      <c r="X26" s="41">
        <f>IFERROR(X22/H22,"0")+IFERROR(X23/H23,"0")+IFERROR(X24/H24,"0")+IFERROR(X25/H25,"0")</f>
        <v>0</v>
      </c>
      <c r="Y26" s="41">
        <f>IFERROR(Y22/H22,"0")+IFERROR(Y23/H23,"0")+IFERROR(Y24/H24,"0")+IFERROR(Y25/H25,"0")</f>
        <v>0</v>
      </c>
      <c r="Z26" s="41">
        <f>IFERROR(IF(Z22="",0,Z22),"0")+IFERROR(IF(Z23="",0,Z23),"0")+IFERROR(IF(Z24="",0,Z24),"0")+IFERROR(IF(Z25="",0,Z25),"0")</f>
        <v>0</v>
      </c>
      <c r="AA26" s="64"/>
      <c r="AB26" s="64"/>
      <c r="AC26" s="64"/>
    </row>
    <row r="27" spans="1:68" x14ac:dyDescent="0.2">
      <c r="A27" s="759"/>
      <c r="B27" s="759"/>
      <c r="C27" s="759"/>
      <c r="D27" s="759"/>
      <c r="E27" s="759"/>
      <c r="F27" s="759"/>
      <c r="G27" s="759"/>
      <c r="H27" s="759"/>
      <c r="I27" s="759"/>
      <c r="J27" s="759"/>
      <c r="K27" s="759"/>
      <c r="L27" s="759"/>
      <c r="M27" s="759"/>
      <c r="N27" s="759"/>
      <c r="O27" s="767"/>
      <c r="P27" s="764" t="s">
        <v>40</v>
      </c>
      <c r="Q27" s="765"/>
      <c r="R27" s="765"/>
      <c r="S27" s="765"/>
      <c r="T27" s="765"/>
      <c r="U27" s="765"/>
      <c r="V27" s="766"/>
      <c r="W27" s="40" t="s">
        <v>0</v>
      </c>
      <c r="X27" s="41">
        <f>IFERROR(SUM(X22:X25),"0")</f>
        <v>0</v>
      </c>
      <c r="Y27" s="41">
        <f>IFERROR(SUM(Y22:Y25),"0")</f>
        <v>0</v>
      </c>
      <c r="Z27" s="40"/>
      <c r="AA27" s="64"/>
      <c r="AB27" s="64"/>
      <c r="AC27" s="64"/>
    </row>
    <row r="28" spans="1:68" ht="14.25" customHeight="1" x14ac:dyDescent="0.25">
      <c r="A28" s="768" t="s">
        <v>93</v>
      </c>
      <c r="B28" s="768"/>
      <c r="C28" s="768"/>
      <c r="D28" s="768"/>
      <c r="E28" s="768"/>
      <c r="F28" s="768"/>
      <c r="G28" s="768"/>
      <c r="H28" s="768"/>
      <c r="I28" s="768"/>
      <c r="J28" s="768"/>
      <c r="K28" s="768"/>
      <c r="L28" s="768"/>
      <c r="M28" s="768"/>
      <c r="N28" s="768"/>
      <c r="O28" s="768"/>
      <c r="P28" s="768"/>
      <c r="Q28" s="768"/>
      <c r="R28" s="768"/>
      <c r="S28" s="768"/>
      <c r="T28" s="768"/>
      <c r="U28" s="768"/>
      <c r="V28" s="768"/>
      <c r="W28" s="768"/>
      <c r="X28" s="768"/>
      <c r="Y28" s="768"/>
      <c r="Z28" s="768"/>
      <c r="AA28" s="63"/>
      <c r="AB28" s="63"/>
      <c r="AC28" s="63"/>
    </row>
    <row r="29" spans="1:68" ht="27" customHeight="1" x14ac:dyDescent="0.25">
      <c r="A29" s="60" t="s">
        <v>94</v>
      </c>
      <c r="B29" s="60" t="s">
        <v>95</v>
      </c>
      <c r="C29" s="34">
        <v>4301032013</v>
      </c>
      <c r="D29" s="769">
        <v>4607091388503</v>
      </c>
      <c r="E29" s="769"/>
      <c r="F29" s="59">
        <v>0.05</v>
      </c>
      <c r="G29" s="35">
        <v>12</v>
      </c>
      <c r="H29" s="59">
        <v>0.6</v>
      </c>
      <c r="I29" s="59">
        <v>0.82199999999999995</v>
      </c>
      <c r="J29" s="35">
        <v>182</v>
      </c>
      <c r="K29" s="35" t="s">
        <v>83</v>
      </c>
      <c r="L29" s="35" t="s">
        <v>45</v>
      </c>
      <c r="M29" s="36" t="s">
        <v>98</v>
      </c>
      <c r="N29" s="36"/>
      <c r="O29" s="35">
        <v>120</v>
      </c>
      <c r="P29" s="1105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29" s="771"/>
      <c r="R29" s="771"/>
      <c r="S29" s="771"/>
      <c r="T29" s="772"/>
      <c r="U29" s="37" t="s">
        <v>45</v>
      </c>
      <c r="V29" s="37" t="s">
        <v>45</v>
      </c>
      <c r="W29" s="38" t="s">
        <v>0</v>
      </c>
      <c r="X29" s="56">
        <v>0</v>
      </c>
      <c r="Y29" s="53">
        <f>IFERROR(IF(X29="",0,CEILING((X29/$H29),1)*$H29),"")</f>
        <v>0</v>
      </c>
      <c r="Z29" s="39" t="str">
        <f>IFERROR(IF(Y29=0,"",ROUNDUP(Y29/H29,0)*0.00651),"")</f>
        <v/>
      </c>
      <c r="AA29" s="65" t="s">
        <v>45</v>
      </c>
      <c r="AB29" s="66" t="s">
        <v>45</v>
      </c>
      <c r="AC29" s="89" t="s">
        <v>96</v>
      </c>
      <c r="AG29" s="75"/>
      <c r="AJ29" s="79" t="s">
        <v>45</v>
      </c>
      <c r="AK29" s="79">
        <v>0</v>
      </c>
      <c r="BB29" s="90" t="s">
        <v>97</v>
      </c>
      <c r="BM29" s="75">
        <f>IFERROR(X29*I29/H29,"0")</f>
        <v>0</v>
      </c>
      <c r="BN29" s="75">
        <f>IFERROR(Y29*I29/H29,"0")</f>
        <v>0</v>
      </c>
      <c r="BO29" s="75">
        <f>IFERROR(1/J29*(X29/H29),"0")</f>
        <v>0</v>
      </c>
      <c r="BP29" s="75">
        <f>IFERROR(1/J29*(Y29/H29),"0")</f>
        <v>0</v>
      </c>
    </row>
    <row r="30" spans="1:68" x14ac:dyDescent="0.2">
      <c r="A30" s="759"/>
      <c r="B30" s="759"/>
      <c r="C30" s="759"/>
      <c r="D30" s="759"/>
      <c r="E30" s="759"/>
      <c r="F30" s="759"/>
      <c r="G30" s="759"/>
      <c r="H30" s="759"/>
      <c r="I30" s="759"/>
      <c r="J30" s="759"/>
      <c r="K30" s="759"/>
      <c r="L30" s="759"/>
      <c r="M30" s="759"/>
      <c r="N30" s="759"/>
      <c r="O30" s="767"/>
      <c r="P30" s="764" t="s">
        <v>40</v>
      </c>
      <c r="Q30" s="765"/>
      <c r="R30" s="765"/>
      <c r="S30" s="765"/>
      <c r="T30" s="765"/>
      <c r="U30" s="765"/>
      <c r="V30" s="766"/>
      <c r="W30" s="40" t="s">
        <v>39</v>
      </c>
      <c r="X30" s="41">
        <f>IFERROR(X29/H29,"0")</f>
        <v>0</v>
      </c>
      <c r="Y30" s="41">
        <f>IFERROR(Y29/H29,"0")</f>
        <v>0</v>
      </c>
      <c r="Z30" s="41">
        <f>IFERROR(IF(Z29="",0,Z29),"0")</f>
        <v>0</v>
      </c>
      <c r="AA30" s="64"/>
      <c r="AB30" s="64"/>
      <c r="AC30" s="64"/>
    </row>
    <row r="31" spans="1:68" x14ac:dyDescent="0.2">
      <c r="A31" s="759"/>
      <c r="B31" s="759"/>
      <c r="C31" s="759"/>
      <c r="D31" s="759"/>
      <c r="E31" s="759"/>
      <c r="F31" s="759"/>
      <c r="G31" s="759"/>
      <c r="H31" s="759"/>
      <c r="I31" s="759"/>
      <c r="J31" s="759"/>
      <c r="K31" s="759"/>
      <c r="L31" s="759"/>
      <c r="M31" s="759"/>
      <c r="N31" s="759"/>
      <c r="O31" s="767"/>
      <c r="P31" s="764" t="s">
        <v>40</v>
      </c>
      <c r="Q31" s="765"/>
      <c r="R31" s="765"/>
      <c r="S31" s="765"/>
      <c r="T31" s="765"/>
      <c r="U31" s="765"/>
      <c r="V31" s="766"/>
      <c r="W31" s="40" t="s">
        <v>0</v>
      </c>
      <c r="X31" s="41">
        <f>IFERROR(SUM(X29:X29),"0")</f>
        <v>0</v>
      </c>
      <c r="Y31" s="41">
        <f>IFERROR(SUM(Y29:Y29),"0")</f>
        <v>0</v>
      </c>
      <c r="Z31" s="40"/>
      <c r="AA31" s="64"/>
      <c r="AB31" s="64"/>
      <c r="AC31" s="64"/>
    </row>
    <row r="32" spans="1:68" ht="27.75" customHeight="1" x14ac:dyDescent="0.2">
      <c r="A32" s="809" t="s">
        <v>99</v>
      </c>
      <c r="B32" s="809"/>
      <c r="C32" s="809"/>
      <c r="D32" s="809"/>
      <c r="E32" s="809"/>
      <c r="F32" s="809"/>
      <c r="G32" s="809"/>
      <c r="H32" s="809"/>
      <c r="I32" s="809"/>
      <c r="J32" s="809"/>
      <c r="K32" s="809"/>
      <c r="L32" s="809"/>
      <c r="M32" s="809"/>
      <c r="N32" s="809"/>
      <c r="O32" s="809"/>
      <c r="P32" s="809"/>
      <c r="Q32" s="809"/>
      <c r="R32" s="809"/>
      <c r="S32" s="809"/>
      <c r="T32" s="809"/>
      <c r="U32" s="809"/>
      <c r="V32" s="809"/>
      <c r="W32" s="809"/>
      <c r="X32" s="809"/>
      <c r="Y32" s="809"/>
      <c r="Z32" s="809"/>
      <c r="AA32" s="52"/>
      <c r="AB32" s="52"/>
      <c r="AC32" s="52"/>
    </row>
    <row r="33" spans="1:68" ht="16.5" customHeight="1" x14ac:dyDescent="0.25">
      <c r="A33" s="776" t="s">
        <v>100</v>
      </c>
      <c r="B33" s="776"/>
      <c r="C33" s="776"/>
      <c r="D33" s="776"/>
      <c r="E33" s="776"/>
      <c r="F33" s="776"/>
      <c r="G33" s="776"/>
      <c r="H33" s="776"/>
      <c r="I33" s="776"/>
      <c r="J33" s="776"/>
      <c r="K33" s="776"/>
      <c r="L33" s="776"/>
      <c r="M33" s="776"/>
      <c r="N33" s="776"/>
      <c r="O33" s="776"/>
      <c r="P33" s="776"/>
      <c r="Q33" s="776"/>
      <c r="R33" s="776"/>
      <c r="S33" s="776"/>
      <c r="T33" s="776"/>
      <c r="U33" s="776"/>
      <c r="V33" s="776"/>
      <c r="W33" s="776"/>
      <c r="X33" s="776"/>
      <c r="Y33" s="776"/>
      <c r="Z33" s="776"/>
      <c r="AA33" s="62"/>
      <c r="AB33" s="62"/>
      <c r="AC33" s="62"/>
    </row>
    <row r="34" spans="1:68" ht="14.25" customHeight="1" x14ac:dyDescent="0.25">
      <c r="A34" s="768" t="s">
        <v>101</v>
      </c>
      <c r="B34" s="768"/>
      <c r="C34" s="768"/>
      <c r="D34" s="768"/>
      <c r="E34" s="768"/>
      <c r="F34" s="768"/>
      <c r="G34" s="768"/>
      <c r="H34" s="768"/>
      <c r="I34" s="768"/>
      <c r="J34" s="768"/>
      <c r="K34" s="768"/>
      <c r="L34" s="768"/>
      <c r="M34" s="768"/>
      <c r="N34" s="768"/>
      <c r="O34" s="768"/>
      <c r="P34" s="768"/>
      <c r="Q34" s="768"/>
      <c r="R34" s="768"/>
      <c r="S34" s="768"/>
      <c r="T34" s="768"/>
      <c r="U34" s="768"/>
      <c r="V34" s="768"/>
      <c r="W34" s="768"/>
      <c r="X34" s="768"/>
      <c r="Y34" s="768"/>
      <c r="Z34" s="768"/>
      <c r="AA34" s="63"/>
      <c r="AB34" s="63"/>
      <c r="AC34" s="63"/>
    </row>
    <row r="35" spans="1:68" ht="16.5" customHeight="1" x14ac:dyDescent="0.25">
      <c r="A35" s="60" t="s">
        <v>103</v>
      </c>
      <c r="B35" s="60" t="s">
        <v>104</v>
      </c>
      <c r="C35" s="34">
        <v>4301011540</v>
      </c>
      <c r="D35" s="769">
        <v>4607091385670</v>
      </c>
      <c r="E35" s="769"/>
      <c r="F35" s="59">
        <v>1.4</v>
      </c>
      <c r="G35" s="35">
        <v>8</v>
      </c>
      <c r="H35" s="59">
        <v>11.2</v>
      </c>
      <c r="I35" s="59">
        <v>11.635</v>
      </c>
      <c r="J35" s="35">
        <v>64</v>
      </c>
      <c r="K35" s="35" t="s">
        <v>107</v>
      </c>
      <c r="L35" s="35" t="s">
        <v>45</v>
      </c>
      <c r="M35" s="36" t="s">
        <v>106</v>
      </c>
      <c r="N35" s="36"/>
      <c r="O35" s="35">
        <v>50</v>
      </c>
      <c r="P35" s="1106" t="str">
        <f>HYPERLINK("https://abi.ru/products/Охлажденные/Вязанка/ГОСТ/Вареные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Q35" s="771"/>
      <c r="R35" s="771"/>
      <c r="S35" s="771"/>
      <c r="T35" s="772"/>
      <c r="U35" s="37" t="s">
        <v>45</v>
      </c>
      <c r="V35" s="37" t="s">
        <v>102</v>
      </c>
      <c r="W35" s="38" t="s">
        <v>0</v>
      </c>
      <c r="X35" s="56">
        <v>0</v>
      </c>
      <c r="Y35" s="53">
        <f t="shared" ref="Y35:Y40" si="0">IFERROR(IF(X35="",0,CEILING((X35/$H35),1)*$H35),"")</f>
        <v>0</v>
      </c>
      <c r="Z35" s="39" t="str">
        <f>IFERROR(IF(Y35=0,"",ROUNDUP(Y35/H35,0)*0.01898),"")</f>
        <v/>
      </c>
      <c r="AA35" s="65" t="s">
        <v>45</v>
      </c>
      <c r="AB35" s="66" t="s">
        <v>45</v>
      </c>
      <c r="AC35" s="91" t="s">
        <v>105</v>
      </c>
      <c r="AG35" s="75"/>
      <c r="AJ35" s="79" t="s">
        <v>45</v>
      </c>
      <c r="AK35" s="79">
        <v>0</v>
      </c>
      <c r="BB35" s="92" t="s">
        <v>66</v>
      </c>
      <c r="BM35" s="75">
        <f t="shared" ref="BM35:BM40" si="1">IFERROR(X35*I35/H35,"0")</f>
        <v>0</v>
      </c>
      <c r="BN35" s="75">
        <f t="shared" ref="BN35:BN40" si="2">IFERROR(Y35*I35/H35,"0")</f>
        <v>0</v>
      </c>
      <c r="BO35" s="75">
        <f t="shared" ref="BO35:BO40" si="3">IFERROR(1/J35*(X35/H35),"0")</f>
        <v>0</v>
      </c>
      <c r="BP35" s="75">
        <f t="shared" ref="BP35:BP40" si="4">IFERROR(1/J35*(Y35/H35),"0")</f>
        <v>0</v>
      </c>
    </row>
    <row r="36" spans="1:68" ht="16.5" customHeight="1" x14ac:dyDescent="0.25">
      <c r="A36" s="60" t="s">
        <v>103</v>
      </c>
      <c r="B36" s="60" t="s">
        <v>108</v>
      </c>
      <c r="C36" s="34">
        <v>4301011380</v>
      </c>
      <c r="D36" s="769">
        <v>4607091385670</v>
      </c>
      <c r="E36" s="769"/>
      <c r="F36" s="59">
        <v>1.35</v>
      </c>
      <c r="G36" s="35">
        <v>8</v>
      </c>
      <c r="H36" s="59">
        <v>10.8</v>
      </c>
      <c r="I36" s="59">
        <v>11.234999999999999</v>
      </c>
      <c r="J36" s="35">
        <v>64</v>
      </c>
      <c r="K36" s="35" t="s">
        <v>107</v>
      </c>
      <c r="L36" s="35" t="s">
        <v>45</v>
      </c>
      <c r="M36" s="36" t="s">
        <v>110</v>
      </c>
      <c r="N36" s="36"/>
      <c r="O36" s="35">
        <v>50</v>
      </c>
      <c r="P36" s="110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6" s="771"/>
      <c r="R36" s="771"/>
      <c r="S36" s="771"/>
      <c r="T36" s="772"/>
      <c r="U36" s="37" t="s">
        <v>45</v>
      </c>
      <c r="V36" s="37" t="s">
        <v>45</v>
      </c>
      <c r="W36" s="38" t="s">
        <v>0</v>
      </c>
      <c r="X36" s="56">
        <v>0</v>
      </c>
      <c r="Y36" s="53">
        <f t="shared" si="0"/>
        <v>0</v>
      </c>
      <c r="Z36" s="39" t="str">
        <f>IFERROR(IF(Y36=0,"",ROUNDUP(Y36/H36,0)*0.01898),"")</f>
        <v/>
      </c>
      <c r="AA36" s="65" t="s">
        <v>45</v>
      </c>
      <c r="AB36" s="66" t="s">
        <v>45</v>
      </c>
      <c r="AC36" s="93" t="s">
        <v>109</v>
      </c>
      <c r="AG36" s="75"/>
      <c r="AJ36" s="79" t="s">
        <v>45</v>
      </c>
      <c r="AK36" s="79">
        <v>0</v>
      </c>
      <c r="BB36" s="94" t="s">
        <v>66</v>
      </c>
      <c r="BM36" s="75">
        <f t="shared" si="1"/>
        <v>0</v>
      </c>
      <c r="BN36" s="75">
        <f t="shared" si="2"/>
        <v>0</v>
      </c>
      <c r="BO36" s="75">
        <f t="shared" si="3"/>
        <v>0</v>
      </c>
      <c r="BP36" s="75">
        <f t="shared" si="4"/>
        <v>0</v>
      </c>
    </row>
    <row r="37" spans="1:68" ht="16.5" customHeight="1" x14ac:dyDescent="0.25">
      <c r="A37" s="60" t="s">
        <v>111</v>
      </c>
      <c r="B37" s="60" t="s">
        <v>112</v>
      </c>
      <c r="C37" s="34">
        <v>4301011625</v>
      </c>
      <c r="D37" s="769">
        <v>4680115883956</v>
      </c>
      <c r="E37" s="769"/>
      <c r="F37" s="59">
        <v>1.4</v>
      </c>
      <c r="G37" s="35">
        <v>8</v>
      </c>
      <c r="H37" s="59">
        <v>11.2</v>
      </c>
      <c r="I37" s="59">
        <v>11.635</v>
      </c>
      <c r="J37" s="35">
        <v>64</v>
      </c>
      <c r="K37" s="35" t="s">
        <v>107</v>
      </c>
      <c r="L37" s="35" t="s">
        <v>45</v>
      </c>
      <c r="M37" s="36" t="s">
        <v>110</v>
      </c>
      <c r="N37" s="36"/>
      <c r="O37" s="35">
        <v>50</v>
      </c>
      <c r="P37" s="1098" t="str">
        <f>HYPERLINK("https://abi.ru/products/Охлажденные/Вязанка/ГОСТ/Вареные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Q37" s="771"/>
      <c r="R37" s="771"/>
      <c r="S37" s="771"/>
      <c r="T37" s="772"/>
      <c r="U37" s="37" t="s">
        <v>45</v>
      </c>
      <c r="V37" s="37" t="s">
        <v>45</v>
      </c>
      <c r="W37" s="38" t="s">
        <v>0</v>
      </c>
      <c r="X37" s="56">
        <v>0</v>
      </c>
      <c r="Y37" s="53">
        <f t="shared" si="0"/>
        <v>0</v>
      </c>
      <c r="Z37" s="39" t="str">
        <f>IFERROR(IF(Y37=0,"",ROUNDUP(Y37/H37,0)*0.01898),"")</f>
        <v/>
      </c>
      <c r="AA37" s="65" t="s">
        <v>45</v>
      </c>
      <c r="AB37" s="66" t="s">
        <v>45</v>
      </c>
      <c r="AC37" s="95" t="s">
        <v>113</v>
      </c>
      <c r="AG37" s="75"/>
      <c r="AJ37" s="79" t="s">
        <v>45</v>
      </c>
      <c r="AK37" s="79">
        <v>0</v>
      </c>
      <c r="BB37" s="96" t="s">
        <v>66</v>
      </c>
      <c r="BM37" s="75">
        <f t="shared" si="1"/>
        <v>0</v>
      </c>
      <c r="BN37" s="75">
        <f t="shared" si="2"/>
        <v>0</v>
      </c>
      <c r="BO37" s="75">
        <f t="shared" si="3"/>
        <v>0</v>
      </c>
      <c r="BP37" s="75">
        <f t="shared" si="4"/>
        <v>0</v>
      </c>
    </row>
    <row r="38" spans="1:68" ht="27" customHeight="1" x14ac:dyDescent="0.25">
      <c r="A38" s="60" t="s">
        <v>114</v>
      </c>
      <c r="B38" s="60" t="s">
        <v>115</v>
      </c>
      <c r="C38" s="34">
        <v>4301011565</v>
      </c>
      <c r="D38" s="769">
        <v>4680115882539</v>
      </c>
      <c r="E38" s="769"/>
      <c r="F38" s="59">
        <v>0.37</v>
      </c>
      <c r="G38" s="35">
        <v>10</v>
      </c>
      <c r="H38" s="59">
        <v>3.7</v>
      </c>
      <c r="I38" s="59">
        <v>3.91</v>
      </c>
      <c r="J38" s="35">
        <v>132</v>
      </c>
      <c r="K38" s="35" t="s">
        <v>116</v>
      </c>
      <c r="L38" s="35" t="s">
        <v>45</v>
      </c>
      <c r="M38" s="36" t="s">
        <v>106</v>
      </c>
      <c r="N38" s="36"/>
      <c r="O38" s="35">
        <v>50</v>
      </c>
      <c r="P38" s="109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8" s="771"/>
      <c r="R38" s="771"/>
      <c r="S38" s="771"/>
      <c r="T38" s="772"/>
      <c r="U38" s="37" t="s">
        <v>45</v>
      </c>
      <c r="V38" s="37" t="s">
        <v>45</v>
      </c>
      <c r="W38" s="38" t="s">
        <v>0</v>
      </c>
      <c r="X38" s="56">
        <v>0</v>
      </c>
      <c r="Y38" s="53">
        <f t="shared" si="0"/>
        <v>0</v>
      </c>
      <c r="Z38" s="39" t="str">
        <f>IFERROR(IF(Y38=0,"",ROUNDUP(Y38/H38,0)*0.00902),"")</f>
        <v/>
      </c>
      <c r="AA38" s="65" t="s">
        <v>45</v>
      </c>
      <c r="AB38" s="66" t="s">
        <v>45</v>
      </c>
      <c r="AC38" s="97" t="s">
        <v>109</v>
      </c>
      <c r="AG38" s="75"/>
      <c r="AJ38" s="79" t="s">
        <v>45</v>
      </c>
      <c r="AK38" s="79">
        <v>0</v>
      </c>
      <c r="BB38" s="98" t="s">
        <v>66</v>
      </c>
      <c r="BM38" s="75">
        <f t="shared" si="1"/>
        <v>0</v>
      </c>
      <c r="BN38" s="75">
        <f t="shared" si="2"/>
        <v>0</v>
      </c>
      <c r="BO38" s="75">
        <f t="shared" si="3"/>
        <v>0</v>
      </c>
      <c r="BP38" s="75">
        <f t="shared" si="4"/>
        <v>0</v>
      </c>
    </row>
    <row r="39" spans="1:68" ht="27" customHeight="1" x14ac:dyDescent="0.25">
      <c r="A39" s="60" t="s">
        <v>117</v>
      </c>
      <c r="B39" s="60" t="s">
        <v>118</v>
      </c>
      <c r="C39" s="34">
        <v>4301011382</v>
      </c>
      <c r="D39" s="769">
        <v>4607091385687</v>
      </c>
      <c r="E39" s="769"/>
      <c r="F39" s="59">
        <v>0.4</v>
      </c>
      <c r="G39" s="35">
        <v>10</v>
      </c>
      <c r="H39" s="59">
        <v>4</v>
      </c>
      <c r="I39" s="59">
        <v>4.21</v>
      </c>
      <c r="J39" s="35">
        <v>132</v>
      </c>
      <c r="K39" s="35" t="s">
        <v>116</v>
      </c>
      <c r="L39" s="35" t="s">
        <v>119</v>
      </c>
      <c r="M39" s="36" t="s">
        <v>106</v>
      </c>
      <c r="N39" s="36"/>
      <c r="O39" s="35">
        <v>50</v>
      </c>
      <c r="P39" s="110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9" s="771"/>
      <c r="R39" s="771"/>
      <c r="S39" s="771"/>
      <c r="T39" s="772"/>
      <c r="U39" s="37" t="s">
        <v>45</v>
      </c>
      <c r="V39" s="37" t="s">
        <v>45</v>
      </c>
      <c r="W39" s="38" t="s">
        <v>0</v>
      </c>
      <c r="X39" s="56">
        <v>0</v>
      </c>
      <c r="Y39" s="53">
        <f t="shared" si="0"/>
        <v>0</v>
      </c>
      <c r="Z39" s="39" t="str">
        <f>IFERROR(IF(Y39=0,"",ROUNDUP(Y39/H39,0)*0.00902),"")</f>
        <v/>
      </c>
      <c r="AA39" s="65" t="s">
        <v>45</v>
      </c>
      <c r="AB39" s="66" t="s">
        <v>45</v>
      </c>
      <c r="AC39" s="99" t="s">
        <v>109</v>
      </c>
      <c r="AG39" s="75"/>
      <c r="AJ39" s="79" t="s">
        <v>120</v>
      </c>
      <c r="AK39" s="79">
        <v>48</v>
      </c>
      <c r="BB39" s="100" t="s">
        <v>66</v>
      </c>
      <c r="BM39" s="75">
        <f t="shared" si="1"/>
        <v>0</v>
      </c>
      <c r="BN39" s="75">
        <f t="shared" si="2"/>
        <v>0</v>
      </c>
      <c r="BO39" s="75">
        <f t="shared" si="3"/>
        <v>0</v>
      </c>
      <c r="BP39" s="75">
        <f t="shared" si="4"/>
        <v>0</v>
      </c>
    </row>
    <row r="40" spans="1:68" ht="27" customHeight="1" x14ac:dyDescent="0.25">
      <c r="A40" s="60" t="s">
        <v>121</v>
      </c>
      <c r="B40" s="60" t="s">
        <v>122</v>
      </c>
      <c r="C40" s="34">
        <v>4301011624</v>
      </c>
      <c r="D40" s="769">
        <v>4680115883949</v>
      </c>
      <c r="E40" s="769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116</v>
      </c>
      <c r="L40" s="35" t="s">
        <v>45</v>
      </c>
      <c r="M40" s="36" t="s">
        <v>110</v>
      </c>
      <c r="N40" s="36"/>
      <c r="O40" s="35">
        <v>50</v>
      </c>
      <c r="P40" s="1101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71"/>
      <c r="R40" s="771"/>
      <c r="S40" s="771"/>
      <c r="T40" s="772"/>
      <c r="U40" s="37" t="s">
        <v>45</v>
      </c>
      <c r="V40" s="37" t="s">
        <v>45</v>
      </c>
      <c r="W40" s="38" t="s">
        <v>0</v>
      </c>
      <c r="X40" s="56">
        <v>0</v>
      </c>
      <c r="Y40" s="53">
        <f t="shared" si="0"/>
        <v>0</v>
      </c>
      <c r="Z40" s="39" t="str">
        <f>IFERROR(IF(Y40=0,"",ROUNDUP(Y40/H40,0)*0.00902),"")</f>
        <v/>
      </c>
      <c r="AA40" s="65" t="s">
        <v>45</v>
      </c>
      <c r="AB40" s="66" t="s">
        <v>45</v>
      </c>
      <c r="AC40" s="101" t="s">
        <v>113</v>
      </c>
      <c r="AG40" s="75"/>
      <c r="AJ40" s="79" t="s">
        <v>45</v>
      </c>
      <c r="AK40" s="79">
        <v>0</v>
      </c>
      <c r="BB40" s="102" t="s">
        <v>66</v>
      </c>
      <c r="BM40" s="75">
        <f t="shared" si="1"/>
        <v>0</v>
      </c>
      <c r="BN40" s="75">
        <f t="shared" si="2"/>
        <v>0</v>
      </c>
      <c r="BO40" s="75">
        <f t="shared" si="3"/>
        <v>0</v>
      </c>
      <c r="BP40" s="75">
        <f t="shared" si="4"/>
        <v>0</v>
      </c>
    </row>
    <row r="41" spans="1:68" x14ac:dyDescent="0.2">
      <c r="A41" s="759"/>
      <c r="B41" s="759"/>
      <c r="C41" s="759"/>
      <c r="D41" s="759"/>
      <c r="E41" s="759"/>
      <c r="F41" s="759"/>
      <c r="G41" s="759"/>
      <c r="H41" s="759"/>
      <c r="I41" s="759"/>
      <c r="J41" s="759"/>
      <c r="K41" s="759"/>
      <c r="L41" s="759"/>
      <c r="M41" s="759"/>
      <c r="N41" s="759"/>
      <c r="O41" s="767"/>
      <c r="P41" s="764" t="s">
        <v>40</v>
      </c>
      <c r="Q41" s="765"/>
      <c r="R41" s="765"/>
      <c r="S41" s="765"/>
      <c r="T41" s="765"/>
      <c r="U41" s="765"/>
      <c r="V41" s="766"/>
      <c r="W41" s="40" t="s">
        <v>39</v>
      </c>
      <c r="X41" s="41">
        <f>IFERROR(X35/H35,"0")+IFERROR(X36/H36,"0")+IFERROR(X37/H37,"0")+IFERROR(X38/H38,"0")+IFERROR(X39/H39,"0")+IFERROR(X40/H40,"0")</f>
        <v>0</v>
      </c>
      <c r="Y41" s="41">
        <f>IFERROR(Y35/H35,"0")+IFERROR(Y36/H36,"0")+IFERROR(Y37/H37,"0")+IFERROR(Y38/H38,"0")+IFERROR(Y39/H39,"0")+IFERROR(Y40/H40,"0")</f>
        <v>0</v>
      </c>
      <c r="Z41" s="41">
        <f>IFERROR(IF(Z35="",0,Z35),"0")+IFERROR(IF(Z36="",0,Z36),"0")+IFERROR(IF(Z37="",0,Z37),"0")+IFERROR(IF(Z38="",0,Z38),"0")+IFERROR(IF(Z39="",0,Z39),"0")+IFERROR(IF(Z40="",0,Z40),"0")</f>
        <v>0</v>
      </c>
      <c r="AA41" s="64"/>
      <c r="AB41" s="64"/>
      <c r="AC41" s="64"/>
    </row>
    <row r="42" spans="1:68" x14ac:dyDescent="0.2">
      <c r="A42" s="759"/>
      <c r="B42" s="759"/>
      <c r="C42" s="759"/>
      <c r="D42" s="759"/>
      <c r="E42" s="759"/>
      <c r="F42" s="759"/>
      <c r="G42" s="759"/>
      <c r="H42" s="759"/>
      <c r="I42" s="759"/>
      <c r="J42" s="759"/>
      <c r="K42" s="759"/>
      <c r="L42" s="759"/>
      <c r="M42" s="759"/>
      <c r="N42" s="759"/>
      <c r="O42" s="767"/>
      <c r="P42" s="764" t="s">
        <v>40</v>
      </c>
      <c r="Q42" s="765"/>
      <c r="R42" s="765"/>
      <c r="S42" s="765"/>
      <c r="T42" s="765"/>
      <c r="U42" s="765"/>
      <c r="V42" s="766"/>
      <c r="W42" s="40" t="s">
        <v>0</v>
      </c>
      <c r="X42" s="41">
        <f>IFERROR(SUM(X35:X40),"0")</f>
        <v>0</v>
      </c>
      <c r="Y42" s="41">
        <f>IFERROR(SUM(Y35:Y40),"0")</f>
        <v>0</v>
      </c>
      <c r="Z42" s="40"/>
      <c r="AA42" s="64"/>
      <c r="AB42" s="64"/>
      <c r="AC42" s="64"/>
    </row>
    <row r="43" spans="1:68" ht="14.25" customHeight="1" x14ac:dyDescent="0.25">
      <c r="A43" s="768" t="s">
        <v>78</v>
      </c>
      <c r="B43" s="768"/>
      <c r="C43" s="768"/>
      <c r="D43" s="768"/>
      <c r="E43" s="768"/>
      <c r="F43" s="768"/>
      <c r="G43" s="768"/>
      <c r="H43" s="768"/>
      <c r="I43" s="768"/>
      <c r="J43" s="768"/>
      <c r="K43" s="768"/>
      <c r="L43" s="768"/>
      <c r="M43" s="768"/>
      <c r="N43" s="768"/>
      <c r="O43" s="768"/>
      <c r="P43" s="768"/>
      <c r="Q43" s="768"/>
      <c r="R43" s="768"/>
      <c r="S43" s="768"/>
      <c r="T43" s="768"/>
      <c r="U43" s="768"/>
      <c r="V43" s="768"/>
      <c r="W43" s="768"/>
      <c r="X43" s="768"/>
      <c r="Y43" s="768"/>
      <c r="Z43" s="768"/>
      <c r="AA43" s="63"/>
      <c r="AB43" s="63"/>
      <c r="AC43" s="63"/>
    </row>
    <row r="44" spans="1:68" ht="27" customHeight="1" x14ac:dyDescent="0.25">
      <c r="A44" s="60" t="s">
        <v>123</v>
      </c>
      <c r="B44" s="60" t="s">
        <v>124</v>
      </c>
      <c r="C44" s="34">
        <v>4301051842</v>
      </c>
      <c r="D44" s="769">
        <v>4680115885233</v>
      </c>
      <c r="E44" s="769"/>
      <c r="F44" s="59">
        <v>0.2</v>
      </c>
      <c r="G44" s="35">
        <v>6</v>
      </c>
      <c r="H44" s="59">
        <v>1.2</v>
      </c>
      <c r="I44" s="59">
        <v>1.3</v>
      </c>
      <c r="J44" s="35">
        <v>234</v>
      </c>
      <c r="K44" s="35" t="s">
        <v>126</v>
      </c>
      <c r="L44" s="35" t="s">
        <v>45</v>
      </c>
      <c r="M44" s="36" t="s">
        <v>106</v>
      </c>
      <c r="N44" s="36"/>
      <c r="O44" s="35">
        <v>40</v>
      </c>
      <c r="P44" s="1102" t="str">
        <f>HYPERLINK("https://abi.ru/products/Охлажденные/Вязанка/ГОСТ/Сосиски/P004556/","Сосиски «Молочные ГОСТ» ф/в 0,2 ц/о ТМ «Вязанка»")</f>
        <v>Сосиски «Молочные ГОСТ» ф/в 0,2 ц/о ТМ «Вязанка»</v>
      </c>
      <c r="Q44" s="771"/>
      <c r="R44" s="771"/>
      <c r="S44" s="771"/>
      <c r="T44" s="772"/>
      <c r="U44" s="37" t="s">
        <v>45</v>
      </c>
      <c r="V44" s="37" t="s">
        <v>102</v>
      </c>
      <c r="W44" s="38" t="s">
        <v>0</v>
      </c>
      <c r="X44" s="56">
        <v>0</v>
      </c>
      <c r="Y44" s="53">
        <f>IFERROR(IF(X44="",0,CEILING((X44/$H44),1)*$H44),"")</f>
        <v>0</v>
      </c>
      <c r="Z44" s="39" t="str">
        <f>IFERROR(IF(Y44=0,"",ROUNDUP(Y44/H44,0)*0.00502),"")</f>
        <v/>
      </c>
      <c r="AA44" s="65" t="s">
        <v>45</v>
      </c>
      <c r="AB44" s="66" t="s">
        <v>45</v>
      </c>
      <c r="AC44" s="103" t="s">
        <v>125</v>
      </c>
      <c r="AG44" s="75"/>
      <c r="AJ44" s="79" t="s">
        <v>45</v>
      </c>
      <c r="AK44" s="79">
        <v>0</v>
      </c>
      <c r="BB44" s="104" t="s">
        <v>66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t="16.5" customHeight="1" x14ac:dyDescent="0.25">
      <c r="A45" s="60" t="s">
        <v>127</v>
      </c>
      <c r="B45" s="60" t="s">
        <v>128</v>
      </c>
      <c r="C45" s="34">
        <v>4301051820</v>
      </c>
      <c r="D45" s="769">
        <v>4680115884915</v>
      </c>
      <c r="E45" s="769"/>
      <c r="F45" s="59">
        <v>0.3</v>
      </c>
      <c r="G45" s="35">
        <v>6</v>
      </c>
      <c r="H45" s="59">
        <v>1.8</v>
      </c>
      <c r="I45" s="59">
        <v>1.98</v>
      </c>
      <c r="J45" s="35">
        <v>182</v>
      </c>
      <c r="K45" s="35" t="s">
        <v>83</v>
      </c>
      <c r="L45" s="35" t="s">
        <v>45</v>
      </c>
      <c r="M45" s="36" t="s">
        <v>106</v>
      </c>
      <c r="N45" s="36"/>
      <c r="O45" s="35">
        <v>40</v>
      </c>
      <c r="P45" s="110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5" s="771"/>
      <c r="R45" s="771"/>
      <c r="S45" s="771"/>
      <c r="T45" s="772"/>
      <c r="U45" s="37" t="s">
        <v>45</v>
      </c>
      <c r="V45" s="37" t="s">
        <v>45</v>
      </c>
      <c r="W45" s="38" t="s">
        <v>0</v>
      </c>
      <c r="X45" s="56">
        <v>0</v>
      </c>
      <c r="Y45" s="53">
        <f>IFERROR(IF(X45="",0,CEILING((X45/$H45),1)*$H45),"")</f>
        <v>0</v>
      </c>
      <c r="Z45" s="39" t="str">
        <f>IFERROR(IF(Y45=0,"",ROUNDUP(Y45/H45,0)*0.00651),"")</f>
        <v/>
      </c>
      <c r="AA45" s="65" t="s">
        <v>45</v>
      </c>
      <c r="AB45" s="66" t="s">
        <v>45</v>
      </c>
      <c r="AC45" s="105" t="s">
        <v>129</v>
      </c>
      <c r="AG45" s="75"/>
      <c r="AJ45" s="79" t="s">
        <v>45</v>
      </c>
      <c r="AK45" s="79">
        <v>0</v>
      </c>
      <c r="BB45" s="106" t="s">
        <v>66</v>
      </c>
      <c r="BM45" s="75">
        <f>IFERROR(X45*I45/H45,"0")</f>
        <v>0</v>
      </c>
      <c r="BN45" s="75">
        <f>IFERROR(Y45*I45/H45,"0")</f>
        <v>0</v>
      </c>
      <c r="BO45" s="75">
        <f>IFERROR(1/J45*(X45/H45),"0")</f>
        <v>0</v>
      </c>
      <c r="BP45" s="75">
        <f>IFERROR(1/J45*(Y45/H45),"0")</f>
        <v>0</v>
      </c>
    </row>
    <row r="46" spans="1:68" x14ac:dyDescent="0.2">
      <c r="A46" s="759"/>
      <c r="B46" s="759"/>
      <c r="C46" s="759"/>
      <c r="D46" s="759"/>
      <c r="E46" s="759"/>
      <c r="F46" s="759"/>
      <c r="G46" s="759"/>
      <c r="H46" s="759"/>
      <c r="I46" s="759"/>
      <c r="J46" s="759"/>
      <c r="K46" s="759"/>
      <c r="L46" s="759"/>
      <c r="M46" s="759"/>
      <c r="N46" s="759"/>
      <c r="O46" s="767"/>
      <c r="P46" s="764" t="s">
        <v>40</v>
      </c>
      <c r="Q46" s="765"/>
      <c r="R46" s="765"/>
      <c r="S46" s="765"/>
      <c r="T46" s="765"/>
      <c r="U46" s="765"/>
      <c r="V46" s="766"/>
      <c r="W46" s="40" t="s">
        <v>39</v>
      </c>
      <c r="X46" s="41">
        <f>IFERROR(X44/H44,"0")+IFERROR(X45/H45,"0")</f>
        <v>0</v>
      </c>
      <c r="Y46" s="41">
        <f>IFERROR(Y44/H44,"0")+IFERROR(Y45/H45,"0")</f>
        <v>0</v>
      </c>
      <c r="Z46" s="41">
        <f>IFERROR(IF(Z44="",0,Z44),"0")+IFERROR(IF(Z45="",0,Z45),"0")</f>
        <v>0</v>
      </c>
      <c r="AA46" s="64"/>
      <c r="AB46" s="64"/>
      <c r="AC46" s="64"/>
    </row>
    <row r="47" spans="1:68" x14ac:dyDescent="0.2">
      <c r="A47" s="759"/>
      <c r="B47" s="759"/>
      <c r="C47" s="759"/>
      <c r="D47" s="759"/>
      <c r="E47" s="759"/>
      <c r="F47" s="759"/>
      <c r="G47" s="759"/>
      <c r="H47" s="759"/>
      <c r="I47" s="759"/>
      <c r="J47" s="759"/>
      <c r="K47" s="759"/>
      <c r="L47" s="759"/>
      <c r="M47" s="759"/>
      <c r="N47" s="759"/>
      <c r="O47" s="767"/>
      <c r="P47" s="764" t="s">
        <v>40</v>
      </c>
      <c r="Q47" s="765"/>
      <c r="R47" s="765"/>
      <c r="S47" s="765"/>
      <c r="T47" s="765"/>
      <c r="U47" s="765"/>
      <c r="V47" s="766"/>
      <c r="W47" s="40" t="s">
        <v>0</v>
      </c>
      <c r="X47" s="41">
        <f>IFERROR(SUM(X44:X45),"0")</f>
        <v>0</v>
      </c>
      <c r="Y47" s="41">
        <f>IFERROR(SUM(Y44:Y45),"0")</f>
        <v>0</v>
      </c>
      <c r="Z47" s="40"/>
      <c r="AA47" s="64"/>
      <c r="AB47" s="64"/>
      <c r="AC47" s="64"/>
    </row>
    <row r="48" spans="1:68" ht="16.5" customHeight="1" x14ac:dyDescent="0.25">
      <c r="A48" s="776" t="s">
        <v>130</v>
      </c>
      <c r="B48" s="776"/>
      <c r="C48" s="776"/>
      <c r="D48" s="776"/>
      <c r="E48" s="776"/>
      <c r="F48" s="776"/>
      <c r="G48" s="776"/>
      <c r="H48" s="776"/>
      <c r="I48" s="776"/>
      <c r="J48" s="776"/>
      <c r="K48" s="776"/>
      <c r="L48" s="776"/>
      <c r="M48" s="776"/>
      <c r="N48" s="776"/>
      <c r="O48" s="776"/>
      <c r="P48" s="776"/>
      <c r="Q48" s="776"/>
      <c r="R48" s="776"/>
      <c r="S48" s="776"/>
      <c r="T48" s="776"/>
      <c r="U48" s="776"/>
      <c r="V48" s="776"/>
      <c r="W48" s="776"/>
      <c r="X48" s="776"/>
      <c r="Y48" s="776"/>
      <c r="Z48" s="776"/>
      <c r="AA48" s="62"/>
      <c r="AB48" s="62"/>
      <c r="AC48" s="62"/>
    </row>
    <row r="49" spans="1:68" ht="14.25" customHeight="1" x14ac:dyDescent="0.25">
      <c r="A49" s="768" t="s">
        <v>101</v>
      </c>
      <c r="B49" s="768"/>
      <c r="C49" s="768"/>
      <c r="D49" s="768"/>
      <c r="E49" s="768"/>
      <c r="F49" s="768"/>
      <c r="G49" s="768"/>
      <c r="H49" s="768"/>
      <c r="I49" s="768"/>
      <c r="J49" s="768"/>
      <c r="K49" s="768"/>
      <c r="L49" s="768"/>
      <c r="M49" s="768"/>
      <c r="N49" s="768"/>
      <c r="O49" s="768"/>
      <c r="P49" s="768"/>
      <c r="Q49" s="768"/>
      <c r="R49" s="768"/>
      <c r="S49" s="768"/>
      <c r="T49" s="768"/>
      <c r="U49" s="768"/>
      <c r="V49" s="768"/>
      <c r="W49" s="768"/>
      <c r="X49" s="768"/>
      <c r="Y49" s="768"/>
      <c r="Z49" s="768"/>
      <c r="AA49" s="63"/>
      <c r="AB49" s="63"/>
      <c r="AC49" s="63"/>
    </row>
    <row r="50" spans="1:68" ht="27" customHeight="1" x14ac:dyDescent="0.25">
      <c r="A50" s="60" t="s">
        <v>131</v>
      </c>
      <c r="B50" s="60" t="s">
        <v>132</v>
      </c>
      <c r="C50" s="34">
        <v>4301012030</v>
      </c>
      <c r="D50" s="769">
        <v>4680115885882</v>
      </c>
      <c r="E50" s="769"/>
      <c r="F50" s="59">
        <v>1.4</v>
      </c>
      <c r="G50" s="35">
        <v>8</v>
      </c>
      <c r="H50" s="59">
        <v>11.2</v>
      </c>
      <c r="I50" s="59">
        <v>11.635</v>
      </c>
      <c r="J50" s="35">
        <v>64</v>
      </c>
      <c r="K50" s="35" t="s">
        <v>107</v>
      </c>
      <c r="L50" s="35" t="s">
        <v>45</v>
      </c>
      <c r="M50" s="36" t="s">
        <v>106</v>
      </c>
      <c r="N50" s="36"/>
      <c r="O50" s="35">
        <v>50</v>
      </c>
      <c r="P50" s="109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0" s="771"/>
      <c r="R50" s="771"/>
      <c r="S50" s="771"/>
      <c r="T50" s="772"/>
      <c r="U50" s="37" t="s">
        <v>45</v>
      </c>
      <c r="V50" s="37" t="s">
        <v>45</v>
      </c>
      <c r="W50" s="38" t="s">
        <v>0</v>
      </c>
      <c r="X50" s="56">
        <v>0</v>
      </c>
      <c r="Y50" s="53">
        <f t="shared" ref="Y50:Y56" si="5">IFERROR(IF(X50="",0,CEILING((X50/$H50),1)*$H50),"")</f>
        <v>0</v>
      </c>
      <c r="Z50" s="39" t="str">
        <f>IFERROR(IF(Y50=0,"",ROUNDUP(Y50/H50,0)*0.01898),"")</f>
        <v/>
      </c>
      <c r="AA50" s="65" t="s">
        <v>45</v>
      </c>
      <c r="AB50" s="66" t="s">
        <v>45</v>
      </c>
      <c r="AC50" s="107" t="s">
        <v>133</v>
      </c>
      <c r="AG50" s="75"/>
      <c r="AJ50" s="79" t="s">
        <v>45</v>
      </c>
      <c r="AK50" s="79">
        <v>0</v>
      </c>
      <c r="BB50" s="108" t="s">
        <v>66</v>
      </c>
      <c r="BM50" s="75">
        <f t="shared" ref="BM50:BM56" si="6">IFERROR(X50*I50/H50,"0")</f>
        <v>0</v>
      </c>
      <c r="BN50" s="75">
        <f t="shared" ref="BN50:BN56" si="7">IFERROR(Y50*I50/H50,"0")</f>
        <v>0</v>
      </c>
      <c r="BO50" s="75">
        <f t="shared" ref="BO50:BO56" si="8">IFERROR(1/J50*(X50/H50),"0")</f>
        <v>0</v>
      </c>
      <c r="BP50" s="75">
        <f t="shared" ref="BP50:BP56" si="9">IFERROR(1/J50*(Y50/H50),"0")</f>
        <v>0</v>
      </c>
    </row>
    <row r="51" spans="1:68" ht="27" customHeight="1" x14ac:dyDescent="0.25">
      <c r="A51" s="60" t="s">
        <v>134</v>
      </c>
      <c r="B51" s="60" t="s">
        <v>135</v>
      </c>
      <c r="C51" s="34">
        <v>4301011816</v>
      </c>
      <c r="D51" s="769">
        <v>4680115881426</v>
      </c>
      <c r="E51" s="769"/>
      <c r="F51" s="59">
        <v>1.35</v>
      </c>
      <c r="G51" s="35">
        <v>8</v>
      </c>
      <c r="H51" s="59">
        <v>10.8</v>
      </c>
      <c r="I51" s="59">
        <v>11.234999999999999</v>
      </c>
      <c r="J51" s="35">
        <v>64</v>
      </c>
      <c r="K51" s="35" t="s">
        <v>107</v>
      </c>
      <c r="L51" s="35" t="s">
        <v>137</v>
      </c>
      <c r="M51" s="36" t="s">
        <v>110</v>
      </c>
      <c r="N51" s="36"/>
      <c r="O51" s="35">
        <v>50</v>
      </c>
      <c r="P51" s="10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1" s="771"/>
      <c r="R51" s="771"/>
      <c r="S51" s="771"/>
      <c r="T51" s="772"/>
      <c r="U51" s="37" t="s">
        <v>45</v>
      </c>
      <c r="V51" s="37" t="s">
        <v>45</v>
      </c>
      <c r="W51" s="38" t="s">
        <v>0</v>
      </c>
      <c r="X51" s="56">
        <v>0</v>
      </c>
      <c r="Y51" s="53">
        <f t="shared" si="5"/>
        <v>0</v>
      </c>
      <c r="Z51" s="39" t="str">
        <f>IFERROR(IF(Y51=0,"",ROUNDUP(Y51/H51,0)*0.01898),"")</f>
        <v/>
      </c>
      <c r="AA51" s="65" t="s">
        <v>45</v>
      </c>
      <c r="AB51" s="66" t="s">
        <v>45</v>
      </c>
      <c r="AC51" s="109" t="s">
        <v>136</v>
      </c>
      <c r="AG51" s="75"/>
      <c r="AJ51" s="79" t="s">
        <v>138</v>
      </c>
      <c r="AK51" s="79">
        <v>691.2</v>
      </c>
      <c r="BB51" s="110" t="s">
        <v>66</v>
      </c>
      <c r="BM51" s="75">
        <f t="shared" si="6"/>
        <v>0</v>
      </c>
      <c r="BN51" s="75">
        <f t="shared" si="7"/>
        <v>0</v>
      </c>
      <c r="BO51" s="75">
        <f t="shared" si="8"/>
        <v>0</v>
      </c>
      <c r="BP51" s="75">
        <f t="shared" si="9"/>
        <v>0</v>
      </c>
    </row>
    <row r="52" spans="1:68" ht="27" customHeight="1" x14ac:dyDescent="0.25">
      <c r="A52" s="60" t="s">
        <v>139</v>
      </c>
      <c r="B52" s="60" t="s">
        <v>140</v>
      </c>
      <c r="C52" s="34">
        <v>4301011386</v>
      </c>
      <c r="D52" s="769">
        <v>4680115880283</v>
      </c>
      <c r="E52" s="769"/>
      <c r="F52" s="59">
        <v>0.6</v>
      </c>
      <c r="G52" s="35">
        <v>8</v>
      </c>
      <c r="H52" s="59">
        <v>4.8</v>
      </c>
      <c r="I52" s="59">
        <v>5.01</v>
      </c>
      <c r="J52" s="35">
        <v>132</v>
      </c>
      <c r="K52" s="35" t="s">
        <v>116</v>
      </c>
      <c r="L52" s="35" t="s">
        <v>45</v>
      </c>
      <c r="M52" s="36" t="s">
        <v>110</v>
      </c>
      <c r="N52" s="36"/>
      <c r="O52" s="35">
        <v>45</v>
      </c>
      <c r="P52" s="1093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2" s="771"/>
      <c r="R52" s="771"/>
      <c r="S52" s="771"/>
      <c r="T52" s="772"/>
      <c r="U52" s="37" t="s">
        <v>45</v>
      </c>
      <c r="V52" s="37" t="s">
        <v>45</v>
      </c>
      <c r="W52" s="38" t="s">
        <v>0</v>
      </c>
      <c r="X52" s="56">
        <v>0</v>
      </c>
      <c r="Y52" s="53">
        <f t="shared" si="5"/>
        <v>0</v>
      </c>
      <c r="Z52" s="39" t="str">
        <f>IFERROR(IF(Y52=0,"",ROUNDUP(Y52/H52,0)*0.00902),"")</f>
        <v/>
      </c>
      <c r="AA52" s="65" t="s">
        <v>45</v>
      </c>
      <c r="AB52" s="66" t="s">
        <v>45</v>
      </c>
      <c r="AC52" s="111" t="s">
        <v>141</v>
      </c>
      <c r="AG52" s="75"/>
      <c r="AJ52" s="79" t="s">
        <v>45</v>
      </c>
      <c r="AK52" s="79">
        <v>0</v>
      </c>
      <c r="BB52" s="112" t="s">
        <v>66</v>
      </c>
      <c r="BM52" s="75">
        <f t="shared" si="6"/>
        <v>0</v>
      </c>
      <c r="BN52" s="75">
        <f t="shared" si="7"/>
        <v>0</v>
      </c>
      <c r="BO52" s="75">
        <f t="shared" si="8"/>
        <v>0</v>
      </c>
      <c r="BP52" s="75">
        <f t="shared" si="9"/>
        <v>0</v>
      </c>
    </row>
    <row r="53" spans="1:68" ht="27" customHeight="1" x14ac:dyDescent="0.25">
      <c r="A53" s="60" t="s">
        <v>142</v>
      </c>
      <c r="B53" s="60" t="s">
        <v>143</v>
      </c>
      <c r="C53" s="34">
        <v>4301011432</v>
      </c>
      <c r="D53" s="769">
        <v>4680115882720</v>
      </c>
      <c r="E53" s="769"/>
      <c r="F53" s="59">
        <v>0.45</v>
      </c>
      <c r="G53" s="35">
        <v>10</v>
      </c>
      <c r="H53" s="59">
        <v>4.5</v>
      </c>
      <c r="I53" s="59">
        <v>4.71</v>
      </c>
      <c r="J53" s="35">
        <v>132</v>
      </c>
      <c r="K53" s="35" t="s">
        <v>116</v>
      </c>
      <c r="L53" s="35" t="s">
        <v>45</v>
      </c>
      <c r="M53" s="36" t="s">
        <v>110</v>
      </c>
      <c r="N53" s="36"/>
      <c r="O53" s="35">
        <v>90</v>
      </c>
      <c r="P53" s="1094" t="str">
        <f>HYPERLINK("https://abi.ru/products/Охлажденные/Вязанка/Филейская/Вареные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Q53" s="771"/>
      <c r="R53" s="771"/>
      <c r="S53" s="771"/>
      <c r="T53" s="772"/>
      <c r="U53" s="37" t="s">
        <v>45</v>
      </c>
      <c r="V53" s="37" t="s">
        <v>45</v>
      </c>
      <c r="W53" s="38" t="s">
        <v>0</v>
      </c>
      <c r="X53" s="56">
        <v>0</v>
      </c>
      <c r="Y53" s="53">
        <f t="shared" si="5"/>
        <v>0</v>
      </c>
      <c r="Z53" s="39" t="str">
        <f>IFERROR(IF(Y53=0,"",ROUNDUP(Y53/H53,0)*0.00902),"")</f>
        <v/>
      </c>
      <c r="AA53" s="65" t="s">
        <v>45</v>
      </c>
      <c r="AB53" s="66" t="s">
        <v>45</v>
      </c>
      <c r="AC53" s="113" t="s">
        <v>144</v>
      </c>
      <c r="AG53" s="75"/>
      <c r="AJ53" s="79" t="s">
        <v>45</v>
      </c>
      <c r="AK53" s="79">
        <v>0</v>
      </c>
      <c r="BB53" s="114" t="s">
        <v>66</v>
      </c>
      <c r="BM53" s="75">
        <f t="shared" si="6"/>
        <v>0</v>
      </c>
      <c r="BN53" s="75">
        <f t="shared" si="7"/>
        <v>0</v>
      </c>
      <c r="BO53" s="75">
        <f t="shared" si="8"/>
        <v>0</v>
      </c>
      <c r="BP53" s="75">
        <f t="shared" si="9"/>
        <v>0</v>
      </c>
    </row>
    <row r="54" spans="1:68" ht="16.5" customHeight="1" x14ac:dyDescent="0.25">
      <c r="A54" s="60" t="s">
        <v>145</v>
      </c>
      <c r="B54" s="60" t="s">
        <v>146</v>
      </c>
      <c r="C54" s="34">
        <v>4301011806</v>
      </c>
      <c r="D54" s="769">
        <v>4680115881525</v>
      </c>
      <c r="E54" s="769"/>
      <c r="F54" s="59">
        <v>0.4</v>
      </c>
      <c r="G54" s="35">
        <v>10</v>
      </c>
      <c r="H54" s="59">
        <v>4</v>
      </c>
      <c r="I54" s="59">
        <v>4.21</v>
      </c>
      <c r="J54" s="35">
        <v>132</v>
      </c>
      <c r="K54" s="35" t="s">
        <v>116</v>
      </c>
      <c r="L54" s="35" t="s">
        <v>45</v>
      </c>
      <c r="M54" s="36" t="s">
        <v>110</v>
      </c>
      <c r="N54" s="36"/>
      <c r="O54" s="35">
        <v>50</v>
      </c>
      <c r="P54" s="109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4" s="771"/>
      <c r="R54" s="771"/>
      <c r="S54" s="771"/>
      <c r="T54" s="772"/>
      <c r="U54" s="37" t="s">
        <v>45</v>
      </c>
      <c r="V54" s="37" t="s">
        <v>45</v>
      </c>
      <c r="W54" s="38" t="s">
        <v>0</v>
      </c>
      <c r="X54" s="56">
        <v>0</v>
      </c>
      <c r="Y54" s="53">
        <f t="shared" si="5"/>
        <v>0</v>
      </c>
      <c r="Z54" s="39" t="str">
        <f>IFERROR(IF(Y54=0,"",ROUNDUP(Y54/H54,0)*0.00902),"")</f>
        <v/>
      </c>
      <c r="AA54" s="65" t="s">
        <v>45</v>
      </c>
      <c r="AB54" s="66" t="s">
        <v>45</v>
      </c>
      <c r="AC54" s="115" t="s">
        <v>136</v>
      </c>
      <c r="AG54" s="75"/>
      <c r="AJ54" s="79" t="s">
        <v>45</v>
      </c>
      <c r="AK54" s="79">
        <v>0</v>
      </c>
      <c r="BB54" s="116" t="s">
        <v>66</v>
      </c>
      <c r="BM54" s="75">
        <f t="shared" si="6"/>
        <v>0</v>
      </c>
      <c r="BN54" s="75">
        <f t="shared" si="7"/>
        <v>0</v>
      </c>
      <c r="BO54" s="75">
        <f t="shared" si="8"/>
        <v>0</v>
      </c>
      <c r="BP54" s="75">
        <f t="shared" si="9"/>
        <v>0</v>
      </c>
    </row>
    <row r="55" spans="1:68" ht="27" customHeight="1" x14ac:dyDescent="0.25">
      <c r="A55" s="60" t="s">
        <v>147</v>
      </c>
      <c r="B55" s="60" t="s">
        <v>148</v>
      </c>
      <c r="C55" s="34">
        <v>4301011589</v>
      </c>
      <c r="D55" s="769">
        <v>4680115885899</v>
      </c>
      <c r="E55" s="769"/>
      <c r="F55" s="59">
        <v>0.35</v>
      </c>
      <c r="G55" s="35">
        <v>6</v>
      </c>
      <c r="H55" s="59">
        <v>2.1</v>
      </c>
      <c r="I55" s="59">
        <v>2.2799999999999998</v>
      </c>
      <c r="J55" s="35">
        <v>182</v>
      </c>
      <c r="K55" s="35" t="s">
        <v>83</v>
      </c>
      <c r="L55" s="35" t="s">
        <v>45</v>
      </c>
      <c r="M55" s="36" t="s">
        <v>150</v>
      </c>
      <c r="N55" s="36"/>
      <c r="O55" s="35">
        <v>50</v>
      </c>
      <c r="P55" s="1096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5" s="771"/>
      <c r="R55" s="771"/>
      <c r="S55" s="771"/>
      <c r="T55" s="772"/>
      <c r="U55" s="37" t="s">
        <v>45</v>
      </c>
      <c r="V55" s="37" t="s">
        <v>45</v>
      </c>
      <c r="W55" s="38" t="s">
        <v>0</v>
      </c>
      <c r="X55" s="56">
        <v>0</v>
      </c>
      <c r="Y55" s="53">
        <f t="shared" si="5"/>
        <v>0</v>
      </c>
      <c r="Z55" s="39" t="str">
        <f>IFERROR(IF(Y55=0,"",ROUNDUP(Y55/H55,0)*0.00651),"")</f>
        <v/>
      </c>
      <c r="AA55" s="65" t="s">
        <v>45</v>
      </c>
      <c r="AB55" s="66" t="s">
        <v>45</v>
      </c>
      <c r="AC55" s="117" t="s">
        <v>149</v>
      </c>
      <c r="AG55" s="75"/>
      <c r="AJ55" s="79" t="s">
        <v>45</v>
      </c>
      <c r="AK55" s="79">
        <v>0</v>
      </c>
      <c r="BB55" s="118" t="s">
        <v>66</v>
      </c>
      <c r="BM55" s="75">
        <f t="shared" si="6"/>
        <v>0</v>
      </c>
      <c r="BN55" s="75">
        <f t="shared" si="7"/>
        <v>0</v>
      </c>
      <c r="BO55" s="75">
        <f t="shared" si="8"/>
        <v>0</v>
      </c>
      <c r="BP55" s="75">
        <f t="shared" si="9"/>
        <v>0</v>
      </c>
    </row>
    <row r="56" spans="1:68" ht="27" customHeight="1" x14ac:dyDescent="0.25">
      <c r="A56" s="60" t="s">
        <v>151</v>
      </c>
      <c r="B56" s="60" t="s">
        <v>152</v>
      </c>
      <c r="C56" s="34">
        <v>4301011801</v>
      </c>
      <c r="D56" s="769">
        <v>4680115881419</v>
      </c>
      <c r="E56" s="769"/>
      <c r="F56" s="59">
        <v>0.45</v>
      </c>
      <c r="G56" s="35">
        <v>10</v>
      </c>
      <c r="H56" s="59">
        <v>4.5</v>
      </c>
      <c r="I56" s="59">
        <v>4.71</v>
      </c>
      <c r="J56" s="35">
        <v>132</v>
      </c>
      <c r="K56" s="35" t="s">
        <v>116</v>
      </c>
      <c r="L56" s="35" t="s">
        <v>137</v>
      </c>
      <c r="M56" s="36" t="s">
        <v>110</v>
      </c>
      <c r="N56" s="36"/>
      <c r="O56" s="35">
        <v>50</v>
      </c>
      <c r="P56" s="1097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6" s="771"/>
      <c r="R56" s="771"/>
      <c r="S56" s="771"/>
      <c r="T56" s="772"/>
      <c r="U56" s="37" t="s">
        <v>45</v>
      </c>
      <c r="V56" s="37" t="s">
        <v>45</v>
      </c>
      <c r="W56" s="38" t="s">
        <v>0</v>
      </c>
      <c r="X56" s="56">
        <v>0</v>
      </c>
      <c r="Y56" s="53">
        <f t="shared" si="5"/>
        <v>0</v>
      </c>
      <c r="Z56" s="39" t="str">
        <f>IFERROR(IF(Y56=0,"",ROUNDUP(Y56/H56,0)*0.00902),"")</f>
        <v/>
      </c>
      <c r="AA56" s="65" t="s">
        <v>45</v>
      </c>
      <c r="AB56" s="66" t="s">
        <v>45</v>
      </c>
      <c r="AC56" s="119" t="s">
        <v>136</v>
      </c>
      <c r="AG56" s="75"/>
      <c r="AJ56" s="79" t="s">
        <v>138</v>
      </c>
      <c r="AK56" s="79">
        <v>594</v>
      </c>
      <c r="BB56" s="120" t="s">
        <v>66</v>
      </c>
      <c r="BM56" s="75">
        <f t="shared" si="6"/>
        <v>0</v>
      </c>
      <c r="BN56" s="75">
        <f t="shared" si="7"/>
        <v>0</v>
      </c>
      <c r="BO56" s="75">
        <f t="shared" si="8"/>
        <v>0</v>
      </c>
      <c r="BP56" s="75">
        <f t="shared" si="9"/>
        <v>0</v>
      </c>
    </row>
    <row r="57" spans="1:68" x14ac:dyDescent="0.2">
      <c r="A57" s="759"/>
      <c r="B57" s="759"/>
      <c r="C57" s="759"/>
      <c r="D57" s="759"/>
      <c r="E57" s="759"/>
      <c r="F57" s="759"/>
      <c r="G57" s="759"/>
      <c r="H57" s="759"/>
      <c r="I57" s="759"/>
      <c r="J57" s="759"/>
      <c r="K57" s="759"/>
      <c r="L57" s="759"/>
      <c r="M57" s="759"/>
      <c r="N57" s="759"/>
      <c r="O57" s="767"/>
      <c r="P57" s="764" t="s">
        <v>40</v>
      </c>
      <c r="Q57" s="765"/>
      <c r="R57" s="765"/>
      <c r="S57" s="765"/>
      <c r="T57" s="765"/>
      <c r="U57" s="765"/>
      <c r="V57" s="766"/>
      <c r="W57" s="40" t="s">
        <v>39</v>
      </c>
      <c r="X57" s="41">
        <f>IFERROR(X50/H50,"0")+IFERROR(X51/H51,"0")+IFERROR(X52/H52,"0")+IFERROR(X53/H53,"0")+IFERROR(X54/H54,"0")+IFERROR(X55/H55,"0")+IFERROR(X56/H56,"0")</f>
        <v>0</v>
      </c>
      <c r="Y57" s="41">
        <f>IFERROR(Y50/H50,"0")+IFERROR(Y51/H51,"0")+IFERROR(Y52/H52,"0")+IFERROR(Y53/H53,"0")+IFERROR(Y54/H54,"0")+IFERROR(Y55/H55,"0")+IFERROR(Y56/H56,"0")</f>
        <v>0</v>
      </c>
      <c r="Z57" s="41">
        <f>IFERROR(IF(Z50="",0,Z50),"0")+IFERROR(IF(Z51="",0,Z51),"0")+IFERROR(IF(Z52="",0,Z52),"0")+IFERROR(IF(Z53="",0,Z53),"0")+IFERROR(IF(Z54="",0,Z54),"0")+IFERROR(IF(Z55="",0,Z55),"0")+IFERROR(IF(Z56="",0,Z56),"0")</f>
        <v>0</v>
      </c>
      <c r="AA57" s="64"/>
      <c r="AB57" s="64"/>
      <c r="AC57" s="64"/>
    </row>
    <row r="58" spans="1:68" x14ac:dyDescent="0.2">
      <c r="A58" s="759"/>
      <c r="B58" s="759"/>
      <c r="C58" s="759"/>
      <c r="D58" s="759"/>
      <c r="E58" s="759"/>
      <c r="F58" s="759"/>
      <c r="G58" s="759"/>
      <c r="H58" s="759"/>
      <c r="I58" s="759"/>
      <c r="J58" s="759"/>
      <c r="K58" s="759"/>
      <c r="L58" s="759"/>
      <c r="M58" s="759"/>
      <c r="N58" s="759"/>
      <c r="O58" s="767"/>
      <c r="P58" s="764" t="s">
        <v>40</v>
      </c>
      <c r="Q58" s="765"/>
      <c r="R58" s="765"/>
      <c r="S58" s="765"/>
      <c r="T58" s="765"/>
      <c r="U58" s="765"/>
      <c r="V58" s="766"/>
      <c r="W58" s="40" t="s">
        <v>0</v>
      </c>
      <c r="X58" s="41">
        <f>IFERROR(SUM(X50:X56),"0")</f>
        <v>0</v>
      </c>
      <c r="Y58" s="41">
        <f>IFERROR(SUM(Y50:Y56),"0")</f>
        <v>0</v>
      </c>
      <c r="Z58" s="40"/>
      <c r="AA58" s="64"/>
      <c r="AB58" s="64"/>
      <c r="AC58" s="64"/>
    </row>
    <row r="59" spans="1:68" ht="14.25" customHeight="1" x14ac:dyDescent="0.25">
      <c r="A59" s="768" t="s">
        <v>153</v>
      </c>
      <c r="B59" s="768"/>
      <c r="C59" s="768"/>
      <c r="D59" s="768"/>
      <c r="E59" s="768"/>
      <c r="F59" s="768"/>
      <c r="G59" s="768"/>
      <c r="H59" s="768"/>
      <c r="I59" s="768"/>
      <c r="J59" s="768"/>
      <c r="K59" s="768"/>
      <c r="L59" s="768"/>
      <c r="M59" s="768"/>
      <c r="N59" s="768"/>
      <c r="O59" s="768"/>
      <c r="P59" s="768"/>
      <c r="Q59" s="768"/>
      <c r="R59" s="768"/>
      <c r="S59" s="768"/>
      <c r="T59" s="768"/>
      <c r="U59" s="768"/>
      <c r="V59" s="768"/>
      <c r="W59" s="768"/>
      <c r="X59" s="768"/>
      <c r="Y59" s="768"/>
      <c r="Z59" s="768"/>
      <c r="AA59" s="63"/>
      <c r="AB59" s="63"/>
      <c r="AC59" s="63"/>
    </row>
    <row r="60" spans="1:68" ht="27" customHeight="1" x14ac:dyDescent="0.25">
      <c r="A60" s="60" t="s">
        <v>154</v>
      </c>
      <c r="B60" s="60" t="s">
        <v>155</v>
      </c>
      <c r="C60" s="34">
        <v>4301020298</v>
      </c>
      <c r="D60" s="769">
        <v>4680115881440</v>
      </c>
      <c r="E60" s="769"/>
      <c r="F60" s="59">
        <v>1.35</v>
      </c>
      <c r="G60" s="35">
        <v>8</v>
      </c>
      <c r="H60" s="59">
        <v>10.8</v>
      </c>
      <c r="I60" s="59">
        <v>11.234999999999999</v>
      </c>
      <c r="J60" s="35">
        <v>64</v>
      </c>
      <c r="K60" s="35" t="s">
        <v>107</v>
      </c>
      <c r="L60" s="35" t="s">
        <v>45</v>
      </c>
      <c r="M60" s="36" t="s">
        <v>110</v>
      </c>
      <c r="N60" s="36"/>
      <c r="O60" s="35">
        <v>50</v>
      </c>
      <c r="P60" s="108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0" s="771"/>
      <c r="R60" s="771"/>
      <c r="S60" s="771"/>
      <c r="T60" s="772"/>
      <c r="U60" s="37" t="s">
        <v>45</v>
      </c>
      <c r="V60" s="37" t="s">
        <v>45</v>
      </c>
      <c r="W60" s="38" t="s">
        <v>0</v>
      </c>
      <c r="X60" s="56">
        <v>30</v>
      </c>
      <c r="Y60" s="53">
        <f>IFERROR(IF(X60="",0,CEILING((X60/$H60),1)*$H60),"")</f>
        <v>32.400000000000006</v>
      </c>
      <c r="Z60" s="39">
        <f>IFERROR(IF(Y60=0,"",ROUNDUP(Y60/H60,0)*0.01898),"")</f>
        <v>5.6940000000000004E-2</v>
      </c>
      <c r="AA60" s="65" t="s">
        <v>45</v>
      </c>
      <c r="AB60" s="66" t="s">
        <v>45</v>
      </c>
      <c r="AC60" s="121" t="s">
        <v>156</v>
      </c>
      <c r="AG60" s="75"/>
      <c r="AJ60" s="79" t="s">
        <v>45</v>
      </c>
      <c r="AK60" s="79">
        <v>0</v>
      </c>
      <c r="BB60" s="122" t="s">
        <v>66</v>
      </c>
      <c r="BM60" s="75">
        <f>IFERROR(X60*I60/H60,"0")</f>
        <v>31.208333333333329</v>
      </c>
      <c r="BN60" s="75">
        <f>IFERROR(Y60*I60/H60,"0")</f>
        <v>33.705000000000005</v>
      </c>
      <c r="BO60" s="75">
        <f>IFERROR(1/J60*(X60/H60),"0")</f>
        <v>4.3402777777777776E-2</v>
      </c>
      <c r="BP60" s="75">
        <f>IFERROR(1/J60*(Y60/H60),"0")</f>
        <v>4.6875000000000007E-2</v>
      </c>
    </row>
    <row r="61" spans="1:68" ht="27" customHeight="1" x14ac:dyDescent="0.25">
      <c r="A61" s="60" t="s">
        <v>157</v>
      </c>
      <c r="B61" s="60" t="s">
        <v>158</v>
      </c>
      <c r="C61" s="34">
        <v>4301020228</v>
      </c>
      <c r="D61" s="769">
        <v>4680115882751</v>
      </c>
      <c r="E61" s="769"/>
      <c r="F61" s="59">
        <v>0.45</v>
      </c>
      <c r="G61" s="35">
        <v>10</v>
      </c>
      <c r="H61" s="59">
        <v>4.5</v>
      </c>
      <c r="I61" s="59">
        <v>4.71</v>
      </c>
      <c r="J61" s="35">
        <v>132</v>
      </c>
      <c r="K61" s="35" t="s">
        <v>116</v>
      </c>
      <c r="L61" s="35" t="s">
        <v>45</v>
      </c>
      <c r="M61" s="36" t="s">
        <v>110</v>
      </c>
      <c r="N61" s="36"/>
      <c r="O61" s="35">
        <v>90</v>
      </c>
      <c r="P61" s="1086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1" s="771"/>
      <c r="R61" s="771"/>
      <c r="S61" s="771"/>
      <c r="T61" s="772"/>
      <c r="U61" s="37" t="s">
        <v>45</v>
      </c>
      <c r="V61" s="37" t="s">
        <v>45</v>
      </c>
      <c r="W61" s="38" t="s">
        <v>0</v>
      </c>
      <c r="X61" s="56">
        <v>0</v>
      </c>
      <c r="Y61" s="53">
        <f>IFERROR(IF(X61="",0,CEILING((X61/$H61),1)*$H61),"")</f>
        <v>0</v>
      </c>
      <c r="Z61" s="39" t="str">
        <f>IFERROR(IF(Y61=0,"",ROUNDUP(Y61/H61,0)*0.00902),"")</f>
        <v/>
      </c>
      <c r="AA61" s="65" t="s">
        <v>45</v>
      </c>
      <c r="AB61" s="66" t="s">
        <v>45</v>
      </c>
      <c r="AC61" s="123" t="s">
        <v>159</v>
      </c>
      <c r="AG61" s="75"/>
      <c r="AJ61" s="79" t="s">
        <v>45</v>
      </c>
      <c r="AK61" s="79">
        <v>0</v>
      </c>
      <c r="BB61" s="124" t="s">
        <v>66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t="16.5" customHeight="1" x14ac:dyDescent="0.25">
      <c r="A62" s="60" t="s">
        <v>160</v>
      </c>
      <c r="B62" s="60" t="s">
        <v>161</v>
      </c>
      <c r="C62" s="34">
        <v>4301020358</v>
      </c>
      <c r="D62" s="769">
        <v>4680115885950</v>
      </c>
      <c r="E62" s="769"/>
      <c r="F62" s="59">
        <v>0.37</v>
      </c>
      <c r="G62" s="35">
        <v>6</v>
      </c>
      <c r="H62" s="59">
        <v>2.2200000000000002</v>
      </c>
      <c r="I62" s="59">
        <v>2.4</v>
      </c>
      <c r="J62" s="35">
        <v>182</v>
      </c>
      <c r="K62" s="35" t="s">
        <v>83</v>
      </c>
      <c r="L62" s="35" t="s">
        <v>45</v>
      </c>
      <c r="M62" s="36" t="s">
        <v>106</v>
      </c>
      <c r="N62" s="36"/>
      <c r="O62" s="35">
        <v>50</v>
      </c>
      <c r="P62" s="1087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771"/>
      <c r="R62" s="771"/>
      <c r="S62" s="771"/>
      <c r="T62" s="772"/>
      <c r="U62" s="37" t="s">
        <v>45</v>
      </c>
      <c r="V62" s="37" t="s">
        <v>45</v>
      </c>
      <c r="W62" s="38" t="s">
        <v>0</v>
      </c>
      <c r="X62" s="56">
        <v>0</v>
      </c>
      <c r="Y62" s="53">
        <f>IFERROR(IF(X62="",0,CEILING((X62/$H62),1)*$H62),"")</f>
        <v>0</v>
      </c>
      <c r="Z62" s="39" t="str">
        <f>IFERROR(IF(Y62=0,"",ROUNDUP(Y62/H62,0)*0.00651),"")</f>
        <v/>
      </c>
      <c r="AA62" s="65" t="s">
        <v>45</v>
      </c>
      <c r="AB62" s="66" t="s">
        <v>45</v>
      </c>
      <c r="AC62" s="125" t="s">
        <v>156</v>
      </c>
      <c r="AG62" s="75"/>
      <c r="AJ62" s="79" t="s">
        <v>45</v>
      </c>
      <c r="AK62" s="79">
        <v>0</v>
      </c>
      <c r="BB62" s="126" t="s">
        <v>66</v>
      </c>
      <c r="BM62" s="75">
        <f>IFERROR(X62*I62/H62,"0")</f>
        <v>0</v>
      </c>
      <c r="BN62" s="75">
        <f>IFERROR(Y62*I62/H62,"0")</f>
        <v>0</v>
      </c>
      <c r="BO62" s="75">
        <f>IFERROR(1/J62*(X62/H62),"0")</f>
        <v>0</v>
      </c>
      <c r="BP62" s="75">
        <f>IFERROR(1/J62*(Y62/H62),"0")</f>
        <v>0</v>
      </c>
    </row>
    <row r="63" spans="1:68" ht="27" customHeight="1" x14ac:dyDescent="0.25">
      <c r="A63" s="60" t="s">
        <v>162</v>
      </c>
      <c r="B63" s="60" t="s">
        <v>163</v>
      </c>
      <c r="C63" s="34">
        <v>4301020296</v>
      </c>
      <c r="D63" s="769">
        <v>4680115881433</v>
      </c>
      <c r="E63" s="769"/>
      <c r="F63" s="59">
        <v>0.45</v>
      </c>
      <c r="G63" s="35">
        <v>6</v>
      </c>
      <c r="H63" s="59">
        <v>2.7</v>
      </c>
      <c r="I63" s="59">
        <v>2.88</v>
      </c>
      <c r="J63" s="35">
        <v>182</v>
      </c>
      <c r="K63" s="35" t="s">
        <v>83</v>
      </c>
      <c r="L63" s="35" t="s">
        <v>137</v>
      </c>
      <c r="M63" s="36" t="s">
        <v>110</v>
      </c>
      <c r="N63" s="36"/>
      <c r="O63" s="35">
        <v>50</v>
      </c>
      <c r="P63" s="108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771"/>
      <c r="R63" s="771"/>
      <c r="S63" s="771"/>
      <c r="T63" s="772"/>
      <c r="U63" s="37" t="s">
        <v>45</v>
      </c>
      <c r="V63" s="37" t="s">
        <v>45</v>
      </c>
      <c r="W63" s="38" t="s">
        <v>0</v>
      </c>
      <c r="X63" s="56">
        <v>0</v>
      </c>
      <c r="Y63" s="53">
        <f>IFERROR(IF(X63="",0,CEILING((X63/$H63),1)*$H63),"")</f>
        <v>0</v>
      </c>
      <c r="Z63" s="39" t="str">
        <f>IFERROR(IF(Y63=0,"",ROUNDUP(Y63/H63,0)*0.00651),"")</f>
        <v/>
      </c>
      <c r="AA63" s="65" t="s">
        <v>45</v>
      </c>
      <c r="AB63" s="66" t="s">
        <v>45</v>
      </c>
      <c r="AC63" s="127" t="s">
        <v>156</v>
      </c>
      <c r="AG63" s="75"/>
      <c r="AJ63" s="79" t="s">
        <v>138</v>
      </c>
      <c r="AK63" s="79">
        <v>491.4</v>
      </c>
      <c r="BB63" s="128" t="s">
        <v>66</v>
      </c>
      <c r="BM63" s="75">
        <f>IFERROR(X63*I63/H63,"0")</f>
        <v>0</v>
      </c>
      <c r="BN63" s="75">
        <f>IFERROR(Y63*I63/H63,"0")</f>
        <v>0</v>
      </c>
      <c r="BO63" s="75">
        <f>IFERROR(1/J63*(X63/H63),"0")</f>
        <v>0</v>
      </c>
      <c r="BP63" s="75">
        <f>IFERROR(1/J63*(Y63/H63),"0")</f>
        <v>0</v>
      </c>
    </row>
    <row r="64" spans="1:68" x14ac:dyDescent="0.2">
      <c r="A64" s="759"/>
      <c r="B64" s="759"/>
      <c r="C64" s="759"/>
      <c r="D64" s="759"/>
      <c r="E64" s="759"/>
      <c r="F64" s="759"/>
      <c r="G64" s="759"/>
      <c r="H64" s="759"/>
      <c r="I64" s="759"/>
      <c r="J64" s="759"/>
      <c r="K64" s="759"/>
      <c r="L64" s="759"/>
      <c r="M64" s="759"/>
      <c r="N64" s="759"/>
      <c r="O64" s="767"/>
      <c r="P64" s="764" t="s">
        <v>40</v>
      </c>
      <c r="Q64" s="765"/>
      <c r="R64" s="765"/>
      <c r="S64" s="765"/>
      <c r="T64" s="765"/>
      <c r="U64" s="765"/>
      <c r="V64" s="766"/>
      <c r="W64" s="40" t="s">
        <v>39</v>
      </c>
      <c r="X64" s="41">
        <f>IFERROR(X60/H60,"0")+IFERROR(X61/H61,"0")+IFERROR(X62/H62,"0")+IFERROR(X63/H63,"0")</f>
        <v>2.7777777777777777</v>
      </c>
      <c r="Y64" s="41">
        <f>IFERROR(Y60/H60,"0")+IFERROR(Y61/H61,"0")+IFERROR(Y62/H62,"0")+IFERROR(Y63/H63,"0")</f>
        <v>3.0000000000000004</v>
      </c>
      <c r="Z64" s="41">
        <f>IFERROR(IF(Z60="",0,Z60),"0")+IFERROR(IF(Z61="",0,Z61),"0")+IFERROR(IF(Z62="",0,Z62),"0")+IFERROR(IF(Z63="",0,Z63),"0")</f>
        <v>5.6940000000000004E-2</v>
      </c>
      <c r="AA64" s="64"/>
      <c r="AB64" s="64"/>
      <c r="AC64" s="64"/>
    </row>
    <row r="65" spans="1:68" x14ac:dyDescent="0.2">
      <c r="A65" s="759"/>
      <c r="B65" s="759"/>
      <c r="C65" s="759"/>
      <c r="D65" s="759"/>
      <c r="E65" s="759"/>
      <c r="F65" s="759"/>
      <c r="G65" s="759"/>
      <c r="H65" s="759"/>
      <c r="I65" s="759"/>
      <c r="J65" s="759"/>
      <c r="K65" s="759"/>
      <c r="L65" s="759"/>
      <c r="M65" s="759"/>
      <c r="N65" s="759"/>
      <c r="O65" s="767"/>
      <c r="P65" s="764" t="s">
        <v>40</v>
      </c>
      <c r="Q65" s="765"/>
      <c r="R65" s="765"/>
      <c r="S65" s="765"/>
      <c r="T65" s="765"/>
      <c r="U65" s="765"/>
      <c r="V65" s="766"/>
      <c r="W65" s="40" t="s">
        <v>0</v>
      </c>
      <c r="X65" s="41">
        <f>IFERROR(SUM(X60:X63),"0")</f>
        <v>30</v>
      </c>
      <c r="Y65" s="41">
        <f>IFERROR(SUM(Y60:Y63),"0")</f>
        <v>32.400000000000006</v>
      </c>
      <c r="Z65" s="40"/>
      <c r="AA65" s="64"/>
      <c r="AB65" s="64"/>
      <c r="AC65" s="64"/>
    </row>
    <row r="66" spans="1:68" ht="14.25" customHeight="1" x14ac:dyDescent="0.25">
      <c r="A66" s="768" t="s">
        <v>164</v>
      </c>
      <c r="B66" s="768"/>
      <c r="C66" s="768"/>
      <c r="D66" s="768"/>
      <c r="E66" s="768"/>
      <c r="F66" s="768"/>
      <c r="G66" s="768"/>
      <c r="H66" s="768"/>
      <c r="I66" s="768"/>
      <c r="J66" s="768"/>
      <c r="K66" s="768"/>
      <c r="L66" s="768"/>
      <c r="M66" s="768"/>
      <c r="N66" s="768"/>
      <c r="O66" s="768"/>
      <c r="P66" s="768"/>
      <c r="Q66" s="768"/>
      <c r="R66" s="768"/>
      <c r="S66" s="768"/>
      <c r="T66" s="768"/>
      <c r="U66" s="768"/>
      <c r="V66" s="768"/>
      <c r="W66" s="768"/>
      <c r="X66" s="768"/>
      <c r="Y66" s="768"/>
      <c r="Z66" s="768"/>
      <c r="AA66" s="63"/>
      <c r="AB66" s="63"/>
      <c r="AC66" s="63"/>
    </row>
    <row r="67" spans="1:68" ht="16.5" customHeight="1" x14ac:dyDescent="0.25">
      <c r="A67" s="60" t="s">
        <v>165</v>
      </c>
      <c r="B67" s="60" t="s">
        <v>166</v>
      </c>
      <c r="C67" s="34">
        <v>4301031242</v>
      </c>
      <c r="D67" s="769">
        <v>4680115885066</v>
      </c>
      <c r="E67" s="769"/>
      <c r="F67" s="59">
        <v>0.7</v>
      </c>
      <c r="G67" s="35">
        <v>6</v>
      </c>
      <c r="H67" s="59">
        <v>4.2</v>
      </c>
      <c r="I67" s="59">
        <v>4.41</v>
      </c>
      <c r="J67" s="35">
        <v>132</v>
      </c>
      <c r="K67" s="35" t="s">
        <v>116</v>
      </c>
      <c r="L67" s="35" t="s">
        <v>45</v>
      </c>
      <c r="M67" s="36" t="s">
        <v>82</v>
      </c>
      <c r="N67" s="36"/>
      <c r="O67" s="35">
        <v>40</v>
      </c>
      <c r="P67" s="1089" t="str">
        <f>HYPERLINK("https://abi.ru/products/Охлажденные/Вязанка/Филейская/Копченые колбасы/P003572/","В/к колбасы «Салями Филейская» вес фиброуз ТМ «Вязанка»")</f>
        <v>В/к колбасы «Салями Филейская» вес фиброуз ТМ «Вязанка»</v>
      </c>
      <c r="Q67" s="771"/>
      <c r="R67" s="771"/>
      <c r="S67" s="771"/>
      <c r="T67" s="772"/>
      <c r="U67" s="37" t="s">
        <v>45</v>
      </c>
      <c r="V67" s="37" t="s">
        <v>45</v>
      </c>
      <c r="W67" s="38" t="s">
        <v>0</v>
      </c>
      <c r="X67" s="56">
        <v>0</v>
      </c>
      <c r="Y67" s="53">
        <f t="shared" ref="Y67:Y72" si="10">IFERROR(IF(X67="",0,CEILING((X67/$H67),1)*$H67),"")</f>
        <v>0</v>
      </c>
      <c r="Z67" s="39" t="str">
        <f>IFERROR(IF(Y67=0,"",ROUNDUP(Y67/H67,0)*0.00902),"")</f>
        <v/>
      </c>
      <c r="AA67" s="65" t="s">
        <v>45</v>
      </c>
      <c r="AB67" s="66" t="s">
        <v>45</v>
      </c>
      <c r="AC67" s="129" t="s">
        <v>167</v>
      </c>
      <c r="AG67" s="75"/>
      <c r="AJ67" s="79" t="s">
        <v>45</v>
      </c>
      <c r="AK67" s="79">
        <v>0</v>
      </c>
      <c r="BB67" s="130" t="s">
        <v>66</v>
      </c>
      <c r="BM67" s="75">
        <f t="shared" ref="BM67:BM72" si="11">IFERROR(X67*I67/H67,"0")</f>
        <v>0</v>
      </c>
      <c r="BN67" s="75">
        <f t="shared" ref="BN67:BN72" si="12">IFERROR(Y67*I67/H67,"0")</f>
        <v>0</v>
      </c>
      <c r="BO67" s="75">
        <f t="shared" ref="BO67:BO72" si="13">IFERROR(1/J67*(X67/H67),"0")</f>
        <v>0</v>
      </c>
      <c r="BP67" s="75">
        <f t="shared" ref="BP67:BP72" si="14">IFERROR(1/J67*(Y67/H67),"0")</f>
        <v>0</v>
      </c>
    </row>
    <row r="68" spans="1:68" ht="16.5" customHeight="1" x14ac:dyDescent="0.25">
      <c r="A68" s="60" t="s">
        <v>168</v>
      </c>
      <c r="B68" s="60" t="s">
        <v>169</v>
      </c>
      <c r="C68" s="34">
        <v>4301031240</v>
      </c>
      <c r="D68" s="769">
        <v>4680115885042</v>
      </c>
      <c r="E68" s="769"/>
      <c r="F68" s="59">
        <v>0.7</v>
      </c>
      <c r="G68" s="35">
        <v>6</v>
      </c>
      <c r="H68" s="59">
        <v>4.2</v>
      </c>
      <c r="I68" s="59">
        <v>4.41</v>
      </c>
      <c r="J68" s="35">
        <v>132</v>
      </c>
      <c r="K68" s="35" t="s">
        <v>116</v>
      </c>
      <c r="L68" s="35" t="s">
        <v>45</v>
      </c>
      <c r="M68" s="36" t="s">
        <v>82</v>
      </c>
      <c r="N68" s="36"/>
      <c r="O68" s="35">
        <v>40</v>
      </c>
      <c r="P68" s="1090" t="str">
        <f>HYPERLINK("https://abi.ru/products/Охлажденные/Вязанка/Филейская/Копченые колбасы/P003567/","В/к колбасы «Сервелат Филейский» Вес фиброуз ТМ «Вязанка»")</f>
        <v>В/к колбасы «Сервелат Филейский» Вес фиброуз ТМ «Вязанка»</v>
      </c>
      <c r="Q68" s="771"/>
      <c r="R68" s="771"/>
      <c r="S68" s="771"/>
      <c r="T68" s="772"/>
      <c r="U68" s="37" t="s">
        <v>45</v>
      </c>
      <c r="V68" s="37" t="s">
        <v>45</v>
      </c>
      <c r="W68" s="38" t="s">
        <v>0</v>
      </c>
      <c r="X68" s="56">
        <v>0</v>
      </c>
      <c r="Y68" s="53">
        <f t="shared" si="10"/>
        <v>0</v>
      </c>
      <c r="Z68" s="39" t="str">
        <f>IFERROR(IF(Y68=0,"",ROUNDUP(Y68/H68,0)*0.00902),"")</f>
        <v/>
      </c>
      <c r="AA68" s="65" t="s">
        <v>45</v>
      </c>
      <c r="AB68" s="66" t="s">
        <v>45</v>
      </c>
      <c r="AC68" s="131" t="s">
        <v>170</v>
      </c>
      <c r="AG68" s="75"/>
      <c r="AJ68" s="79" t="s">
        <v>45</v>
      </c>
      <c r="AK68" s="79">
        <v>0</v>
      </c>
      <c r="BB68" s="132" t="s">
        <v>66</v>
      </c>
      <c r="BM68" s="75">
        <f t="shared" si="11"/>
        <v>0</v>
      </c>
      <c r="BN68" s="75">
        <f t="shared" si="12"/>
        <v>0</v>
      </c>
      <c r="BO68" s="75">
        <f t="shared" si="13"/>
        <v>0</v>
      </c>
      <c r="BP68" s="75">
        <f t="shared" si="14"/>
        <v>0</v>
      </c>
    </row>
    <row r="69" spans="1:68" ht="16.5" customHeight="1" x14ac:dyDescent="0.25">
      <c r="A69" s="60" t="s">
        <v>171</v>
      </c>
      <c r="B69" s="60" t="s">
        <v>172</v>
      </c>
      <c r="C69" s="34">
        <v>4301031315</v>
      </c>
      <c r="D69" s="769">
        <v>4680115885080</v>
      </c>
      <c r="E69" s="769"/>
      <c r="F69" s="59">
        <v>0.7</v>
      </c>
      <c r="G69" s="35">
        <v>6</v>
      </c>
      <c r="H69" s="59">
        <v>4.2</v>
      </c>
      <c r="I69" s="59">
        <v>4.41</v>
      </c>
      <c r="J69" s="35">
        <v>132</v>
      </c>
      <c r="K69" s="35" t="s">
        <v>116</v>
      </c>
      <c r="L69" s="35" t="s">
        <v>45</v>
      </c>
      <c r="M69" s="36" t="s">
        <v>82</v>
      </c>
      <c r="N69" s="36"/>
      <c r="O69" s="35">
        <v>40</v>
      </c>
      <c r="P69" s="1078" t="str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>В/к колбасы «Филейская Рубленая» Весовой фиброуз ТМ «Вязанка»</v>
      </c>
      <c r="Q69" s="771"/>
      <c r="R69" s="771"/>
      <c r="S69" s="771"/>
      <c r="T69" s="772"/>
      <c r="U69" s="37" t="s">
        <v>45</v>
      </c>
      <c r="V69" s="37" t="s">
        <v>45</v>
      </c>
      <c r="W69" s="38" t="s">
        <v>0</v>
      </c>
      <c r="X69" s="56">
        <v>0</v>
      </c>
      <c r="Y69" s="53">
        <f t="shared" si="10"/>
        <v>0</v>
      </c>
      <c r="Z69" s="39" t="str">
        <f>IFERROR(IF(Y69=0,"",ROUNDUP(Y69/H69,0)*0.00902),"")</f>
        <v/>
      </c>
      <c r="AA69" s="65" t="s">
        <v>45</v>
      </c>
      <c r="AB69" s="66" t="s">
        <v>45</v>
      </c>
      <c r="AC69" s="133" t="s">
        <v>173</v>
      </c>
      <c r="AG69" s="75"/>
      <c r="AJ69" s="79" t="s">
        <v>45</v>
      </c>
      <c r="AK69" s="79">
        <v>0</v>
      </c>
      <c r="BB69" s="134" t="s">
        <v>66</v>
      </c>
      <c r="BM69" s="75">
        <f t="shared" si="11"/>
        <v>0</v>
      </c>
      <c r="BN69" s="75">
        <f t="shared" si="12"/>
        <v>0</v>
      </c>
      <c r="BO69" s="75">
        <f t="shared" si="13"/>
        <v>0</v>
      </c>
      <c r="BP69" s="75">
        <f t="shared" si="14"/>
        <v>0</v>
      </c>
    </row>
    <row r="70" spans="1:68" ht="27" customHeight="1" x14ac:dyDescent="0.25">
      <c r="A70" s="60" t="s">
        <v>174</v>
      </c>
      <c r="B70" s="60" t="s">
        <v>175</v>
      </c>
      <c r="C70" s="34">
        <v>4301031243</v>
      </c>
      <c r="D70" s="769">
        <v>4680115885073</v>
      </c>
      <c r="E70" s="769"/>
      <c r="F70" s="59">
        <v>0.3</v>
      </c>
      <c r="G70" s="35">
        <v>6</v>
      </c>
      <c r="H70" s="59">
        <v>1.8</v>
      </c>
      <c r="I70" s="59">
        <v>1.9</v>
      </c>
      <c r="J70" s="35">
        <v>234</v>
      </c>
      <c r="K70" s="35" t="s">
        <v>126</v>
      </c>
      <c r="L70" s="35" t="s">
        <v>45</v>
      </c>
      <c r="M70" s="36" t="s">
        <v>82</v>
      </c>
      <c r="N70" s="36"/>
      <c r="O70" s="35">
        <v>40</v>
      </c>
      <c r="P70" s="107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70" s="771"/>
      <c r="R70" s="771"/>
      <c r="S70" s="771"/>
      <c r="T70" s="772"/>
      <c r="U70" s="37" t="s">
        <v>45</v>
      </c>
      <c r="V70" s="37" t="s">
        <v>45</v>
      </c>
      <c r="W70" s="38" t="s">
        <v>0</v>
      </c>
      <c r="X70" s="56">
        <v>0</v>
      </c>
      <c r="Y70" s="53">
        <f t="shared" si="10"/>
        <v>0</v>
      </c>
      <c r="Z70" s="39" t="str">
        <f>IFERROR(IF(Y70=0,"",ROUNDUP(Y70/H70,0)*0.00502),"")</f>
        <v/>
      </c>
      <c r="AA70" s="65" t="s">
        <v>45</v>
      </c>
      <c r="AB70" s="66" t="s">
        <v>45</v>
      </c>
      <c r="AC70" s="135" t="s">
        <v>167</v>
      </c>
      <c r="AG70" s="75"/>
      <c r="AJ70" s="79" t="s">
        <v>45</v>
      </c>
      <c r="AK70" s="79">
        <v>0</v>
      </c>
      <c r="BB70" s="136" t="s">
        <v>66</v>
      </c>
      <c r="BM70" s="75">
        <f t="shared" si="11"/>
        <v>0</v>
      </c>
      <c r="BN70" s="75">
        <f t="shared" si="12"/>
        <v>0</v>
      </c>
      <c r="BO70" s="75">
        <f t="shared" si="13"/>
        <v>0</v>
      </c>
      <c r="BP70" s="75">
        <f t="shared" si="14"/>
        <v>0</v>
      </c>
    </row>
    <row r="71" spans="1:68" ht="27" customHeight="1" x14ac:dyDescent="0.25">
      <c r="A71" s="60" t="s">
        <v>176</v>
      </c>
      <c r="B71" s="60" t="s">
        <v>177</v>
      </c>
      <c r="C71" s="34">
        <v>4301031241</v>
      </c>
      <c r="D71" s="769">
        <v>4680115885059</v>
      </c>
      <c r="E71" s="769"/>
      <c r="F71" s="59">
        <v>0.3</v>
      </c>
      <c r="G71" s="35">
        <v>6</v>
      </c>
      <c r="H71" s="59">
        <v>1.8</v>
      </c>
      <c r="I71" s="59">
        <v>1.9</v>
      </c>
      <c r="J71" s="35">
        <v>234</v>
      </c>
      <c r="K71" s="35" t="s">
        <v>126</v>
      </c>
      <c r="L71" s="35" t="s">
        <v>45</v>
      </c>
      <c r="M71" s="36" t="s">
        <v>82</v>
      </c>
      <c r="N71" s="36"/>
      <c r="O71" s="35">
        <v>40</v>
      </c>
      <c r="P71" s="108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1" s="771"/>
      <c r="R71" s="771"/>
      <c r="S71" s="771"/>
      <c r="T71" s="772"/>
      <c r="U71" s="37" t="s">
        <v>45</v>
      </c>
      <c r="V71" s="37" t="s">
        <v>45</v>
      </c>
      <c r="W71" s="38" t="s">
        <v>0</v>
      </c>
      <c r="X71" s="56">
        <v>0</v>
      </c>
      <c r="Y71" s="53">
        <f t="shared" si="10"/>
        <v>0</v>
      </c>
      <c r="Z71" s="39" t="str">
        <f>IFERROR(IF(Y71=0,"",ROUNDUP(Y71/H71,0)*0.00502),"")</f>
        <v/>
      </c>
      <c r="AA71" s="65" t="s">
        <v>45</v>
      </c>
      <c r="AB71" s="66" t="s">
        <v>45</v>
      </c>
      <c r="AC71" s="137" t="s">
        <v>170</v>
      </c>
      <c r="AG71" s="75"/>
      <c r="AJ71" s="79" t="s">
        <v>45</v>
      </c>
      <c r="AK71" s="79">
        <v>0</v>
      </c>
      <c r="BB71" s="138" t="s">
        <v>66</v>
      </c>
      <c r="BM71" s="75">
        <f t="shared" si="11"/>
        <v>0</v>
      </c>
      <c r="BN71" s="75">
        <f t="shared" si="12"/>
        <v>0</v>
      </c>
      <c r="BO71" s="75">
        <f t="shared" si="13"/>
        <v>0</v>
      </c>
      <c r="BP71" s="75">
        <f t="shared" si="14"/>
        <v>0</v>
      </c>
    </row>
    <row r="72" spans="1:68" ht="27" customHeight="1" x14ac:dyDescent="0.25">
      <c r="A72" s="60" t="s">
        <v>178</v>
      </c>
      <c r="B72" s="60" t="s">
        <v>179</v>
      </c>
      <c r="C72" s="34">
        <v>4301031316</v>
      </c>
      <c r="D72" s="769">
        <v>4680115885097</v>
      </c>
      <c r="E72" s="769"/>
      <c r="F72" s="59">
        <v>0.3</v>
      </c>
      <c r="G72" s="35">
        <v>6</v>
      </c>
      <c r="H72" s="59">
        <v>1.8</v>
      </c>
      <c r="I72" s="59">
        <v>1.9</v>
      </c>
      <c r="J72" s="35">
        <v>234</v>
      </c>
      <c r="K72" s="35" t="s">
        <v>126</v>
      </c>
      <c r="L72" s="35" t="s">
        <v>45</v>
      </c>
      <c r="M72" s="36" t="s">
        <v>82</v>
      </c>
      <c r="N72" s="36"/>
      <c r="O72" s="35">
        <v>40</v>
      </c>
      <c r="P72" s="1081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2" s="771"/>
      <c r="R72" s="771"/>
      <c r="S72" s="771"/>
      <c r="T72" s="772"/>
      <c r="U72" s="37" t="s">
        <v>45</v>
      </c>
      <c r="V72" s="37" t="s">
        <v>45</v>
      </c>
      <c r="W72" s="38" t="s">
        <v>0</v>
      </c>
      <c r="X72" s="56">
        <v>0</v>
      </c>
      <c r="Y72" s="53">
        <f t="shared" si="10"/>
        <v>0</v>
      </c>
      <c r="Z72" s="39" t="str">
        <f>IFERROR(IF(Y72=0,"",ROUNDUP(Y72/H72,0)*0.00502),"")</f>
        <v/>
      </c>
      <c r="AA72" s="65" t="s">
        <v>45</v>
      </c>
      <c r="AB72" s="66" t="s">
        <v>45</v>
      </c>
      <c r="AC72" s="139" t="s">
        <v>173</v>
      </c>
      <c r="AG72" s="75"/>
      <c r="AJ72" s="79" t="s">
        <v>45</v>
      </c>
      <c r="AK72" s="79">
        <v>0</v>
      </c>
      <c r="BB72" s="140" t="s">
        <v>66</v>
      </c>
      <c r="BM72" s="75">
        <f t="shared" si="11"/>
        <v>0</v>
      </c>
      <c r="BN72" s="75">
        <f t="shared" si="12"/>
        <v>0</v>
      </c>
      <c r="BO72" s="75">
        <f t="shared" si="13"/>
        <v>0</v>
      </c>
      <c r="BP72" s="75">
        <f t="shared" si="14"/>
        <v>0</v>
      </c>
    </row>
    <row r="73" spans="1:68" x14ac:dyDescent="0.2">
      <c r="A73" s="759"/>
      <c r="B73" s="759"/>
      <c r="C73" s="759"/>
      <c r="D73" s="759"/>
      <c r="E73" s="759"/>
      <c r="F73" s="759"/>
      <c r="G73" s="759"/>
      <c r="H73" s="759"/>
      <c r="I73" s="759"/>
      <c r="J73" s="759"/>
      <c r="K73" s="759"/>
      <c r="L73" s="759"/>
      <c r="M73" s="759"/>
      <c r="N73" s="759"/>
      <c r="O73" s="767"/>
      <c r="P73" s="764" t="s">
        <v>40</v>
      </c>
      <c r="Q73" s="765"/>
      <c r="R73" s="765"/>
      <c r="S73" s="765"/>
      <c r="T73" s="765"/>
      <c r="U73" s="765"/>
      <c r="V73" s="766"/>
      <c r="W73" s="40" t="s">
        <v>39</v>
      </c>
      <c r="X73" s="41">
        <f>IFERROR(X67/H67,"0")+IFERROR(X68/H68,"0")+IFERROR(X69/H69,"0")+IFERROR(X70/H70,"0")+IFERROR(X71/H71,"0")+IFERROR(X72/H72,"0")</f>
        <v>0</v>
      </c>
      <c r="Y73" s="41">
        <f>IFERROR(Y67/H67,"0")+IFERROR(Y68/H68,"0")+IFERROR(Y69/H69,"0")+IFERROR(Y70/H70,"0")+IFERROR(Y71/H71,"0")+IFERROR(Y72/H72,"0")</f>
        <v>0</v>
      </c>
      <c r="Z73" s="41">
        <f>IFERROR(IF(Z67="",0,Z67),"0")+IFERROR(IF(Z68="",0,Z68),"0")+IFERROR(IF(Z69="",0,Z69),"0")+IFERROR(IF(Z70="",0,Z70),"0")+IFERROR(IF(Z71="",0,Z71),"0")+IFERROR(IF(Z72="",0,Z72),"0")</f>
        <v>0</v>
      </c>
      <c r="AA73" s="64"/>
      <c r="AB73" s="64"/>
      <c r="AC73" s="64"/>
    </row>
    <row r="74" spans="1:68" x14ac:dyDescent="0.2">
      <c r="A74" s="759"/>
      <c r="B74" s="759"/>
      <c r="C74" s="759"/>
      <c r="D74" s="759"/>
      <c r="E74" s="759"/>
      <c r="F74" s="759"/>
      <c r="G74" s="759"/>
      <c r="H74" s="759"/>
      <c r="I74" s="759"/>
      <c r="J74" s="759"/>
      <c r="K74" s="759"/>
      <c r="L74" s="759"/>
      <c r="M74" s="759"/>
      <c r="N74" s="759"/>
      <c r="O74" s="767"/>
      <c r="P74" s="764" t="s">
        <v>40</v>
      </c>
      <c r="Q74" s="765"/>
      <c r="R74" s="765"/>
      <c r="S74" s="765"/>
      <c r="T74" s="765"/>
      <c r="U74" s="765"/>
      <c r="V74" s="766"/>
      <c r="W74" s="40" t="s">
        <v>0</v>
      </c>
      <c r="X74" s="41">
        <f>IFERROR(SUM(X67:X72),"0")</f>
        <v>0</v>
      </c>
      <c r="Y74" s="41">
        <f>IFERROR(SUM(Y67:Y72),"0")</f>
        <v>0</v>
      </c>
      <c r="Z74" s="40"/>
      <c r="AA74" s="64"/>
      <c r="AB74" s="64"/>
      <c r="AC74" s="64"/>
    </row>
    <row r="75" spans="1:68" ht="14.25" customHeight="1" x14ac:dyDescent="0.25">
      <c r="A75" s="768" t="s">
        <v>78</v>
      </c>
      <c r="B75" s="768"/>
      <c r="C75" s="768"/>
      <c r="D75" s="768"/>
      <c r="E75" s="768"/>
      <c r="F75" s="768"/>
      <c r="G75" s="768"/>
      <c r="H75" s="768"/>
      <c r="I75" s="768"/>
      <c r="J75" s="768"/>
      <c r="K75" s="768"/>
      <c r="L75" s="768"/>
      <c r="M75" s="768"/>
      <c r="N75" s="768"/>
      <c r="O75" s="768"/>
      <c r="P75" s="768"/>
      <c r="Q75" s="768"/>
      <c r="R75" s="768"/>
      <c r="S75" s="768"/>
      <c r="T75" s="768"/>
      <c r="U75" s="768"/>
      <c r="V75" s="768"/>
      <c r="W75" s="768"/>
      <c r="X75" s="768"/>
      <c r="Y75" s="768"/>
      <c r="Z75" s="768"/>
      <c r="AA75" s="63"/>
      <c r="AB75" s="63"/>
      <c r="AC75" s="63"/>
    </row>
    <row r="76" spans="1:68" ht="16.5" customHeight="1" x14ac:dyDescent="0.25">
      <c r="A76" s="60" t="s">
        <v>180</v>
      </c>
      <c r="B76" s="60" t="s">
        <v>181</v>
      </c>
      <c r="C76" s="34">
        <v>4301051838</v>
      </c>
      <c r="D76" s="769">
        <v>4680115881891</v>
      </c>
      <c r="E76" s="769"/>
      <c r="F76" s="59">
        <v>1.4</v>
      </c>
      <c r="G76" s="35">
        <v>6</v>
      </c>
      <c r="H76" s="59">
        <v>8.4</v>
      </c>
      <c r="I76" s="59">
        <v>8.9190000000000005</v>
      </c>
      <c r="J76" s="35">
        <v>64</v>
      </c>
      <c r="K76" s="35" t="s">
        <v>107</v>
      </c>
      <c r="L76" s="35" t="s">
        <v>45</v>
      </c>
      <c r="M76" s="36" t="s">
        <v>106</v>
      </c>
      <c r="N76" s="36"/>
      <c r="O76" s="35">
        <v>40</v>
      </c>
      <c r="P76" s="1082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6" s="771"/>
      <c r="R76" s="771"/>
      <c r="S76" s="771"/>
      <c r="T76" s="772"/>
      <c r="U76" s="37" t="s">
        <v>45</v>
      </c>
      <c r="V76" s="37" t="s">
        <v>45</v>
      </c>
      <c r="W76" s="38" t="s">
        <v>0</v>
      </c>
      <c r="X76" s="56">
        <v>30</v>
      </c>
      <c r="Y76" s="53">
        <f t="shared" ref="Y76:Y81" si="15">IFERROR(IF(X76="",0,CEILING((X76/$H76),1)*$H76),"")</f>
        <v>33.6</v>
      </c>
      <c r="Z76" s="39">
        <f>IFERROR(IF(Y76=0,"",ROUNDUP(Y76/H76,0)*0.01898),"")</f>
        <v>7.5920000000000001E-2</v>
      </c>
      <c r="AA76" s="65" t="s">
        <v>45</v>
      </c>
      <c r="AB76" s="66" t="s">
        <v>45</v>
      </c>
      <c r="AC76" s="141" t="s">
        <v>182</v>
      </c>
      <c r="AG76" s="75"/>
      <c r="AJ76" s="79" t="s">
        <v>45</v>
      </c>
      <c r="AK76" s="79">
        <v>0</v>
      </c>
      <c r="BB76" s="142" t="s">
        <v>66</v>
      </c>
      <c r="BM76" s="75">
        <f t="shared" ref="BM76:BM81" si="16">IFERROR(X76*I76/H76,"0")</f>
        <v>31.853571428571428</v>
      </c>
      <c r="BN76" s="75">
        <f t="shared" ref="BN76:BN81" si="17">IFERROR(Y76*I76/H76,"0")</f>
        <v>35.676000000000002</v>
      </c>
      <c r="BO76" s="75">
        <f t="shared" ref="BO76:BO81" si="18">IFERROR(1/J76*(X76/H76),"0")</f>
        <v>5.5803571428571425E-2</v>
      </c>
      <c r="BP76" s="75">
        <f t="shared" ref="BP76:BP81" si="19">IFERROR(1/J76*(Y76/H76),"0")</f>
        <v>6.25E-2</v>
      </c>
    </row>
    <row r="77" spans="1:68" ht="27" customHeight="1" x14ac:dyDescent="0.25">
      <c r="A77" s="60" t="s">
        <v>183</v>
      </c>
      <c r="B77" s="60" t="s">
        <v>184</v>
      </c>
      <c r="C77" s="34">
        <v>4301051846</v>
      </c>
      <c r="D77" s="769">
        <v>4680115885769</v>
      </c>
      <c r="E77" s="769"/>
      <c r="F77" s="59">
        <v>1.4</v>
      </c>
      <c r="G77" s="35">
        <v>6</v>
      </c>
      <c r="H77" s="59">
        <v>8.4</v>
      </c>
      <c r="I77" s="59">
        <v>8.8350000000000009</v>
      </c>
      <c r="J77" s="35">
        <v>64</v>
      </c>
      <c r="K77" s="35" t="s">
        <v>107</v>
      </c>
      <c r="L77" s="35" t="s">
        <v>45</v>
      </c>
      <c r="M77" s="36" t="s">
        <v>106</v>
      </c>
      <c r="N77" s="36"/>
      <c r="O77" s="35">
        <v>45</v>
      </c>
      <c r="P77" s="108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7" s="771"/>
      <c r="R77" s="771"/>
      <c r="S77" s="771"/>
      <c r="T77" s="772"/>
      <c r="U77" s="37" t="s">
        <v>45</v>
      </c>
      <c r="V77" s="37" t="s">
        <v>45</v>
      </c>
      <c r="W77" s="38" t="s">
        <v>0</v>
      </c>
      <c r="X77" s="56">
        <v>30</v>
      </c>
      <c r="Y77" s="53">
        <f t="shared" si="15"/>
        <v>33.6</v>
      </c>
      <c r="Z77" s="39">
        <f>IFERROR(IF(Y77=0,"",ROUNDUP(Y77/H77,0)*0.01898),"")</f>
        <v>7.5920000000000001E-2</v>
      </c>
      <c r="AA77" s="65" t="s">
        <v>45</v>
      </c>
      <c r="AB77" s="66" t="s">
        <v>45</v>
      </c>
      <c r="AC77" s="143" t="s">
        <v>185</v>
      </c>
      <c r="AG77" s="75"/>
      <c r="AJ77" s="79" t="s">
        <v>45</v>
      </c>
      <c r="AK77" s="79">
        <v>0</v>
      </c>
      <c r="BB77" s="144" t="s">
        <v>66</v>
      </c>
      <c r="BM77" s="75">
        <f t="shared" si="16"/>
        <v>31.553571428571427</v>
      </c>
      <c r="BN77" s="75">
        <f t="shared" si="17"/>
        <v>35.340000000000003</v>
      </c>
      <c r="BO77" s="75">
        <f t="shared" si="18"/>
        <v>5.5803571428571425E-2</v>
      </c>
      <c r="BP77" s="75">
        <f t="shared" si="19"/>
        <v>6.25E-2</v>
      </c>
    </row>
    <row r="78" spans="1:68" ht="37.5" customHeight="1" x14ac:dyDescent="0.25">
      <c r="A78" s="60" t="s">
        <v>186</v>
      </c>
      <c r="B78" s="60" t="s">
        <v>187</v>
      </c>
      <c r="C78" s="34">
        <v>4301051822</v>
      </c>
      <c r="D78" s="769">
        <v>4680115884410</v>
      </c>
      <c r="E78" s="769"/>
      <c r="F78" s="59">
        <v>1.4</v>
      </c>
      <c r="G78" s="35">
        <v>6</v>
      </c>
      <c r="H78" s="59">
        <v>8.4</v>
      </c>
      <c r="I78" s="59">
        <v>8.907</v>
      </c>
      <c r="J78" s="35">
        <v>64</v>
      </c>
      <c r="K78" s="35" t="s">
        <v>107</v>
      </c>
      <c r="L78" s="35" t="s">
        <v>45</v>
      </c>
      <c r="M78" s="36" t="s">
        <v>82</v>
      </c>
      <c r="N78" s="36"/>
      <c r="O78" s="35">
        <v>40</v>
      </c>
      <c r="P78" s="108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8" s="771"/>
      <c r="R78" s="771"/>
      <c r="S78" s="771"/>
      <c r="T78" s="772"/>
      <c r="U78" s="37" t="s">
        <v>45</v>
      </c>
      <c r="V78" s="37" t="s">
        <v>45</v>
      </c>
      <c r="W78" s="38" t="s">
        <v>0</v>
      </c>
      <c r="X78" s="56">
        <v>80</v>
      </c>
      <c r="Y78" s="53">
        <f t="shared" si="15"/>
        <v>84</v>
      </c>
      <c r="Z78" s="39">
        <f>IFERROR(IF(Y78=0,"",ROUNDUP(Y78/H78,0)*0.01898),"")</f>
        <v>0.1898</v>
      </c>
      <c r="AA78" s="65" t="s">
        <v>45</v>
      </c>
      <c r="AB78" s="66" t="s">
        <v>45</v>
      </c>
      <c r="AC78" s="145" t="s">
        <v>188</v>
      </c>
      <c r="AG78" s="75"/>
      <c r="AJ78" s="79" t="s">
        <v>45</v>
      </c>
      <c r="AK78" s="79">
        <v>0</v>
      </c>
      <c r="BB78" s="146" t="s">
        <v>66</v>
      </c>
      <c r="BM78" s="75">
        <f t="shared" si="16"/>
        <v>84.828571428571422</v>
      </c>
      <c r="BN78" s="75">
        <f t="shared" si="17"/>
        <v>89.07</v>
      </c>
      <c r="BO78" s="75">
        <f t="shared" si="18"/>
        <v>0.14880952380952381</v>
      </c>
      <c r="BP78" s="75">
        <f t="shared" si="19"/>
        <v>0.15625</v>
      </c>
    </row>
    <row r="79" spans="1:68" ht="16.5" customHeight="1" x14ac:dyDescent="0.25">
      <c r="A79" s="60" t="s">
        <v>189</v>
      </c>
      <c r="B79" s="60" t="s">
        <v>190</v>
      </c>
      <c r="C79" s="34">
        <v>4301051837</v>
      </c>
      <c r="D79" s="769">
        <v>4680115884311</v>
      </c>
      <c r="E79" s="769"/>
      <c r="F79" s="59">
        <v>0.3</v>
      </c>
      <c r="G79" s="35">
        <v>6</v>
      </c>
      <c r="H79" s="59">
        <v>1.8</v>
      </c>
      <c r="I79" s="59">
        <v>2.0459999999999998</v>
      </c>
      <c r="J79" s="35">
        <v>182</v>
      </c>
      <c r="K79" s="35" t="s">
        <v>83</v>
      </c>
      <c r="L79" s="35" t="s">
        <v>45</v>
      </c>
      <c r="M79" s="36" t="s">
        <v>106</v>
      </c>
      <c r="N79" s="36"/>
      <c r="O79" s="35">
        <v>40</v>
      </c>
      <c r="P79" s="107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9" s="771"/>
      <c r="R79" s="771"/>
      <c r="S79" s="771"/>
      <c r="T79" s="772"/>
      <c r="U79" s="37" t="s">
        <v>45</v>
      </c>
      <c r="V79" s="37" t="s">
        <v>45</v>
      </c>
      <c r="W79" s="38" t="s">
        <v>0</v>
      </c>
      <c r="X79" s="56">
        <v>0</v>
      </c>
      <c r="Y79" s="53">
        <f t="shared" si="15"/>
        <v>0</v>
      </c>
      <c r="Z79" s="39" t="str">
        <f>IFERROR(IF(Y79=0,"",ROUNDUP(Y79/H79,0)*0.00651),"")</f>
        <v/>
      </c>
      <c r="AA79" s="65" t="s">
        <v>45</v>
      </c>
      <c r="AB79" s="66" t="s">
        <v>45</v>
      </c>
      <c r="AC79" s="147" t="s">
        <v>182</v>
      </c>
      <c r="AG79" s="75"/>
      <c r="AJ79" s="79" t="s">
        <v>45</v>
      </c>
      <c r="AK79" s="79">
        <v>0</v>
      </c>
      <c r="BB79" s="148" t="s">
        <v>66</v>
      </c>
      <c r="BM79" s="75">
        <f t="shared" si="16"/>
        <v>0</v>
      </c>
      <c r="BN79" s="75">
        <f t="shared" si="17"/>
        <v>0</v>
      </c>
      <c r="BO79" s="75">
        <f t="shared" si="18"/>
        <v>0</v>
      </c>
      <c r="BP79" s="75">
        <f t="shared" si="19"/>
        <v>0</v>
      </c>
    </row>
    <row r="80" spans="1:68" ht="27" customHeight="1" x14ac:dyDescent="0.25">
      <c r="A80" s="60" t="s">
        <v>191</v>
      </c>
      <c r="B80" s="60" t="s">
        <v>192</v>
      </c>
      <c r="C80" s="34">
        <v>4301051844</v>
      </c>
      <c r="D80" s="769">
        <v>4680115885929</v>
      </c>
      <c r="E80" s="769"/>
      <c r="F80" s="59">
        <v>0.42</v>
      </c>
      <c r="G80" s="35">
        <v>6</v>
      </c>
      <c r="H80" s="59">
        <v>2.52</v>
      </c>
      <c r="I80" s="59">
        <v>2.7</v>
      </c>
      <c r="J80" s="35">
        <v>182</v>
      </c>
      <c r="K80" s="35" t="s">
        <v>83</v>
      </c>
      <c r="L80" s="35" t="s">
        <v>45</v>
      </c>
      <c r="M80" s="36" t="s">
        <v>106</v>
      </c>
      <c r="N80" s="36"/>
      <c r="O80" s="35">
        <v>45</v>
      </c>
      <c r="P80" s="1073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80" s="771"/>
      <c r="R80" s="771"/>
      <c r="S80" s="771"/>
      <c r="T80" s="772"/>
      <c r="U80" s="37" t="s">
        <v>45</v>
      </c>
      <c r="V80" s="37" t="s">
        <v>45</v>
      </c>
      <c r="W80" s="38" t="s">
        <v>0</v>
      </c>
      <c r="X80" s="56">
        <v>0</v>
      </c>
      <c r="Y80" s="53">
        <f t="shared" si="15"/>
        <v>0</v>
      </c>
      <c r="Z80" s="39" t="str">
        <f>IFERROR(IF(Y80=0,"",ROUNDUP(Y80/H80,0)*0.00651),"")</f>
        <v/>
      </c>
      <c r="AA80" s="65" t="s">
        <v>45</v>
      </c>
      <c r="AB80" s="66" t="s">
        <v>45</v>
      </c>
      <c r="AC80" s="149" t="s">
        <v>185</v>
      </c>
      <c r="AG80" s="75"/>
      <c r="AJ80" s="79" t="s">
        <v>45</v>
      </c>
      <c r="AK80" s="79">
        <v>0</v>
      </c>
      <c r="BB80" s="150" t="s">
        <v>66</v>
      </c>
      <c r="BM80" s="75">
        <f t="shared" si="16"/>
        <v>0</v>
      </c>
      <c r="BN80" s="75">
        <f t="shared" si="17"/>
        <v>0</v>
      </c>
      <c r="BO80" s="75">
        <f t="shared" si="18"/>
        <v>0</v>
      </c>
      <c r="BP80" s="75">
        <f t="shared" si="19"/>
        <v>0</v>
      </c>
    </row>
    <row r="81" spans="1:68" ht="37.5" customHeight="1" x14ac:dyDescent="0.25">
      <c r="A81" s="60" t="s">
        <v>193</v>
      </c>
      <c r="B81" s="60" t="s">
        <v>194</v>
      </c>
      <c r="C81" s="34">
        <v>4301051827</v>
      </c>
      <c r="D81" s="769">
        <v>4680115884403</v>
      </c>
      <c r="E81" s="769"/>
      <c r="F81" s="59">
        <v>0.3</v>
      </c>
      <c r="G81" s="35">
        <v>6</v>
      </c>
      <c r="H81" s="59">
        <v>1.8</v>
      </c>
      <c r="I81" s="59">
        <v>1.98</v>
      </c>
      <c r="J81" s="35">
        <v>182</v>
      </c>
      <c r="K81" s="35" t="s">
        <v>83</v>
      </c>
      <c r="L81" s="35" t="s">
        <v>45</v>
      </c>
      <c r="M81" s="36" t="s">
        <v>82</v>
      </c>
      <c r="N81" s="36"/>
      <c r="O81" s="35">
        <v>40</v>
      </c>
      <c r="P81" s="1074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1" s="771"/>
      <c r="R81" s="771"/>
      <c r="S81" s="771"/>
      <c r="T81" s="772"/>
      <c r="U81" s="37" t="s">
        <v>45</v>
      </c>
      <c r="V81" s="37" t="s">
        <v>45</v>
      </c>
      <c r="W81" s="38" t="s">
        <v>0</v>
      </c>
      <c r="X81" s="56">
        <v>0</v>
      </c>
      <c r="Y81" s="53">
        <f t="shared" si="15"/>
        <v>0</v>
      </c>
      <c r="Z81" s="39" t="str">
        <f>IFERROR(IF(Y81=0,"",ROUNDUP(Y81/H81,0)*0.00651),"")</f>
        <v/>
      </c>
      <c r="AA81" s="65" t="s">
        <v>45</v>
      </c>
      <c r="AB81" s="66" t="s">
        <v>45</v>
      </c>
      <c r="AC81" s="151" t="s">
        <v>188</v>
      </c>
      <c r="AG81" s="75"/>
      <c r="AJ81" s="79" t="s">
        <v>45</v>
      </c>
      <c r="AK81" s="79">
        <v>0</v>
      </c>
      <c r="BB81" s="152" t="s">
        <v>66</v>
      </c>
      <c r="BM81" s="75">
        <f t="shared" si="16"/>
        <v>0</v>
      </c>
      <c r="BN81" s="75">
        <f t="shared" si="17"/>
        <v>0</v>
      </c>
      <c r="BO81" s="75">
        <f t="shared" si="18"/>
        <v>0</v>
      </c>
      <c r="BP81" s="75">
        <f t="shared" si="19"/>
        <v>0</v>
      </c>
    </row>
    <row r="82" spans="1:68" x14ac:dyDescent="0.2">
      <c r="A82" s="759"/>
      <c r="B82" s="759"/>
      <c r="C82" s="759"/>
      <c r="D82" s="759"/>
      <c r="E82" s="759"/>
      <c r="F82" s="759"/>
      <c r="G82" s="759"/>
      <c r="H82" s="759"/>
      <c r="I82" s="759"/>
      <c r="J82" s="759"/>
      <c r="K82" s="759"/>
      <c r="L82" s="759"/>
      <c r="M82" s="759"/>
      <c r="N82" s="759"/>
      <c r="O82" s="767"/>
      <c r="P82" s="764" t="s">
        <v>40</v>
      </c>
      <c r="Q82" s="765"/>
      <c r="R82" s="765"/>
      <c r="S82" s="765"/>
      <c r="T82" s="765"/>
      <c r="U82" s="765"/>
      <c r="V82" s="766"/>
      <c r="W82" s="40" t="s">
        <v>39</v>
      </c>
      <c r="X82" s="41">
        <f>IFERROR(X76/H76,"0")+IFERROR(X77/H77,"0")+IFERROR(X78/H78,"0")+IFERROR(X79/H79,"0")+IFERROR(X80/H80,"0")+IFERROR(X81/H81,"0")</f>
        <v>16.666666666666664</v>
      </c>
      <c r="Y82" s="41">
        <f>IFERROR(Y76/H76,"0")+IFERROR(Y77/H77,"0")+IFERROR(Y78/H78,"0")+IFERROR(Y79/H79,"0")+IFERROR(Y80/H80,"0")+IFERROR(Y81/H81,"0")</f>
        <v>18</v>
      </c>
      <c r="Z82" s="41">
        <f>IFERROR(IF(Z76="",0,Z76),"0")+IFERROR(IF(Z77="",0,Z77),"0")+IFERROR(IF(Z78="",0,Z78),"0")+IFERROR(IF(Z79="",0,Z79),"0")+IFERROR(IF(Z80="",0,Z80),"0")+IFERROR(IF(Z81="",0,Z81),"0")</f>
        <v>0.34164</v>
      </c>
      <c r="AA82" s="64"/>
      <c r="AB82" s="64"/>
      <c r="AC82" s="64"/>
    </row>
    <row r="83" spans="1:68" x14ac:dyDescent="0.2">
      <c r="A83" s="759"/>
      <c r="B83" s="759"/>
      <c r="C83" s="759"/>
      <c r="D83" s="759"/>
      <c r="E83" s="759"/>
      <c r="F83" s="759"/>
      <c r="G83" s="759"/>
      <c r="H83" s="759"/>
      <c r="I83" s="759"/>
      <c r="J83" s="759"/>
      <c r="K83" s="759"/>
      <c r="L83" s="759"/>
      <c r="M83" s="759"/>
      <c r="N83" s="759"/>
      <c r="O83" s="767"/>
      <c r="P83" s="764" t="s">
        <v>40</v>
      </c>
      <c r="Q83" s="765"/>
      <c r="R83" s="765"/>
      <c r="S83" s="765"/>
      <c r="T83" s="765"/>
      <c r="U83" s="765"/>
      <c r="V83" s="766"/>
      <c r="W83" s="40" t="s">
        <v>0</v>
      </c>
      <c r="X83" s="41">
        <f>IFERROR(SUM(X76:X81),"0")</f>
        <v>140</v>
      </c>
      <c r="Y83" s="41">
        <f>IFERROR(SUM(Y76:Y81),"0")</f>
        <v>151.19999999999999</v>
      </c>
      <c r="Z83" s="40"/>
      <c r="AA83" s="64"/>
      <c r="AB83" s="64"/>
      <c r="AC83" s="64"/>
    </row>
    <row r="84" spans="1:68" ht="14.25" customHeight="1" x14ac:dyDescent="0.25">
      <c r="A84" s="768" t="s">
        <v>195</v>
      </c>
      <c r="B84" s="768"/>
      <c r="C84" s="768"/>
      <c r="D84" s="768"/>
      <c r="E84" s="768"/>
      <c r="F84" s="768"/>
      <c r="G84" s="768"/>
      <c r="H84" s="768"/>
      <c r="I84" s="768"/>
      <c r="J84" s="768"/>
      <c r="K84" s="768"/>
      <c r="L84" s="768"/>
      <c r="M84" s="768"/>
      <c r="N84" s="768"/>
      <c r="O84" s="768"/>
      <c r="P84" s="768"/>
      <c r="Q84" s="768"/>
      <c r="R84" s="768"/>
      <c r="S84" s="768"/>
      <c r="T84" s="768"/>
      <c r="U84" s="768"/>
      <c r="V84" s="768"/>
      <c r="W84" s="768"/>
      <c r="X84" s="768"/>
      <c r="Y84" s="768"/>
      <c r="Z84" s="768"/>
      <c r="AA84" s="63"/>
      <c r="AB84" s="63"/>
      <c r="AC84" s="63"/>
    </row>
    <row r="85" spans="1:68" ht="37.5" customHeight="1" x14ac:dyDescent="0.25">
      <c r="A85" s="60" t="s">
        <v>196</v>
      </c>
      <c r="B85" s="60" t="s">
        <v>197</v>
      </c>
      <c r="C85" s="34">
        <v>4301060366</v>
      </c>
      <c r="D85" s="769">
        <v>4680115881532</v>
      </c>
      <c r="E85" s="769"/>
      <c r="F85" s="59">
        <v>1.3</v>
      </c>
      <c r="G85" s="35">
        <v>6</v>
      </c>
      <c r="H85" s="59">
        <v>7.8</v>
      </c>
      <c r="I85" s="59">
        <v>8.2349999999999994</v>
      </c>
      <c r="J85" s="35">
        <v>64</v>
      </c>
      <c r="K85" s="35" t="s">
        <v>107</v>
      </c>
      <c r="L85" s="35" t="s">
        <v>45</v>
      </c>
      <c r="M85" s="36" t="s">
        <v>82</v>
      </c>
      <c r="N85" s="36"/>
      <c r="O85" s="35">
        <v>30</v>
      </c>
      <c r="P85" s="1075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5" s="771"/>
      <c r="R85" s="771"/>
      <c r="S85" s="771"/>
      <c r="T85" s="772"/>
      <c r="U85" s="37" t="s">
        <v>45</v>
      </c>
      <c r="V85" s="37" t="s">
        <v>45</v>
      </c>
      <c r="W85" s="38" t="s">
        <v>0</v>
      </c>
      <c r="X85" s="56">
        <v>20</v>
      </c>
      <c r="Y85" s="53">
        <f>IFERROR(IF(X85="",0,CEILING((X85/$H85),1)*$H85),"")</f>
        <v>23.4</v>
      </c>
      <c r="Z85" s="39">
        <f>IFERROR(IF(Y85=0,"",ROUNDUP(Y85/H85,0)*0.01898),"")</f>
        <v>5.6940000000000004E-2</v>
      </c>
      <c r="AA85" s="65" t="s">
        <v>45</v>
      </c>
      <c r="AB85" s="66" t="s">
        <v>45</v>
      </c>
      <c r="AC85" s="153" t="s">
        <v>198</v>
      </c>
      <c r="AG85" s="75"/>
      <c r="AJ85" s="79" t="s">
        <v>45</v>
      </c>
      <c r="AK85" s="79">
        <v>0</v>
      </c>
      <c r="BB85" s="154" t="s">
        <v>66</v>
      </c>
      <c r="BM85" s="75">
        <f>IFERROR(X85*I85/H85,"0")</f>
        <v>21.115384615384613</v>
      </c>
      <c r="BN85" s="75">
        <f>IFERROR(Y85*I85/H85,"0")</f>
        <v>24.704999999999998</v>
      </c>
      <c r="BO85" s="75">
        <f>IFERROR(1/J85*(X85/H85),"0")</f>
        <v>4.0064102564102567E-2</v>
      </c>
      <c r="BP85" s="75">
        <f>IFERROR(1/J85*(Y85/H85),"0")</f>
        <v>4.6875E-2</v>
      </c>
    </row>
    <row r="86" spans="1:68" ht="37.5" customHeight="1" x14ac:dyDescent="0.25">
      <c r="A86" s="60" t="s">
        <v>196</v>
      </c>
      <c r="B86" s="60" t="s">
        <v>199</v>
      </c>
      <c r="C86" s="34">
        <v>4301060371</v>
      </c>
      <c r="D86" s="769">
        <v>4680115881532</v>
      </c>
      <c r="E86" s="769"/>
      <c r="F86" s="59">
        <v>1.4</v>
      </c>
      <c r="G86" s="35">
        <v>6</v>
      </c>
      <c r="H86" s="59">
        <v>8.4</v>
      </c>
      <c r="I86" s="59">
        <v>8.9190000000000005</v>
      </c>
      <c r="J86" s="35">
        <v>64</v>
      </c>
      <c r="K86" s="35" t="s">
        <v>107</v>
      </c>
      <c r="L86" s="35" t="s">
        <v>45</v>
      </c>
      <c r="M86" s="36" t="s">
        <v>82</v>
      </c>
      <c r="N86" s="36"/>
      <c r="O86" s="35">
        <v>30</v>
      </c>
      <c r="P86" s="1076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6" s="771"/>
      <c r="R86" s="771"/>
      <c r="S86" s="771"/>
      <c r="T86" s="772"/>
      <c r="U86" s="37" t="s">
        <v>45</v>
      </c>
      <c r="V86" s="37" t="s">
        <v>102</v>
      </c>
      <c r="W86" s="38" t="s">
        <v>0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 t="s">
        <v>45</v>
      </c>
      <c r="AB86" s="66" t="s">
        <v>45</v>
      </c>
      <c r="AC86" s="155" t="s">
        <v>198</v>
      </c>
      <c r="AG86" s="75"/>
      <c r="AJ86" s="79" t="s">
        <v>45</v>
      </c>
      <c r="AK86" s="79">
        <v>0</v>
      </c>
      <c r="BB86" s="156" t="s">
        <v>66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27" customHeight="1" x14ac:dyDescent="0.25">
      <c r="A87" s="60" t="s">
        <v>200</v>
      </c>
      <c r="B87" s="60" t="s">
        <v>201</v>
      </c>
      <c r="C87" s="34">
        <v>4301060351</v>
      </c>
      <c r="D87" s="769">
        <v>4680115881464</v>
      </c>
      <c r="E87" s="769"/>
      <c r="F87" s="59">
        <v>0.4</v>
      </c>
      <c r="G87" s="35">
        <v>6</v>
      </c>
      <c r="H87" s="59">
        <v>2.4</v>
      </c>
      <c r="I87" s="59">
        <v>2.61</v>
      </c>
      <c r="J87" s="35">
        <v>132</v>
      </c>
      <c r="K87" s="35" t="s">
        <v>116</v>
      </c>
      <c r="L87" s="35" t="s">
        <v>45</v>
      </c>
      <c r="M87" s="36" t="s">
        <v>106</v>
      </c>
      <c r="N87" s="36"/>
      <c r="O87" s="35">
        <v>30</v>
      </c>
      <c r="P87" s="1077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7" s="771"/>
      <c r="R87" s="771"/>
      <c r="S87" s="771"/>
      <c r="T87" s="772"/>
      <c r="U87" s="37" t="s">
        <v>45</v>
      </c>
      <c r="V87" s="37" t="s">
        <v>45</v>
      </c>
      <c r="W87" s="38" t="s">
        <v>0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 t="s">
        <v>45</v>
      </c>
      <c r="AB87" s="66" t="s">
        <v>45</v>
      </c>
      <c r="AC87" s="157" t="s">
        <v>202</v>
      </c>
      <c r="AG87" s="75"/>
      <c r="AJ87" s="79" t="s">
        <v>45</v>
      </c>
      <c r="AK87" s="79">
        <v>0</v>
      </c>
      <c r="BB87" s="158" t="s">
        <v>66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x14ac:dyDescent="0.2">
      <c r="A88" s="759"/>
      <c r="B88" s="759"/>
      <c r="C88" s="759"/>
      <c r="D88" s="759"/>
      <c r="E88" s="759"/>
      <c r="F88" s="759"/>
      <c r="G88" s="759"/>
      <c r="H88" s="759"/>
      <c r="I88" s="759"/>
      <c r="J88" s="759"/>
      <c r="K88" s="759"/>
      <c r="L88" s="759"/>
      <c r="M88" s="759"/>
      <c r="N88" s="759"/>
      <c r="O88" s="767"/>
      <c r="P88" s="764" t="s">
        <v>40</v>
      </c>
      <c r="Q88" s="765"/>
      <c r="R88" s="765"/>
      <c r="S88" s="765"/>
      <c r="T88" s="765"/>
      <c r="U88" s="765"/>
      <c r="V88" s="766"/>
      <c r="W88" s="40" t="s">
        <v>39</v>
      </c>
      <c r="X88" s="41">
        <f>IFERROR(X85/H85,"0")+IFERROR(X86/H86,"0")+IFERROR(X87/H87,"0")</f>
        <v>2.5641025641025643</v>
      </c>
      <c r="Y88" s="41">
        <f>IFERROR(Y85/H85,"0")+IFERROR(Y86/H86,"0")+IFERROR(Y87/H87,"0")</f>
        <v>3</v>
      </c>
      <c r="Z88" s="41">
        <f>IFERROR(IF(Z85="",0,Z85),"0")+IFERROR(IF(Z86="",0,Z86),"0")+IFERROR(IF(Z87="",0,Z87),"0")</f>
        <v>5.6940000000000004E-2</v>
      </c>
      <c r="AA88" s="64"/>
      <c r="AB88" s="64"/>
      <c r="AC88" s="64"/>
    </row>
    <row r="89" spans="1:68" x14ac:dyDescent="0.2">
      <c r="A89" s="759"/>
      <c r="B89" s="759"/>
      <c r="C89" s="759"/>
      <c r="D89" s="759"/>
      <c r="E89" s="759"/>
      <c r="F89" s="759"/>
      <c r="G89" s="759"/>
      <c r="H89" s="759"/>
      <c r="I89" s="759"/>
      <c r="J89" s="759"/>
      <c r="K89" s="759"/>
      <c r="L89" s="759"/>
      <c r="M89" s="759"/>
      <c r="N89" s="759"/>
      <c r="O89" s="767"/>
      <c r="P89" s="764" t="s">
        <v>40</v>
      </c>
      <c r="Q89" s="765"/>
      <c r="R89" s="765"/>
      <c r="S89" s="765"/>
      <c r="T89" s="765"/>
      <c r="U89" s="765"/>
      <c r="V89" s="766"/>
      <c r="W89" s="40" t="s">
        <v>0</v>
      </c>
      <c r="X89" s="41">
        <f>IFERROR(SUM(X85:X87),"0")</f>
        <v>20</v>
      </c>
      <c r="Y89" s="41">
        <f>IFERROR(SUM(Y85:Y87),"0")</f>
        <v>23.4</v>
      </c>
      <c r="Z89" s="40"/>
      <c r="AA89" s="64"/>
      <c r="AB89" s="64"/>
      <c r="AC89" s="64"/>
    </row>
    <row r="90" spans="1:68" ht="16.5" customHeight="1" x14ac:dyDescent="0.25">
      <c r="A90" s="776" t="s">
        <v>203</v>
      </c>
      <c r="B90" s="776"/>
      <c r="C90" s="776"/>
      <c r="D90" s="776"/>
      <c r="E90" s="776"/>
      <c r="F90" s="776"/>
      <c r="G90" s="776"/>
      <c r="H90" s="776"/>
      <c r="I90" s="776"/>
      <c r="J90" s="776"/>
      <c r="K90" s="776"/>
      <c r="L90" s="776"/>
      <c r="M90" s="776"/>
      <c r="N90" s="776"/>
      <c r="O90" s="776"/>
      <c r="P90" s="776"/>
      <c r="Q90" s="776"/>
      <c r="R90" s="776"/>
      <c r="S90" s="776"/>
      <c r="T90" s="776"/>
      <c r="U90" s="776"/>
      <c r="V90" s="776"/>
      <c r="W90" s="776"/>
      <c r="X90" s="776"/>
      <c r="Y90" s="776"/>
      <c r="Z90" s="776"/>
      <c r="AA90" s="62"/>
      <c r="AB90" s="62"/>
      <c r="AC90" s="62"/>
    </row>
    <row r="91" spans="1:68" ht="14.25" customHeight="1" x14ac:dyDescent="0.25">
      <c r="A91" s="768" t="s">
        <v>101</v>
      </c>
      <c r="B91" s="768"/>
      <c r="C91" s="768"/>
      <c r="D91" s="768"/>
      <c r="E91" s="768"/>
      <c r="F91" s="768"/>
      <c r="G91" s="768"/>
      <c r="H91" s="768"/>
      <c r="I91" s="768"/>
      <c r="J91" s="768"/>
      <c r="K91" s="768"/>
      <c r="L91" s="768"/>
      <c r="M91" s="768"/>
      <c r="N91" s="768"/>
      <c r="O91" s="768"/>
      <c r="P91" s="768"/>
      <c r="Q91" s="768"/>
      <c r="R91" s="768"/>
      <c r="S91" s="768"/>
      <c r="T91" s="768"/>
      <c r="U91" s="768"/>
      <c r="V91" s="768"/>
      <c r="W91" s="768"/>
      <c r="X91" s="768"/>
      <c r="Y91" s="768"/>
      <c r="Z91" s="768"/>
      <c r="AA91" s="63"/>
      <c r="AB91" s="63"/>
      <c r="AC91" s="63"/>
    </row>
    <row r="92" spans="1:68" ht="27" customHeight="1" x14ac:dyDescent="0.25">
      <c r="A92" s="60" t="s">
        <v>204</v>
      </c>
      <c r="B92" s="60" t="s">
        <v>205</v>
      </c>
      <c r="C92" s="34">
        <v>4301011468</v>
      </c>
      <c r="D92" s="769">
        <v>4680115881327</v>
      </c>
      <c r="E92" s="769"/>
      <c r="F92" s="59">
        <v>1.35</v>
      </c>
      <c r="G92" s="35">
        <v>8</v>
      </c>
      <c r="H92" s="59">
        <v>10.8</v>
      </c>
      <c r="I92" s="59">
        <v>11.234999999999999</v>
      </c>
      <c r="J92" s="35">
        <v>64</v>
      </c>
      <c r="K92" s="35" t="s">
        <v>107</v>
      </c>
      <c r="L92" s="35" t="s">
        <v>45</v>
      </c>
      <c r="M92" s="36" t="s">
        <v>150</v>
      </c>
      <c r="N92" s="36"/>
      <c r="O92" s="35">
        <v>50</v>
      </c>
      <c r="P92" s="10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2" s="771"/>
      <c r="R92" s="771"/>
      <c r="S92" s="771"/>
      <c r="T92" s="772"/>
      <c r="U92" s="37" t="s">
        <v>45</v>
      </c>
      <c r="V92" s="37" t="s">
        <v>45</v>
      </c>
      <c r="W92" s="38" t="s">
        <v>0</v>
      </c>
      <c r="X92" s="56">
        <v>60</v>
      </c>
      <c r="Y92" s="53">
        <f>IFERROR(IF(X92="",0,CEILING((X92/$H92),1)*$H92),"")</f>
        <v>64.800000000000011</v>
      </c>
      <c r="Z92" s="39">
        <f>IFERROR(IF(Y92=0,"",ROUNDUP(Y92/H92,0)*0.01898),"")</f>
        <v>0.11388000000000001</v>
      </c>
      <c r="AA92" s="65" t="s">
        <v>45</v>
      </c>
      <c r="AB92" s="66" t="s">
        <v>45</v>
      </c>
      <c r="AC92" s="159" t="s">
        <v>206</v>
      </c>
      <c r="AG92" s="75"/>
      <c r="AJ92" s="79" t="s">
        <v>45</v>
      </c>
      <c r="AK92" s="79">
        <v>0</v>
      </c>
      <c r="BB92" s="160" t="s">
        <v>66</v>
      </c>
      <c r="BM92" s="75">
        <f>IFERROR(X92*I92/H92,"0")</f>
        <v>62.416666666666657</v>
      </c>
      <c r="BN92" s="75">
        <f>IFERROR(Y92*I92/H92,"0")</f>
        <v>67.410000000000011</v>
      </c>
      <c r="BO92" s="75">
        <f>IFERROR(1/J92*(X92/H92),"0")</f>
        <v>8.6805555555555552E-2</v>
      </c>
      <c r="BP92" s="75">
        <f>IFERROR(1/J92*(Y92/H92),"0")</f>
        <v>9.3750000000000014E-2</v>
      </c>
    </row>
    <row r="93" spans="1:68" ht="16.5" customHeight="1" x14ac:dyDescent="0.25">
      <c r="A93" s="60" t="s">
        <v>207</v>
      </c>
      <c r="B93" s="60" t="s">
        <v>208</v>
      </c>
      <c r="C93" s="34">
        <v>4301011476</v>
      </c>
      <c r="D93" s="769">
        <v>4680115881518</v>
      </c>
      <c r="E93" s="769"/>
      <c r="F93" s="59">
        <v>0.4</v>
      </c>
      <c r="G93" s="35">
        <v>10</v>
      </c>
      <c r="H93" s="59">
        <v>4</v>
      </c>
      <c r="I93" s="59">
        <v>4.21</v>
      </c>
      <c r="J93" s="35">
        <v>132</v>
      </c>
      <c r="K93" s="35" t="s">
        <v>116</v>
      </c>
      <c r="L93" s="35" t="s">
        <v>45</v>
      </c>
      <c r="M93" s="36" t="s">
        <v>106</v>
      </c>
      <c r="N93" s="36"/>
      <c r="O93" s="35">
        <v>50</v>
      </c>
      <c r="P93" s="106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3" s="771"/>
      <c r="R93" s="771"/>
      <c r="S93" s="771"/>
      <c r="T93" s="772"/>
      <c r="U93" s="37" t="s">
        <v>45</v>
      </c>
      <c r="V93" s="37" t="s">
        <v>45</v>
      </c>
      <c r="W93" s="38" t="s">
        <v>0</v>
      </c>
      <c r="X93" s="56">
        <v>0</v>
      </c>
      <c r="Y93" s="53">
        <f>IFERROR(IF(X93="",0,CEILING((X93/$H93),1)*$H93),"")</f>
        <v>0</v>
      </c>
      <c r="Z93" s="39" t="str">
        <f>IFERROR(IF(Y93=0,"",ROUNDUP(Y93/H93,0)*0.00902),"")</f>
        <v/>
      </c>
      <c r="AA93" s="65" t="s">
        <v>45</v>
      </c>
      <c r="AB93" s="66" t="s">
        <v>45</v>
      </c>
      <c r="AC93" s="161" t="s">
        <v>206</v>
      </c>
      <c r="AG93" s="75"/>
      <c r="AJ93" s="79" t="s">
        <v>45</v>
      </c>
      <c r="AK93" s="79">
        <v>0</v>
      </c>
      <c r="BB93" s="162" t="s">
        <v>66</v>
      </c>
      <c r="BM93" s="75">
        <f>IFERROR(X93*I93/H93,"0")</f>
        <v>0</v>
      </c>
      <c r="BN93" s="75">
        <f>IFERROR(Y93*I93/H93,"0")</f>
        <v>0</v>
      </c>
      <c r="BO93" s="75">
        <f>IFERROR(1/J93*(X93/H93),"0")</f>
        <v>0</v>
      </c>
      <c r="BP93" s="75">
        <f>IFERROR(1/J93*(Y93/H93),"0")</f>
        <v>0</v>
      </c>
    </row>
    <row r="94" spans="1:68" ht="27" customHeight="1" x14ac:dyDescent="0.25">
      <c r="A94" s="60" t="s">
        <v>209</v>
      </c>
      <c r="B94" s="60" t="s">
        <v>210</v>
      </c>
      <c r="C94" s="34">
        <v>4301011443</v>
      </c>
      <c r="D94" s="769">
        <v>4680115881303</v>
      </c>
      <c r="E94" s="769"/>
      <c r="F94" s="59">
        <v>0.45</v>
      </c>
      <c r="G94" s="35">
        <v>10</v>
      </c>
      <c r="H94" s="59">
        <v>4.5</v>
      </c>
      <c r="I94" s="59">
        <v>4.71</v>
      </c>
      <c r="J94" s="35">
        <v>132</v>
      </c>
      <c r="K94" s="35" t="s">
        <v>116</v>
      </c>
      <c r="L94" s="35" t="s">
        <v>119</v>
      </c>
      <c r="M94" s="36" t="s">
        <v>150</v>
      </c>
      <c r="N94" s="36"/>
      <c r="O94" s="35">
        <v>50</v>
      </c>
      <c r="P94" s="106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4" s="771"/>
      <c r="R94" s="771"/>
      <c r="S94" s="771"/>
      <c r="T94" s="772"/>
      <c r="U94" s="37" t="s">
        <v>45</v>
      </c>
      <c r="V94" s="37" t="s">
        <v>45</v>
      </c>
      <c r="W94" s="38" t="s">
        <v>0</v>
      </c>
      <c r="X94" s="56">
        <v>0</v>
      </c>
      <c r="Y94" s="53">
        <f>IFERROR(IF(X94="",0,CEILING((X94/$H94),1)*$H94),"")</f>
        <v>0</v>
      </c>
      <c r="Z94" s="39" t="str">
        <f>IFERROR(IF(Y94=0,"",ROUNDUP(Y94/H94,0)*0.00902),"")</f>
        <v/>
      </c>
      <c r="AA94" s="65" t="s">
        <v>45</v>
      </c>
      <c r="AB94" s="66" t="s">
        <v>45</v>
      </c>
      <c r="AC94" s="163" t="s">
        <v>211</v>
      </c>
      <c r="AG94" s="75"/>
      <c r="AJ94" s="79" t="s">
        <v>120</v>
      </c>
      <c r="AK94" s="79">
        <v>54</v>
      </c>
      <c r="BB94" s="164" t="s">
        <v>66</v>
      </c>
      <c r="BM94" s="75">
        <f>IFERROR(X94*I94/H94,"0")</f>
        <v>0</v>
      </c>
      <c r="BN94" s="75">
        <f>IFERROR(Y94*I94/H94,"0")</f>
        <v>0</v>
      </c>
      <c r="BO94" s="75">
        <f>IFERROR(1/J94*(X94/H94),"0")</f>
        <v>0</v>
      </c>
      <c r="BP94" s="75">
        <f>IFERROR(1/J94*(Y94/H94),"0")</f>
        <v>0</v>
      </c>
    </row>
    <row r="95" spans="1:68" x14ac:dyDescent="0.2">
      <c r="A95" s="759"/>
      <c r="B95" s="759"/>
      <c r="C95" s="759"/>
      <c r="D95" s="759"/>
      <c r="E95" s="759"/>
      <c r="F95" s="759"/>
      <c r="G95" s="759"/>
      <c r="H95" s="759"/>
      <c r="I95" s="759"/>
      <c r="J95" s="759"/>
      <c r="K95" s="759"/>
      <c r="L95" s="759"/>
      <c r="M95" s="759"/>
      <c r="N95" s="759"/>
      <c r="O95" s="767"/>
      <c r="P95" s="764" t="s">
        <v>40</v>
      </c>
      <c r="Q95" s="765"/>
      <c r="R95" s="765"/>
      <c r="S95" s="765"/>
      <c r="T95" s="765"/>
      <c r="U95" s="765"/>
      <c r="V95" s="766"/>
      <c r="W95" s="40" t="s">
        <v>39</v>
      </c>
      <c r="X95" s="41">
        <f>IFERROR(X92/H92,"0")+IFERROR(X93/H93,"0")+IFERROR(X94/H94,"0")</f>
        <v>5.5555555555555554</v>
      </c>
      <c r="Y95" s="41">
        <f>IFERROR(Y92/H92,"0")+IFERROR(Y93/H93,"0")+IFERROR(Y94/H94,"0")</f>
        <v>6.0000000000000009</v>
      </c>
      <c r="Z95" s="41">
        <f>IFERROR(IF(Z92="",0,Z92),"0")+IFERROR(IF(Z93="",0,Z93),"0")+IFERROR(IF(Z94="",0,Z94),"0")</f>
        <v>0.11388000000000001</v>
      </c>
      <c r="AA95" s="64"/>
      <c r="AB95" s="64"/>
      <c r="AC95" s="64"/>
    </row>
    <row r="96" spans="1:68" x14ac:dyDescent="0.2">
      <c r="A96" s="759"/>
      <c r="B96" s="759"/>
      <c r="C96" s="759"/>
      <c r="D96" s="759"/>
      <c r="E96" s="759"/>
      <c r="F96" s="759"/>
      <c r="G96" s="759"/>
      <c r="H96" s="759"/>
      <c r="I96" s="759"/>
      <c r="J96" s="759"/>
      <c r="K96" s="759"/>
      <c r="L96" s="759"/>
      <c r="M96" s="759"/>
      <c r="N96" s="759"/>
      <c r="O96" s="767"/>
      <c r="P96" s="764" t="s">
        <v>40</v>
      </c>
      <c r="Q96" s="765"/>
      <c r="R96" s="765"/>
      <c r="S96" s="765"/>
      <c r="T96" s="765"/>
      <c r="U96" s="765"/>
      <c r="V96" s="766"/>
      <c r="W96" s="40" t="s">
        <v>0</v>
      </c>
      <c r="X96" s="41">
        <f>IFERROR(SUM(X92:X94),"0")</f>
        <v>60</v>
      </c>
      <c r="Y96" s="41">
        <f>IFERROR(SUM(Y92:Y94),"0")</f>
        <v>64.800000000000011</v>
      </c>
      <c r="Z96" s="40"/>
      <c r="AA96" s="64"/>
      <c r="AB96" s="64"/>
      <c r="AC96" s="64"/>
    </row>
    <row r="97" spans="1:68" ht="14.25" customHeight="1" x14ac:dyDescent="0.25">
      <c r="A97" s="768" t="s">
        <v>78</v>
      </c>
      <c r="B97" s="768"/>
      <c r="C97" s="768"/>
      <c r="D97" s="768"/>
      <c r="E97" s="768"/>
      <c r="F97" s="768"/>
      <c r="G97" s="768"/>
      <c r="H97" s="768"/>
      <c r="I97" s="768"/>
      <c r="J97" s="768"/>
      <c r="K97" s="768"/>
      <c r="L97" s="768"/>
      <c r="M97" s="768"/>
      <c r="N97" s="768"/>
      <c r="O97" s="768"/>
      <c r="P97" s="768"/>
      <c r="Q97" s="768"/>
      <c r="R97" s="768"/>
      <c r="S97" s="768"/>
      <c r="T97" s="768"/>
      <c r="U97" s="768"/>
      <c r="V97" s="768"/>
      <c r="W97" s="768"/>
      <c r="X97" s="768"/>
      <c r="Y97" s="768"/>
      <c r="Z97" s="768"/>
      <c r="AA97" s="63"/>
      <c r="AB97" s="63"/>
      <c r="AC97" s="63"/>
    </row>
    <row r="98" spans="1:68" ht="27" customHeight="1" x14ac:dyDescent="0.25">
      <c r="A98" s="60" t="s">
        <v>212</v>
      </c>
      <c r="B98" s="60" t="s">
        <v>213</v>
      </c>
      <c r="C98" s="34">
        <v>4301051546</v>
      </c>
      <c r="D98" s="769">
        <v>4607091386967</v>
      </c>
      <c r="E98" s="769"/>
      <c r="F98" s="59">
        <v>1.4</v>
      </c>
      <c r="G98" s="35">
        <v>6</v>
      </c>
      <c r="H98" s="59">
        <v>8.4</v>
      </c>
      <c r="I98" s="59">
        <v>8.9190000000000005</v>
      </c>
      <c r="J98" s="35">
        <v>64</v>
      </c>
      <c r="K98" s="35" t="s">
        <v>107</v>
      </c>
      <c r="L98" s="35" t="s">
        <v>45</v>
      </c>
      <c r="M98" s="36" t="s">
        <v>106</v>
      </c>
      <c r="N98" s="36"/>
      <c r="O98" s="35">
        <v>45</v>
      </c>
      <c r="P98" s="1069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8" s="771"/>
      <c r="R98" s="771"/>
      <c r="S98" s="771"/>
      <c r="T98" s="772"/>
      <c r="U98" s="37" t="s">
        <v>45</v>
      </c>
      <c r="V98" s="37" t="s">
        <v>102</v>
      </c>
      <c r="W98" s="38" t="s">
        <v>0</v>
      </c>
      <c r="X98" s="56">
        <v>0</v>
      </c>
      <c r="Y98" s="53">
        <f t="shared" ref="Y98:Y103" si="20">IFERROR(IF(X98="",0,CEILING((X98/$H98),1)*$H98),"")</f>
        <v>0</v>
      </c>
      <c r="Z98" s="39" t="str">
        <f>IFERROR(IF(Y98=0,"",ROUNDUP(Y98/H98,0)*0.01898),"")</f>
        <v/>
      </c>
      <c r="AA98" s="65" t="s">
        <v>45</v>
      </c>
      <c r="AB98" s="66" t="s">
        <v>45</v>
      </c>
      <c r="AC98" s="165" t="s">
        <v>214</v>
      </c>
      <c r="AG98" s="75"/>
      <c r="AJ98" s="79" t="s">
        <v>45</v>
      </c>
      <c r="AK98" s="79">
        <v>0</v>
      </c>
      <c r="BB98" s="166" t="s">
        <v>66</v>
      </c>
      <c r="BM98" s="75">
        <f t="shared" ref="BM98:BM103" si="21">IFERROR(X98*I98/H98,"0")</f>
        <v>0</v>
      </c>
      <c r="BN98" s="75">
        <f t="shared" ref="BN98:BN103" si="22">IFERROR(Y98*I98/H98,"0")</f>
        <v>0</v>
      </c>
      <c r="BO98" s="75">
        <f t="shared" ref="BO98:BO103" si="23">IFERROR(1/J98*(X98/H98),"0")</f>
        <v>0</v>
      </c>
      <c r="BP98" s="75">
        <f t="shared" ref="BP98:BP103" si="24">IFERROR(1/J98*(Y98/H98),"0")</f>
        <v>0</v>
      </c>
    </row>
    <row r="99" spans="1:68" ht="27" customHeight="1" x14ac:dyDescent="0.25">
      <c r="A99" s="60" t="s">
        <v>212</v>
      </c>
      <c r="B99" s="60" t="s">
        <v>215</v>
      </c>
      <c r="C99" s="34">
        <v>4301051437</v>
      </c>
      <c r="D99" s="769">
        <v>4607091386967</v>
      </c>
      <c r="E99" s="769"/>
      <c r="F99" s="59">
        <v>1.35</v>
      </c>
      <c r="G99" s="35">
        <v>6</v>
      </c>
      <c r="H99" s="59">
        <v>8.1</v>
      </c>
      <c r="I99" s="59">
        <v>8.6189999999999998</v>
      </c>
      <c r="J99" s="35">
        <v>64</v>
      </c>
      <c r="K99" s="35" t="s">
        <v>107</v>
      </c>
      <c r="L99" s="35" t="s">
        <v>45</v>
      </c>
      <c r="M99" s="36" t="s">
        <v>106</v>
      </c>
      <c r="N99" s="36"/>
      <c r="O99" s="35">
        <v>45</v>
      </c>
      <c r="P99" s="1070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9" s="771"/>
      <c r="R99" s="771"/>
      <c r="S99" s="771"/>
      <c r="T99" s="772"/>
      <c r="U99" s="37" t="s">
        <v>45</v>
      </c>
      <c r="V99" s="37" t="s">
        <v>45</v>
      </c>
      <c r="W99" s="38" t="s">
        <v>0</v>
      </c>
      <c r="X99" s="56">
        <v>0</v>
      </c>
      <c r="Y99" s="53">
        <f t="shared" si="20"/>
        <v>0</v>
      </c>
      <c r="Z99" s="39" t="str">
        <f>IFERROR(IF(Y99=0,"",ROUNDUP(Y99/H99,0)*0.01898),"")</f>
        <v/>
      </c>
      <c r="AA99" s="65" t="s">
        <v>45</v>
      </c>
      <c r="AB99" s="66" t="s">
        <v>45</v>
      </c>
      <c r="AC99" s="167" t="s">
        <v>214</v>
      </c>
      <c r="AG99" s="75"/>
      <c r="AJ99" s="79" t="s">
        <v>45</v>
      </c>
      <c r="AK99" s="79">
        <v>0</v>
      </c>
      <c r="BB99" s="168" t="s">
        <v>66</v>
      </c>
      <c r="BM99" s="75">
        <f t="shared" si="21"/>
        <v>0</v>
      </c>
      <c r="BN99" s="75">
        <f t="shared" si="22"/>
        <v>0</v>
      </c>
      <c r="BO99" s="75">
        <f t="shared" si="23"/>
        <v>0</v>
      </c>
      <c r="BP99" s="75">
        <f t="shared" si="24"/>
        <v>0</v>
      </c>
    </row>
    <row r="100" spans="1:68" ht="27" customHeight="1" x14ac:dyDescent="0.25">
      <c r="A100" s="60" t="s">
        <v>216</v>
      </c>
      <c r="B100" s="60" t="s">
        <v>217</v>
      </c>
      <c r="C100" s="34">
        <v>4301051436</v>
      </c>
      <c r="D100" s="769">
        <v>4607091385731</v>
      </c>
      <c r="E100" s="769"/>
      <c r="F100" s="59">
        <v>0.45</v>
      </c>
      <c r="G100" s="35">
        <v>6</v>
      </c>
      <c r="H100" s="59">
        <v>2.7</v>
      </c>
      <c r="I100" s="59">
        <v>2.952</v>
      </c>
      <c r="J100" s="35">
        <v>182</v>
      </c>
      <c r="K100" s="35" t="s">
        <v>83</v>
      </c>
      <c r="L100" s="35" t="s">
        <v>137</v>
      </c>
      <c r="M100" s="36" t="s">
        <v>106</v>
      </c>
      <c r="N100" s="36"/>
      <c r="O100" s="35">
        <v>45</v>
      </c>
      <c r="P100" s="1071" t="str">
        <f>HYPERLINK("https://abi.ru/products/Охлажденные/Вязанка/Молокуша/Сосиски/P003327/","Сосиски «Вязанка Молочные» Фикс.вес 0,45 П/а мгс ТМ «Вязанка»")</f>
        <v>Сосиски «Вязанка Молочные» Фикс.вес 0,45 П/а мгс ТМ «Вязанка»</v>
      </c>
      <c r="Q100" s="771"/>
      <c r="R100" s="771"/>
      <c r="S100" s="771"/>
      <c r="T100" s="772"/>
      <c r="U100" s="37" t="s">
        <v>45</v>
      </c>
      <c r="V100" s="37" t="s">
        <v>45</v>
      </c>
      <c r="W100" s="38" t="s">
        <v>0</v>
      </c>
      <c r="X100" s="56">
        <v>0</v>
      </c>
      <c r="Y100" s="53">
        <f t="shared" si="20"/>
        <v>0</v>
      </c>
      <c r="Z100" s="39" t="str">
        <f>IFERROR(IF(Y100=0,"",ROUNDUP(Y100/H100,0)*0.00651),"")</f>
        <v/>
      </c>
      <c r="AA100" s="65" t="s">
        <v>45</v>
      </c>
      <c r="AB100" s="66" t="s">
        <v>45</v>
      </c>
      <c r="AC100" s="169" t="s">
        <v>214</v>
      </c>
      <c r="AG100" s="75"/>
      <c r="AJ100" s="79" t="s">
        <v>138</v>
      </c>
      <c r="AK100" s="79">
        <v>491.4</v>
      </c>
      <c r="BB100" s="170" t="s">
        <v>66</v>
      </c>
      <c r="BM100" s="75">
        <f t="shared" si="21"/>
        <v>0</v>
      </c>
      <c r="BN100" s="75">
        <f t="shared" si="22"/>
        <v>0</v>
      </c>
      <c r="BO100" s="75">
        <f t="shared" si="23"/>
        <v>0</v>
      </c>
      <c r="BP100" s="75">
        <f t="shared" si="24"/>
        <v>0</v>
      </c>
    </row>
    <row r="101" spans="1:68" ht="16.5" customHeight="1" x14ac:dyDescent="0.25">
      <c r="A101" s="60" t="s">
        <v>218</v>
      </c>
      <c r="B101" s="60" t="s">
        <v>219</v>
      </c>
      <c r="C101" s="34">
        <v>4301051438</v>
      </c>
      <c r="D101" s="769">
        <v>4680115880894</v>
      </c>
      <c r="E101" s="769"/>
      <c r="F101" s="59">
        <v>0.33</v>
      </c>
      <c r="G101" s="35">
        <v>6</v>
      </c>
      <c r="H101" s="59">
        <v>1.98</v>
      </c>
      <c r="I101" s="59">
        <v>2.238</v>
      </c>
      <c r="J101" s="35">
        <v>182</v>
      </c>
      <c r="K101" s="35" t="s">
        <v>83</v>
      </c>
      <c r="L101" s="35" t="s">
        <v>45</v>
      </c>
      <c r="M101" s="36" t="s">
        <v>106</v>
      </c>
      <c r="N101" s="36"/>
      <c r="O101" s="35">
        <v>45</v>
      </c>
      <c r="P101" s="106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771"/>
      <c r="R101" s="771"/>
      <c r="S101" s="771"/>
      <c r="T101" s="772"/>
      <c r="U101" s="37" t="s">
        <v>45</v>
      </c>
      <c r="V101" s="37" t="s">
        <v>45</v>
      </c>
      <c r="W101" s="38" t="s">
        <v>0</v>
      </c>
      <c r="X101" s="56">
        <v>0</v>
      </c>
      <c r="Y101" s="53">
        <f t="shared" si="20"/>
        <v>0</v>
      </c>
      <c r="Z101" s="39" t="str">
        <f>IFERROR(IF(Y101=0,"",ROUNDUP(Y101/H101,0)*0.00651),"")</f>
        <v/>
      </c>
      <c r="AA101" s="65" t="s">
        <v>45</v>
      </c>
      <c r="AB101" s="66" t="s">
        <v>45</v>
      </c>
      <c r="AC101" s="171" t="s">
        <v>220</v>
      </c>
      <c r="AG101" s="75"/>
      <c r="AJ101" s="79" t="s">
        <v>45</v>
      </c>
      <c r="AK101" s="79">
        <v>0</v>
      </c>
      <c r="BB101" s="172" t="s">
        <v>66</v>
      </c>
      <c r="BM101" s="75">
        <f t="shared" si="21"/>
        <v>0</v>
      </c>
      <c r="BN101" s="75">
        <f t="shared" si="22"/>
        <v>0</v>
      </c>
      <c r="BO101" s="75">
        <f t="shared" si="23"/>
        <v>0</v>
      </c>
      <c r="BP101" s="75">
        <f t="shared" si="24"/>
        <v>0</v>
      </c>
    </row>
    <row r="102" spans="1:68" ht="27" customHeight="1" x14ac:dyDescent="0.25">
      <c r="A102" s="60" t="s">
        <v>221</v>
      </c>
      <c r="B102" s="60" t="s">
        <v>222</v>
      </c>
      <c r="C102" s="34">
        <v>4301051687</v>
      </c>
      <c r="D102" s="769">
        <v>4680115880214</v>
      </c>
      <c r="E102" s="769"/>
      <c r="F102" s="59">
        <v>0.45</v>
      </c>
      <c r="G102" s="35">
        <v>4</v>
      </c>
      <c r="H102" s="59">
        <v>1.8</v>
      </c>
      <c r="I102" s="59">
        <v>2.032</v>
      </c>
      <c r="J102" s="35">
        <v>182</v>
      </c>
      <c r="K102" s="35" t="s">
        <v>83</v>
      </c>
      <c r="L102" s="35" t="s">
        <v>45</v>
      </c>
      <c r="M102" s="36" t="s">
        <v>106</v>
      </c>
      <c r="N102" s="36"/>
      <c r="O102" s="35">
        <v>45</v>
      </c>
      <c r="P102" s="1061" t="s">
        <v>223</v>
      </c>
      <c r="Q102" s="771"/>
      <c r="R102" s="771"/>
      <c r="S102" s="771"/>
      <c r="T102" s="772"/>
      <c r="U102" s="37" t="s">
        <v>45</v>
      </c>
      <c r="V102" s="37" t="s">
        <v>45</v>
      </c>
      <c r="W102" s="38" t="s">
        <v>0</v>
      </c>
      <c r="X102" s="56">
        <v>0</v>
      </c>
      <c r="Y102" s="53">
        <f t="shared" si="20"/>
        <v>0</v>
      </c>
      <c r="Z102" s="39" t="str">
        <f>IFERROR(IF(Y102=0,"",ROUNDUP(Y102/H102,0)*0.00651),"")</f>
        <v/>
      </c>
      <c r="AA102" s="65" t="s">
        <v>45</v>
      </c>
      <c r="AB102" s="66" t="s">
        <v>45</v>
      </c>
      <c r="AC102" s="173" t="s">
        <v>220</v>
      </c>
      <c r="AG102" s="75"/>
      <c r="AJ102" s="79" t="s">
        <v>45</v>
      </c>
      <c r="AK102" s="79">
        <v>0</v>
      </c>
      <c r="BB102" s="174" t="s">
        <v>66</v>
      </c>
      <c r="BM102" s="75">
        <f t="shared" si="21"/>
        <v>0</v>
      </c>
      <c r="BN102" s="75">
        <f t="shared" si="22"/>
        <v>0</v>
      </c>
      <c r="BO102" s="75">
        <f t="shared" si="23"/>
        <v>0</v>
      </c>
      <c r="BP102" s="75">
        <f t="shared" si="24"/>
        <v>0</v>
      </c>
    </row>
    <row r="103" spans="1:68" ht="27" customHeight="1" x14ac:dyDescent="0.25">
      <c r="A103" s="60" t="s">
        <v>221</v>
      </c>
      <c r="B103" s="60" t="s">
        <v>224</v>
      </c>
      <c r="C103" s="34">
        <v>4301051439</v>
      </c>
      <c r="D103" s="769">
        <v>4680115880214</v>
      </c>
      <c r="E103" s="769"/>
      <c r="F103" s="59">
        <v>0.45</v>
      </c>
      <c r="G103" s="35">
        <v>6</v>
      </c>
      <c r="H103" s="59">
        <v>2.7</v>
      </c>
      <c r="I103" s="59">
        <v>2.988</v>
      </c>
      <c r="J103" s="35">
        <v>132</v>
      </c>
      <c r="K103" s="35" t="s">
        <v>116</v>
      </c>
      <c r="L103" s="35" t="s">
        <v>45</v>
      </c>
      <c r="M103" s="36" t="s">
        <v>106</v>
      </c>
      <c r="N103" s="36"/>
      <c r="O103" s="35">
        <v>45</v>
      </c>
      <c r="P103" s="1062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3" s="771"/>
      <c r="R103" s="771"/>
      <c r="S103" s="771"/>
      <c r="T103" s="772"/>
      <c r="U103" s="37" t="s">
        <v>45</v>
      </c>
      <c r="V103" s="37" t="s">
        <v>45</v>
      </c>
      <c r="W103" s="38" t="s">
        <v>0</v>
      </c>
      <c r="X103" s="56">
        <v>14</v>
      </c>
      <c r="Y103" s="53">
        <f t="shared" si="20"/>
        <v>16.200000000000003</v>
      </c>
      <c r="Z103" s="39">
        <f>IFERROR(IF(Y103=0,"",ROUNDUP(Y103/H103,0)*0.00902),"")</f>
        <v>5.4120000000000001E-2</v>
      </c>
      <c r="AA103" s="65" t="s">
        <v>45</v>
      </c>
      <c r="AB103" s="66" t="s">
        <v>45</v>
      </c>
      <c r="AC103" s="175" t="s">
        <v>220</v>
      </c>
      <c r="AG103" s="75"/>
      <c r="AJ103" s="79" t="s">
        <v>45</v>
      </c>
      <c r="AK103" s="79">
        <v>0</v>
      </c>
      <c r="BB103" s="176" t="s">
        <v>66</v>
      </c>
      <c r="BM103" s="75">
        <f t="shared" si="21"/>
        <v>15.493333333333332</v>
      </c>
      <c r="BN103" s="75">
        <f t="shared" si="22"/>
        <v>17.928000000000001</v>
      </c>
      <c r="BO103" s="75">
        <f t="shared" si="23"/>
        <v>3.9281705948372617E-2</v>
      </c>
      <c r="BP103" s="75">
        <f t="shared" si="24"/>
        <v>4.5454545454545463E-2</v>
      </c>
    </row>
    <row r="104" spans="1:68" x14ac:dyDescent="0.2">
      <c r="A104" s="759"/>
      <c r="B104" s="759"/>
      <c r="C104" s="759"/>
      <c r="D104" s="759"/>
      <c r="E104" s="759"/>
      <c r="F104" s="759"/>
      <c r="G104" s="759"/>
      <c r="H104" s="759"/>
      <c r="I104" s="759"/>
      <c r="J104" s="759"/>
      <c r="K104" s="759"/>
      <c r="L104" s="759"/>
      <c r="M104" s="759"/>
      <c r="N104" s="759"/>
      <c r="O104" s="767"/>
      <c r="P104" s="764" t="s">
        <v>40</v>
      </c>
      <c r="Q104" s="765"/>
      <c r="R104" s="765"/>
      <c r="S104" s="765"/>
      <c r="T104" s="765"/>
      <c r="U104" s="765"/>
      <c r="V104" s="766"/>
      <c r="W104" s="40" t="s">
        <v>39</v>
      </c>
      <c r="X104" s="41">
        <f>IFERROR(X98/H98,"0")+IFERROR(X99/H99,"0")+IFERROR(X100/H100,"0")+IFERROR(X101/H101,"0")+IFERROR(X102/H102,"0")+IFERROR(X103/H103,"0")</f>
        <v>5.1851851851851851</v>
      </c>
      <c r="Y104" s="41">
        <f>IFERROR(Y98/H98,"0")+IFERROR(Y99/H99,"0")+IFERROR(Y100/H100,"0")+IFERROR(Y101/H101,"0")+IFERROR(Y102/H102,"0")+IFERROR(Y103/H103,"0")</f>
        <v>6.0000000000000009</v>
      </c>
      <c r="Z104" s="41">
        <f>IFERROR(IF(Z98="",0,Z98),"0")+IFERROR(IF(Z99="",0,Z99),"0")+IFERROR(IF(Z100="",0,Z100),"0")+IFERROR(IF(Z101="",0,Z101),"0")+IFERROR(IF(Z102="",0,Z102),"0")+IFERROR(IF(Z103="",0,Z103),"0")</f>
        <v>5.4120000000000001E-2</v>
      </c>
      <c r="AA104" s="64"/>
      <c r="AB104" s="64"/>
      <c r="AC104" s="64"/>
    </row>
    <row r="105" spans="1:68" x14ac:dyDescent="0.2">
      <c r="A105" s="759"/>
      <c r="B105" s="759"/>
      <c r="C105" s="759"/>
      <c r="D105" s="759"/>
      <c r="E105" s="759"/>
      <c r="F105" s="759"/>
      <c r="G105" s="759"/>
      <c r="H105" s="759"/>
      <c r="I105" s="759"/>
      <c r="J105" s="759"/>
      <c r="K105" s="759"/>
      <c r="L105" s="759"/>
      <c r="M105" s="759"/>
      <c r="N105" s="759"/>
      <c r="O105" s="767"/>
      <c r="P105" s="764" t="s">
        <v>40</v>
      </c>
      <c r="Q105" s="765"/>
      <c r="R105" s="765"/>
      <c r="S105" s="765"/>
      <c r="T105" s="765"/>
      <c r="U105" s="765"/>
      <c r="V105" s="766"/>
      <c r="W105" s="40" t="s">
        <v>0</v>
      </c>
      <c r="X105" s="41">
        <f>IFERROR(SUM(X98:X103),"0")</f>
        <v>14</v>
      </c>
      <c r="Y105" s="41">
        <f>IFERROR(SUM(Y98:Y103),"0")</f>
        <v>16.200000000000003</v>
      </c>
      <c r="Z105" s="40"/>
      <c r="AA105" s="64"/>
      <c r="AB105" s="64"/>
      <c r="AC105" s="64"/>
    </row>
    <row r="106" spans="1:68" ht="16.5" customHeight="1" x14ac:dyDescent="0.25">
      <c r="A106" s="776" t="s">
        <v>225</v>
      </c>
      <c r="B106" s="776"/>
      <c r="C106" s="776"/>
      <c r="D106" s="776"/>
      <c r="E106" s="776"/>
      <c r="F106" s="776"/>
      <c r="G106" s="776"/>
      <c r="H106" s="776"/>
      <c r="I106" s="776"/>
      <c r="J106" s="776"/>
      <c r="K106" s="776"/>
      <c r="L106" s="776"/>
      <c r="M106" s="776"/>
      <c r="N106" s="776"/>
      <c r="O106" s="776"/>
      <c r="P106" s="776"/>
      <c r="Q106" s="776"/>
      <c r="R106" s="776"/>
      <c r="S106" s="776"/>
      <c r="T106" s="776"/>
      <c r="U106" s="776"/>
      <c r="V106" s="776"/>
      <c r="W106" s="776"/>
      <c r="X106" s="776"/>
      <c r="Y106" s="776"/>
      <c r="Z106" s="776"/>
      <c r="AA106" s="62"/>
      <c r="AB106" s="62"/>
      <c r="AC106" s="62"/>
    </row>
    <row r="107" spans="1:68" ht="14.25" customHeight="1" x14ac:dyDescent="0.25">
      <c r="A107" s="768" t="s">
        <v>101</v>
      </c>
      <c r="B107" s="768"/>
      <c r="C107" s="768"/>
      <c r="D107" s="768"/>
      <c r="E107" s="768"/>
      <c r="F107" s="768"/>
      <c r="G107" s="768"/>
      <c r="H107" s="768"/>
      <c r="I107" s="768"/>
      <c r="J107" s="768"/>
      <c r="K107" s="768"/>
      <c r="L107" s="768"/>
      <c r="M107" s="768"/>
      <c r="N107" s="768"/>
      <c r="O107" s="768"/>
      <c r="P107" s="768"/>
      <c r="Q107" s="768"/>
      <c r="R107" s="768"/>
      <c r="S107" s="768"/>
      <c r="T107" s="768"/>
      <c r="U107" s="768"/>
      <c r="V107" s="768"/>
      <c r="W107" s="768"/>
      <c r="X107" s="768"/>
      <c r="Y107" s="768"/>
      <c r="Z107" s="768"/>
      <c r="AA107" s="63"/>
      <c r="AB107" s="63"/>
      <c r="AC107" s="63"/>
    </row>
    <row r="108" spans="1:68" ht="16.5" customHeight="1" x14ac:dyDescent="0.25">
      <c r="A108" s="60" t="s">
        <v>226</v>
      </c>
      <c r="B108" s="60" t="s">
        <v>227</v>
      </c>
      <c r="C108" s="34">
        <v>4301011703</v>
      </c>
      <c r="D108" s="769">
        <v>4680115882133</v>
      </c>
      <c r="E108" s="769"/>
      <c r="F108" s="59">
        <v>1.4</v>
      </c>
      <c r="G108" s="35">
        <v>8</v>
      </c>
      <c r="H108" s="59">
        <v>11.2</v>
      </c>
      <c r="I108" s="59">
        <v>11.635</v>
      </c>
      <c r="J108" s="35">
        <v>64</v>
      </c>
      <c r="K108" s="35" t="s">
        <v>107</v>
      </c>
      <c r="L108" s="35" t="s">
        <v>45</v>
      </c>
      <c r="M108" s="36" t="s">
        <v>110</v>
      </c>
      <c r="N108" s="36"/>
      <c r="O108" s="35">
        <v>50</v>
      </c>
      <c r="P108" s="1063" t="str">
        <f>HYPERLINK("https://abi.ru/products/Охлажденные/Вязанка/Сливушка/Вареные колбасы/P003902/","Вареные колбасы «Сливушка» Вес П/а ТМ «Вязанка»")</f>
        <v>Вареные колбасы «Сливушка» Вес П/а ТМ «Вязанка»</v>
      </c>
      <c r="Q108" s="771"/>
      <c r="R108" s="771"/>
      <c r="S108" s="771"/>
      <c r="T108" s="772"/>
      <c r="U108" s="37" t="s">
        <v>45</v>
      </c>
      <c r="V108" s="37" t="s">
        <v>102</v>
      </c>
      <c r="W108" s="38" t="s">
        <v>0</v>
      </c>
      <c r="X108" s="56">
        <v>0</v>
      </c>
      <c r="Y108" s="53">
        <f>IFERROR(IF(X108="",0,CEILING((X108/$H108),1)*$H108),"")</f>
        <v>0</v>
      </c>
      <c r="Z108" s="39" t="str">
        <f>IFERROR(IF(Y108=0,"",ROUNDUP(Y108/H108,0)*0.01898),"")</f>
        <v/>
      </c>
      <c r="AA108" s="65" t="s">
        <v>45</v>
      </c>
      <c r="AB108" s="66" t="s">
        <v>45</v>
      </c>
      <c r="AC108" s="177" t="s">
        <v>228</v>
      </c>
      <c r="AG108" s="75"/>
      <c r="AJ108" s="79" t="s">
        <v>45</v>
      </c>
      <c r="AK108" s="79">
        <v>0</v>
      </c>
      <c r="BB108" s="178" t="s">
        <v>66</v>
      </c>
      <c r="BM108" s="75">
        <f>IFERROR(X108*I108/H108,"0")</f>
        <v>0</v>
      </c>
      <c r="BN108" s="75">
        <f>IFERROR(Y108*I108/H108,"0")</f>
        <v>0</v>
      </c>
      <c r="BO108" s="75">
        <f>IFERROR(1/J108*(X108/H108),"0")</f>
        <v>0</v>
      </c>
      <c r="BP108" s="75">
        <f>IFERROR(1/J108*(Y108/H108),"0")</f>
        <v>0</v>
      </c>
    </row>
    <row r="109" spans="1:68" ht="16.5" customHeight="1" x14ac:dyDescent="0.25">
      <c r="A109" s="60" t="s">
        <v>226</v>
      </c>
      <c r="B109" s="60" t="s">
        <v>229</v>
      </c>
      <c r="C109" s="34">
        <v>4301011514</v>
      </c>
      <c r="D109" s="769">
        <v>4680115882133</v>
      </c>
      <c r="E109" s="769"/>
      <c r="F109" s="59">
        <v>1.35</v>
      </c>
      <c r="G109" s="35">
        <v>8</v>
      </c>
      <c r="H109" s="59">
        <v>10.8</v>
      </c>
      <c r="I109" s="59">
        <v>11.234999999999999</v>
      </c>
      <c r="J109" s="35">
        <v>64</v>
      </c>
      <c r="K109" s="35" t="s">
        <v>107</v>
      </c>
      <c r="L109" s="35" t="s">
        <v>45</v>
      </c>
      <c r="M109" s="36" t="s">
        <v>110</v>
      </c>
      <c r="N109" s="36"/>
      <c r="O109" s="35">
        <v>50</v>
      </c>
      <c r="P109" s="1064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9" s="771"/>
      <c r="R109" s="771"/>
      <c r="S109" s="771"/>
      <c r="T109" s="772"/>
      <c r="U109" s="37" t="s">
        <v>45</v>
      </c>
      <c r="V109" s="37" t="s">
        <v>45</v>
      </c>
      <c r="W109" s="38" t="s">
        <v>0</v>
      </c>
      <c r="X109" s="56">
        <v>0</v>
      </c>
      <c r="Y109" s="53">
        <f>IFERROR(IF(X109="",0,CEILING((X109/$H109),1)*$H109),"")</f>
        <v>0</v>
      </c>
      <c r="Z109" s="39" t="str">
        <f>IFERROR(IF(Y109=0,"",ROUNDUP(Y109/H109,0)*0.01898),"")</f>
        <v/>
      </c>
      <c r="AA109" s="65" t="s">
        <v>45</v>
      </c>
      <c r="AB109" s="66" t="s">
        <v>45</v>
      </c>
      <c r="AC109" s="179" t="s">
        <v>228</v>
      </c>
      <c r="AG109" s="75"/>
      <c r="AJ109" s="79" t="s">
        <v>45</v>
      </c>
      <c r="AK109" s="79">
        <v>0</v>
      </c>
      <c r="BB109" s="180" t="s">
        <v>66</v>
      </c>
      <c r="BM109" s="75">
        <f>IFERROR(X109*I109/H109,"0")</f>
        <v>0</v>
      </c>
      <c r="BN109" s="75">
        <f>IFERROR(Y109*I109/H109,"0")</f>
        <v>0</v>
      </c>
      <c r="BO109" s="75">
        <f>IFERROR(1/J109*(X109/H109),"0")</f>
        <v>0</v>
      </c>
      <c r="BP109" s="75">
        <f>IFERROR(1/J109*(Y109/H109),"0")</f>
        <v>0</v>
      </c>
    </row>
    <row r="110" spans="1:68" ht="16.5" customHeight="1" x14ac:dyDescent="0.25">
      <c r="A110" s="60" t="s">
        <v>230</v>
      </c>
      <c r="B110" s="60" t="s">
        <v>231</v>
      </c>
      <c r="C110" s="34">
        <v>4301011417</v>
      </c>
      <c r="D110" s="769">
        <v>4680115880269</v>
      </c>
      <c r="E110" s="769"/>
      <c r="F110" s="59">
        <v>0.375</v>
      </c>
      <c r="G110" s="35">
        <v>10</v>
      </c>
      <c r="H110" s="59">
        <v>3.75</v>
      </c>
      <c r="I110" s="59">
        <v>3.96</v>
      </c>
      <c r="J110" s="35">
        <v>132</v>
      </c>
      <c r="K110" s="35" t="s">
        <v>116</v>
      </c>
      <c r="L110" s="35" t="s">
        <v>119</v>
      </c>
      <c r="M110" s="36" t="s">
        <v>106</v>
      </c>
      <c r="N110" s="36"/>
      <c r="O110" s="35">
        <v>50</v>
      </c>
      <c r="P110" s="106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10" s="771"/>
      <c r="R110" s="771"/>
      <c r="S110" s="771"/>
      <c r="T110" s="772"/>
      <c r="U110" s="37" t="s">
        <v>45</v>
      </c>
      <c r="V110" s="37" t="s">
        <v>45</v>
      </c>
      <c r="W110" s="38" t="s">
        <v>0</v>
      </c>
      <c r="X110" s="56">
        <v>0</v>
      </c>
      <c r="Y110" s="53">
        <f>IFERROR(IF(X110="",0,CEILING((X110/$H110),1)*$H110),"")</f>
        <v>0</v>
      </c>
      <c r="Z110" s="39" t="str">
        <f>IFERROR(IF(Y110=0,"",ROUNDUP(Y110/H110,0)*0.00902),"")</f>
        <v/>
      </c>
      <c r="AA110" s="65" t="s">
        <v>45</v>
      </c>
      <c r="AB110" s="66" t="s">
        <v>45</v>
      </c>
      <c r="AC110" s="181" t="s">
        <v>228</v>
      </c>
      <c r="AG110" s="75"/>
      <c r="AJ110" s="79" t="s">
        <v>120</v>
      </c>
      <c r="AK110" s="79">
        <v>45</v>
      </c>
      <c r="BB110" s="182" t="s">
        <v>66</v>
      </c>
      <c r="BM110" s="75">
        <f>IFERROR(X110*I110/H110,"0")</f>
        <v>0</v>
      </c>
      <c r="BN110" s="75">
        <f>IFERROR(Y110*I110/H110,"0")</f>
        <v>0</v>
      </c>
      <c r="BO110" s="75">
        <f>IFERROR(1/J110*(X110/H110),"0")</f>
        <v>0</v>
      </c>
      <c r="BP110" s="75">
        <f>IFERROR(1/J110*(Y110/H110),"0")</f>
        <v>0</v>
      </c>
    </row>
    <row r="111" spans="1:68" ht="16.5" customHeight="1" x14ac:dyDescent="0.25">
      <c r="A111" s="60" t="s">
        <v>232</v>
      </c>
      <c r="B111" s="60" t="s">
        <v>233</v>
      </c>
      <c r="C111" s="34">
        <v>4301011415</v>
      </c>
      <c r="D111" s="769">
        <v>4680115880429</v>
      </c>
      <c r="E111" s="769"/>
      <c r="F111" s="59">
        <v>0.45</v>
      </c>
      <c r="G111" s="35">
        <v>10</v>
      </c>
      <c r="H111" s="59">
        <v>4.5</v>
      </c>
      <c r="I111" s="59">
        <v>4.71</v>
      </c>
      <c r="J111" s="35">
        <v>132</v>
      </c>
      <c r="K111" s="35" t="s">
        <v>116</v>
      </c>
      <c r="L111" s="35" t="s">
        <v>45</v>
      </c>
      <c r="M111" s="36" t="s">
        <v>106</v>
      </c>
      <c r="N111" s="36"/>
      <c r="O111" s="35">
        <v>50</v>
      </c>
      <c r="P111" s="105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11" s="771"/>
      <c r="R111" s="771"/>
      <c r="S111" s="771"/>
      <c r="T111" s="772"/>
      <c r="U111" s="37" t="s">
        <v>45</v>
      </c>
      <c r="V111" s="37" t="s">
        <v>45</v>
      </c>
      <c r="W111" s="38" t="s">
        <v>0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IFERROR(IF(Y111=0,"",ROUNDUP(Y111/H111,0)*0.00902),"")</f>
        <v/>
      </c>
      <c r="AA111" s="65" t="s">
        <v>45</v>
      </c>
      <c r="AB111" s="66" t="s">
        <v>45</v>
      </c>
      <c r="AC111" s="183" t="s">
        <v>228</v>
      </c>
      <c r="AG111" s="75"/>
      <c r="AJ111" s="79" t="s">
        <v>45</v>
      </c>
      <c r="AK111" s="79">
        <v>0</v>
      </c>
      <c r="BB111" s="184" t="s">
        <v>66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customHeight="1" x14ac:dyDescent="0.25">
      <c r="A112" s="60" t="s">
        <v>234</v>
      </c>
      <c r="B112" s="60" t="s">
        <v>235</v>
      </c>
      <c r="C112" s="34">
        <v>4301011462</v>
      </c>
      <c r="D112" s="769">
        <v>4680115881457</v>
      </c>
      <c r="E112" s="769"/>
      <c r="F112" s="59">
        <v>0.75</v>
      </c>
      <c r="G112" s="35">
        <v>6</v>
      </c>
      <c r="H112" s="59">
        <v>4.5</v>
      </c>
      <c r="I112" s="59">
        <v>4.71</v>
      </c>
      <c r="J112" s="35">
        <v>132</v>
      </c>
      <c r="K112" s="35" t="s">
        <v>116</v>
      </c>
      <c r="L112" s="35" t="s">
        <v>45</v>
      </c>
      <c r="M112" s="36" t="s">
        <v>106</v>
      </c>
      <c r="N112" s="36"/>
      <c r="O112" s="35">
        <v>50</v>
      </c>
      <c r="P112" s="105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12" s="771"/>
      <c r="R112" s="771"/>
      <c r="S112" s="771"/>
      <c r="T112" s="772"/>
      <c r="U112" s="37" t="s">
        <v>45</v>
      </c>
      <c r="V112" s="37" t="s">
        <v>45</v>
      </c>
      <c r="W112" s="38" t="s">
        <v>0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IFERROR(IF(Y112=0,"",ROUNDUP(Y112/H112,0)*0.00902),"")</f>
        <v/>
      </c>
      <c r="AA112" s="65" t="s">
        <v>45</v>
      </c>
      <c r="AB112" s="66" t="s">
        <v>45</v>
      </c>
      <c r="AC112" s="185" t="s">
        <v>228</v>
      </c>
      <c r="AG112" s="75"/>
      <c r="AJ112" s="79" t="s">
        <v>45</v>
      </c>
      <c r="AK112" s="79">
        <v>0</v>
      </c>
      <c r="BB112" s="186" t="s">
        <v>66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x14ac:dyDescent="0.2">
      <c r="A113" s="759"/>
      <c r="B113" s="759"/>
      <c r="C113" s="759"/>
      <c r="D113" s="759"/>
      <c r="E113" s="759"/>
      <c r="F113" s="759"/>
      <c r="G113" s="759"/>
      <c r="H113" s="759"/>
      <c r="I113" s="759"/>
      <c r="J113" s="759"/>
      <c r="K113" s="759"/>
      <c r="L113" s="759"/>
      <c r="M113" s="759"/>
      <c r="N113" s="759"/>
      <c r="O113" s="767"/>
      <c r="P113" s="764" t="s">
        <v>40</v>
      </c>
      <c r="Q113" s="765"/>
      <c r="R113" s="765"/>
      <c r="S113" s="765"/>
      <c r="T113" s="765"/>
      <c r="U113" s="765"/>
      <c r="V113" s="766"/>
      <c r="W113" s="40" t="s">
        <v>39</v>
      </c>
      <c r="X113" s="41">
        <f>IFERROR(X108/H108,"0")+IFERROR(X109/H109,"0")+IFERROR(X110/H110,"0")+IFERROR(X111/H111,"0")+IFERROR(X112/H112,"0")</f>
        <v>0</v>
      </c>
      <c r="Y113" s="41">
        <f>IFERROR(Y108/H108,"0")+IFERROR(Y109/H109,"0")+IFERROR(Y110/H110,"0")+IFERROR(Y111/H111,"0")+IFERROR(Y112/H112,"0")</f>
        <v>0</v>
      </c>
      <c r="Z113" s="41">
        <f>IFERROR(IF(Z108="",0,Z108),"0")+IFERROR(IF(Z109="",0,Z109),"0")+IFERROR(IF(Z110="",0,Z110),"0")+IFERROR(IF(Z111="",0,Z111),"0")+IFERROR(IF(Z112="",0,Z112),"0")</f>
        <v>0</v>
      </c>
      <c r="AA113" s="64"/>
      <c r="AB113" s="64"/>
      <c r="AC113" s="64"/>
    </row>
    <row r="114" spans="1:68" x14ac:dyDescent="0.2">
      <c r="A114" s="759"/>
      <c r="B114" s="759"/>
      <c r="C114" s="759"/>
      <c r="D114" s="759"/>
      <c r="E114" s="759"/>
      <c r="F114" s="759"/>
      <c r="G114" s="759"/>
      <c r="H114" s="759"/>
      <c r="I114" s="759"/>
      <c r="J114" s="759"/>
      <c r="K114" s="759"/>
      <c r="L114" s="759"/>
      <c r="M114" s="759"/>
      <c r="N114" s="759"/>
      <c r="O114" s="767"/>
      <c r="P114" s="764" t="s">
        <v>40</v>
      </c>
      <c r="Q114" s="765"/>
      <c r="R114" s="765"/>
      <c r="S114" s="765"/>
      <c r="T114" s="765"/>
      <c r="U114" s="765"/>
      <c r="V114" s="766"/>
      <c r="W114" s="40" t="s">
        <v>0</v>
      </c>
      <c r="X114" s="41">
        <f>IFERROR(SUM(X108:X112),"0")</f>
        <v>0</v>
      </c>
      <c r="Y114" s="41">
        <f>IFERROR(SUM(Y108:Y112),"0")</f>
        <v>0</v>
      </c>
      <c r="Z114" s="40"/>
      <c r="AA114" s="64"/>
      <c r="AB114" s="64"/>
      <c r="AC114" s="64"/>
    </row>
    <row r="115" spans="1:68" ht="14.25" customHeight="1" x14ac:dyDescent="0.25">
      <c r="A115" s="768" t="s">
        <v>153</v>
      </c>
      <c r="B115" s="768"/>
      <c r="C115" s="768"/>
      <c r="D115" s="768"/>
      <c r="E115" s="768"/>
      <c r="F115" s="768"/>
      <c r="G115" s="768"/>
      <c r="H115" s="768"/>
      <c r="I115" s="768"/>
      <c r="J115" s="768"/>
      <c r="K115" s="768"/>
      <c r="L115" s="768"/>
      <c r="M115" s="768"/>
      <c r="N115" s="768"/>
      <c r="O115" s="768"/>
      <c r="P115" s="768"/>
      <c r="Q115" s="768"/>
      <c r="R115" s="768"/>
      <c r="S115" s="768"/>
      <c r="T115" s="768"/>
      <c r="U115" s="768"/>
      <c r="V115" s="768"/>
      <c r="W115" s="768"/>
      <c r="X115" s="768"/>
      <c r="Y115" s="768"/>
      <c r="Z115" s="768"/>
      <c r="AA115" s="63"/>
      <c r="AB115" s="63"/>
      <c r="AC115" s="63"/>
    </row>
    <row r="116" spans="1:68" ht="16.5" customHeight="1" x14ac:dyDescent="0.25">
      <c r="A116" s="60" t="s">
        <v>236</v>
      </c>
      <c r="B116" s="60" t="s">
        <v>237</v>
      </c>
      <c r="C116" s="34">
        <v>4301020345</v>
      </c>
      <c r="D116" s="769">
        <v>4680115881488</v>
      </c>
      <c r="E116" s="769"/>
      <c r="F116" s="59">
        <v>1.35</v>
      </c>
      <c r="G116" s="35">
        <v>8</v>
      </c>
      <c r="H116" s="59">
        <v>10.8</v>
      </c>
      <c r="I116" s="59">
        <v>11.234999999999999</v>
      </c>
      <c r="J116" s="35">
        <v>64</v>
      </c>
      <c r="K116" s="35" t="s">
        <v>107</v>
      </c>
      <c r="L116" s="35" t="s">
        <v>45</v>
      </c>
      <c r="M116" s="36" t="s">
        <v>110</v>
      </c>
      <c r="N116" s="36"/>
      <c r="O116" s="35">
        <v>55</v>
      </c>
      <c r="P116" s="105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6" s="771"/>
      <c r="R116" s="771"/>
      <c r="S116" s="771"/>
      <c r="T116" s="772"/>
      <c r="U116" s="37" t="s">
        <v>45</v>
      </c>
      <c r="V116" s="37" t="s">
        <v>45</v>
      </c>
      <c r="W116" s="38" t="s">
        <v>0</v>
      </c>
      <c r="X116" s="56">
        <v>0</v>
      </c>
      <c r="Y116" s="53">
        <f>IFERROR(IF(X116="",0,CEILING((X116/$H116),1)*$H116),"")</f>
        <v>0</v>
      </c>
      <c r="Z116" s="39" t="str">
        <f>IFERROR(IF(Y116=0,"",ROUNDUP(Y116/H116,0)*0.01898),"")</f>
        <v/>
      </c>
      <c r="AA116" s="65" t="s">
        <v>45</v>
      </c>
      <c r="AB116" s="66" t="s">
        <v>45</v>
      </c>
      <c r="AC116" s="187" t="s">
        <v>238</v>
      </c>
      <c r="AG116" s="75"/>
      <c r="AJ116" s="79" t="s">
        <v>45</v>
      </c>
      <c r="AK116" s="79">
        <v>0</v>
      </c>
      <c r="BB116" s="188" t="s">
        <v>66</v>
      </c>
      <c r="BM116" s="75">
        <f>IFERROR(X116*I116/H116,"0")</f>
        <v>0</v>
      </c>
      <c r="BN116" s="75">
        <f>IFERROR(Y116*I116/H116,"0")</f>
        <v>0</v>
      </c>
      <c r="BO116" s="75">
        <f>IFERROR(1/J116*(X116/H116),"0")</f>
        <v>0</v>
      </c>
      <c r="BP116" s="75">
        <f>IFERROR(1/J116*(Y116/H116),"0")</f>
        <v>0</v>
      </c>
    </row>
    <row r="117" spans="1:68" ht="16.5" customHeight="1" x14ac:dyDescent="0.25">
      <c r="A117" s="60" t="s">
        <v>239</v>
      </c>
      <c r="B117" s="60" t="s">
        <v>240</v>
      </c>
      <c r="C117" s="34">
        <v>4301020346</v>
      </c>
      <c r="D117" s="769">
        <v>4680115882775</v>
      </c>
      <c r="E117" s="769"/>
      <c r="F117" s="59">
        <v>0.3</v>
      </c>
      <c r="G117" s="35">
        <v>8</v>
      </c>
      <c r="H117" s="59">
        <v>2.4</v>
      </c>
      <c r="I117" s="59">
        <v>2.5</v>
      </c>
      <c r="J117" s="35">
        <v>234</v>
      </c>
      <c r="K117" s="35" t="s">
        <v>126</v>
      </c>
      <c r="L117" s="35" t="s">
        <v>45</v>
      </c>
      <c r="M117" s="36" t="s">
        <v>110</v>
      </c>
      <c r="N117" s="36"/>
      <c r="O117" s="35">
        <v>55</v>
      </c>
      <c r="P117" s="1058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7" s="771"/>
      <c r="R117" s="771"/>
      <c r="S117" s="771"/>
      <c r="T117" s="772"/>
      <c r="U117" s="37" t="s">
        <v>45</v>
      </c>
      <c r="V117" s="37" t="s">
        <v>45</v>
      </c>
      <c r="W117" s="38" t="s">
        <v>0</v>
      </c>
      <c r="X117" s="56">
        <v>0</v>
      </c>
      <c r="Y117" s="53">
        <f>IFERROR(IF(X117="",0,CEILING((X117/$H117),1)*$H117),"")</f>
        <v>0</v>
      </c>
      <c r="Z117" s="39" t="str">
        <f>IFERROR(IF(Y117=0,"",ROUNDUP(Y117/H117,0)*0.00502),"")</f>
        <v/>
      </c>
      <c r="AA117" s="65" t="s">
        <v>45</v>
      </c>
      <c r="AB117" s="66" t="s">
        <v>45</v>
      </c>
      <c r="AC117" s="189" t="s">
        <v>238</v>
      </c>
      <c r="AG117" s="75"/>
      <c r="AJ117" s="79" t="s">
        <v>45</v>
      </c>
      <c r="AK117" s="79">
        <v>0</v>
      </c>
      <c r="BB117" s="190" t="s">
        <v>66</v>
      </c>
      <c r="BM117" s="75">
        <f>IFERROR(X117*I117/H117,"0")</f>
        <v>0</v>
      </c>
      <c r="BN117" s="75">
        <f>IFERROR(Y117*I117/H117,"0")</f>
        <v>0</v>
      </c>
      <c r="BO117" s="75">
        <f>IFERROR(1/J117*(X117/H117),"0")</f>
        <v>0</v>
      </c>
      <c r="BP117" s="75">
        <f>IFERROR(1/J117*(Y117/H117),"0")</f>
        <v>0</v>
      </c>
    </row>
    <row r="118" spans="1:68" ht="16.5" customHeight="1" x14ac:dyDescent="0.25">
      <c r="A118" s="60" t="s">
        <v>241</v>
      </c>
      <c r="B118" s="60" t="s">
        <v>242</v>
      </c>
      <c r="C118" s="34">
        <v>4301020344</v>
      </c>
      <c r="D118" s="769">
        <v>4680115880658</v>
      </c>
      <c r="E118" s="769"/>
      <c r="F118" s="59">
        <v>0.4</v>
      </c>
      <c r="G118" s="35">
        <v>6</v>
      </c>
      <c r="H118" s="59">
        <v>2.4</v>
      </c>
      <c r="I118" s="59">
        <v>2.58</v>
      </c>
      <c r="J118" s="35">
        <v>182</v>
      </c>
      <c r="K118" s="35" t="s">
        <v>83</v>
      </c>
      <c r="L118" s="35" t="s">
        <v>45</v>
      </c>
      <c r="M118" s="36" t="s">
        <v>110</v>
      </c>
      <c r="N118" s="36"/>
      <c r="O118" s="35">
        <v>55</v>
      </c>
      <c r="P118" s="1059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8" s="771"/>
      <c r="R118" s="771"/>
      <c r="S118" s="771"/>
      <c r="T118" s="772"/>
      <c r="U118" s="37" t="s">
        <v>45</v>
      </c>
      <c r="V118" s="37" t="s">
        <v>45</v>
      </c>
      <c r="W118" s="38" t="s">
        <v>0</v>
      </c>
      <c r="X118" s="56">
        <v>0</v>
      </c>
      <c r="Y118" s="53">
        <f>IFERROR(IF(X118="",0,CEILING((X118/$H118),1)*$H118),"")</f>
        <v>0</v>
      </c>
      <c r="Z118" s="39" t="str">
        <f>IFERROR(IF(Y118=0,"",ROUNDUP(Y118/H118,0)*0.00651),"")</f>
        <v/>
      </c>
      <c r="AA118" s="65" t="s">
        <v>45</v>
      </c>
      <c r="AB118" s="66" t="s">
        <v>45</v>
      </c>
      <c r="AC118" s="191" t="s">
        <v>238</v>
      </c>
      <c r="AG118" s="75"/>
      <c r="AJ118" s="79" t="s">
        <v>45</v>
      </c>
      <c r="AK118" s="79">
        <v>0</v>
      </c>
      <c r="BB118" s="192" t="s">
        <v>66</v>
      </c>
      <c r="BM118" s="75">
        <f>IFERROR(X118*I118/H118,"0")</f>
        <v>0</v>
      </c>
      <c r="BN118" s="75">
        <f>IFERROR(Y118*I118/H118,"0")</f>
        <v>0</v>
      </c>
      <c r="BO118" s="75">
        <f>IFERROR(1/J118*(X118/H118),"0")</f>
        <v>0</v>
      </c>
      <c r="BP118" s="75">
        <f>IFERROR(1/J118*(Y118/H118),"0")</f>
        <v>0</v>
      </c>
    </row>
    <row r="119" spans="1:68" x14ac:dyDescent="0.2">
      <c r="A119" s="759"/>
      <c r="B119" s="759"/>
      <c r="C119" s="759"/>
      <c r="D119" s="759"/>
      <c r="E119" s="759"/>
      <c r="F119" s="759"/>
      <c r="G119" s="759"/>
      <c r="H119" s="759"/>
      <c r="I119" s="759"/>
      <c r="J119" s="759"/>
      <c r="K119" s="759"/>
      <c r="L119" s="759"/>
      <c r="M119" s="759"/>
      <c r="N119" s="759"/>
      <c r="O119" s="767"/>
      <c r="P119" s="764" t="s">
        <v>40</v>
      </c>
      <c r="Q119" s="765"/>
      <c r="R119" s="765"/>
      <c r="S119" s="765"/>
      <c r="T119" s="765"/>
      <c r="U119" s="765"/>
      <c r="V119" s="766"/>
      <c r="W119" s="40" t="s">
        <v>39</v>
      </c>
      <c r="X119" s="41">
        <f>IFERROR(X116/H116,"0")+IFERROR(X117/H117,"0")+IFERROR(X118/H118,"0")</f>
        <v>0</v>
      </c>
      <c r="Y119" s="41">
        <f>IFERROR(Y116/H116,"0")+IFERROR(Y117/H117,"0")+IFERROR(Y118/H118,"0")</f>
        <v>0</v>
      </c>
      <c r="Z119" s="41">
        <f>IFERROR(IF(Z116="",0,Z116),"0")+IFERROR(IF(Z117="",0,Z117),"0")+IFERROR(IF(Z118="",0,Z118),"0")</f>
        <v>0</v>
      </c>
      <c r="AA119" s="64"/>
      <c r="AB119" s="64"/>
      <c r="AC119" s="64"/>
    </row>
    <row r="120" spans="1:68" x14ac:dyDescent="0.2">
      <c r="A120" s="759"/>
      <c r="B120" s="759"/>
      <c r="C120" s="759"/>
      <c r="D120" s="759"/>
      <c r="E120" s="759"/>
      <c r="F120" s="759"/>
      <c r="G120" s="759"/>
      <c r="H120" s="759"/>
      <c r="I120" s="759"/>
      <c r="J120" s="759"/>
      <c r="K120" s="759"/>
      <c r="L120" s="759"/>
      <c r="M120" s="759"/>
      <c r="N120" s="759"/>
      <c r="O120" s="767"/>
      <c r="P120" s="764" t="s">
        <v>40</v>
      </c>
      <c r="Q120" s="765"/>
      <c r="R120" s="765"/>
      <c r="S120" s="765"/>
      <c r="T120" s="765"/>
      <c r="U120" s="765"/>
      <c r="V120" s="766"/>
      <c r="W120" s="40" t="s">
        <v>0</v>
      </c>
      <c r="X120" s="41">
        <f>IFERROR(SUM(X116:X118),"0")</f>
        <v>0</v>
      </c>
      <c r="Y120" s="41">
        <f>IFERROR(SUM(Y116:Y118),"0")</f>
        <v>0</v>
      </c>
      <c r="Z120" s="40"/>
      <c r="AA120" s="64"/>
      <c r="AB120" s="64"/>
      <c r="AC120" s="64"/>
    </row>
    <row r="121" spans="1:68" ht="14.25" customHeight="1" x14ac:dyDescent="0.25">
      <c r="A121" s="768" t="s">
        <v>78</v>
      </c>
      <c r="B121" s="768"/>
      <c r="C121" s="768"/>
      <c r="D121" s="768"/>
      <c r="E121" s="768"/>
      <c r="F121" s="768"/>
      <c r="G121" s="768"/>
      <c r="H121" s="768"/>
      <c r="I121" s="768"/>
      <c r="J121" s="768"/>
      <c r="K121" s="768"/>
      <c r="L121" s="768"/>
      <c r="M121" s="768"/>
      <c r="N121" s="768"/>
      <c r="O121" s="768"/>
      <c r="P121" s="768"/>
      <c r="Q121" s="768"/>
      <c r="R121" s="768"/>
      <c r="S121" s="768"/>
      <c r="T121" s="768"/>
      <c r="U121" s="768"/>
      <c r="V121" s="768"/>
      <c r="W121" s="768"/>
      <c r="X121" s="768"/>
      <c r="Y121" s="768"/>
      <c r="Z121" s="768"/>
      <c r="AA121" s="63"/>
      <c r="AB121" s="63"/>
      <c r="AC121" s="63"/>
    </row>
    <row r="122" spans="1:68" ht="27" customHeight="1" x14ac:dyDescent="0.25">
      <c r="A122" s="60" t="s">
        <v>243</v>
      </c>
      <c r="B122" s="60" t="s">
        <v>244</v>
      </c>
      <c r="C122" s="34">
        <v>4301051625</v>
      </c>
      <c r="D122" s="769">
        <v>4607091385168</v>
      </c>
      <c r="E122" s="769"/>
      <c r="F122" s="59">
        <v>1.4</v>
      </c>
      <c r="G122" s="35">
        <v>6</v>
      </c>
      <c r="H122" s="59">
        <v>8.4</v>
      </c>
      <c r="I122" s="59">
        <v>8.9130000000000003</v>
      </c>
      <c r="J122" s="35">
        <v>64</v>
      </c>
      <c r="K122" s="35" t="s">
        <v>107</v>
      </c>
      <c r="L122" s="35" t="s">
        <v>45</v>
      </c>
      <c r="M122" s="36" t="s">
        <v>106</v>
      </c>
      <c r="N122" s="36"/>
      <c r="O122" s="35">
        <v>45</v>
      </c>
      <c r="P122" s="1048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2" s="771"/>
      <c r="R122" s="771"/>
      <c r="S122" s="771"/>
      <c r="T122" s="772"/>
      <c r="U122" s="37" t="s">
        <v>45</v>
      </c>
      <c r="V122" s="37" t="s">
        <v>102</v>
      </c>
      <c r="W122" s="38" t="s">
        <v>0</v>
      </c>
      <c r="X122" s="56">
        <v>0</v>
      </c>
      <c r="Y122" s="53">
        <f t="shared" ref="Y122:Y128" si="25">IFERROR(IF(X122="",0,CEILING((X122/$H122),1)*$H122),"")</f>
        <v>0</v>
      </c>
      <c r="Z122" s="39" t="str">
        <f>IFERROR(IF(Y122=0,"",ROUNDUP(Y122/H122,0)*0.01898),"")</f>
        <v/>
      </c>
      <c r="AA122" s="65" t="s">
        <v>45</v>
      </c>
      <c r="AB122" s="66" t="s">
        <v>45</v>
      </c>
      <c r="AC122" s="193" t="s">
        <v>245</v>
      </c>
      <c r="AG122" s="75"/>
      <c r="AJ122" s="79" t="s">
        <v>45</v>
      </c>
      <c r="AK122" s="79">
        <v>0</v>
      </c>
      <c r="BB122" s="194" t="s">
        <v>66</v>
      </c>
      <c r="BM122" s="75">
        <f t="shared" ref="BM122:BM128" si="26">IFERROR(X122*I122/H122,"0")</f>
        <v>0</v>
      </c>
      <c r="BN122" s="75">
        <f t="shared" ref="BN122:BN128" si="27">IFERROR(Y122*I122/H122,"0")</f>
        <v>0</v>
      </c>
      <c r="BO122" s="75">
        <f t="shared" ref="BO122:BO128" si="28">IFERROR(1/J122*(X122/H122),"0")</f>
        <v>0</v>
      </c>
      <c r="BP122" s="75">
        <f t="shared" ref="BP122:BP128" si="29">IFERROR(1/J122*(Y122/H122),"0")</f>
        <v>0</v>
      </c>
    </row>
    <row r="123" spans="1:68" ht="37.5" customHeight="1" x14ac:dyDescent="0.25">
      <c r="A123" s="60" t="s">
        <v>243</v>
      </c>
      <c r="B123" s="60" t="s">
        <v>246</v>
      </c>
      <c r="C123" s="34">
        <v>4301051360</v>
      </c>
      <c r="D123" s="769">
        <v>4607091385168</v>
      </c>
      <c r="E123" s="769"/>
      <c r="F123" s="59">
        <v>1.35</v>
      </c>
      <c r="G123" s="35">
        <v>6</v>
      </c>
      <c r="H123" s="59">
        <v>8.1</v>
      </c>
      <c r="I123" s="59">
        <v>8.6129999999999995</v>
      </c>
      <c r="J123" s="35">
        <v>64</v>
      </c>
      <c r="K123" s="35" t="s">
        <v>107</v>
      </c>
      <c r="L123" s="35" t="s">
        <v>45</v>
      </c>
      <c r="M123" s="36" t="s">
        <v>106</v>
      </c>
      <c r="N123" s="36"/>
      <c r="O123" s="35">
        <v>45</v>
      </c>
      <c r="P123" s="104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3" s="771"/>
      <c r="R123" s="771"/>
      <c r="S123" s="771"/>
      <c r="T123" s="772"/>
      <c r="U123" s="37" t="s">
        <v>45</v>
      </c>
      <c r="V123" s="37" t="s">
        <v>45</v>
      </c>
      <c r="W123" s="38" t="s">
        <v>0</v>
      </c>
      <c r="X123" s="56">
        <v>0</v>
      </c>
      <c r="Y123" s="53">
        <f t="shared" si="25"/>
        <v>0</v>
      </c>
      <c r="Z123" s="39" t="str">
        <f>IFERROR(IF(Y123=0,"",ROUNDUP(Y123/H123,0)*0.01898),"")</f>
        <v/>
      </c>
      <c r="AA123" s="65" t="s">
        <v>45</v>
      </c>
      <c r="AB123" s="66" t="s">
        <v>45</v>
      </c>
      <c r="AC123" s="195" t="s">
        <v>247</v>
      </c>
      <c r="AG123" s="75"/>
      <c r="AJ123" s="79" t="s">
        <v>45</v>
      </c>
      <c r="AK123" s="79">
        <v>0</v>
      </c>
      <c r="BB123" s="196" t="s">
        <v>66</v>
      </c>
      <c r="BM123" s="75">
        <f t="shared" si="26"/>
        <v>0</v>
      </c>
      <c r="BN123" s="75">
        <f t="shared" si="27"/>
        <v>0</v>
      </c>
      <c r="BO123" s="75">
        <f t="shared" si="28"/>
        <v>0</v>
      </c>
      <c r="BP123" s="75">
        <f t="shared" si="29"/>
        <v>0</v>
      </c>
    </row>
    <row r="124" spans="1:68" ht="27" customHeight="1" x14ac:dyDescent="0.25">
      <c r="A124" s="60" t="s">
        <v>248</v>
      </c>
      <c r="B124" s="60" t="s">
        <v>249</v>
      </c>
      <c r="C124" s="34">
        <v>4301051742</v>
      </c>
      <c r="D124" s="769">
        <v>4680115884540</v>
      </c>
      <c r="E124" s="769"/>
      <c r="F124" s="59">
        <v>1.4</v>
      </c>
      <c r="G124" s="35">
        <v>6</v>
      </c>
      <c r="H124" s="59">
        <v>8.4</v>
      </c>
      <c r="I124" s="59">
        <v>8.8350000000000009</v>
      </c>
      <c r="J124" s="35">
        <v>64</v>
      </c>
      <c r="K124" s="35" t="s">
        <v>107</v>
      </c>
      <c r="L124" s="35" t="s">
        <v>45</v>
      </c>
      <c r="M124" s="36" t="s">
        <v>106</v>
      </c>
      <c r="N124" s="36"/>
      <c r="O124" s="35">
        <v>45</v>
      </c>
      <c r="P124" s="1050" t="str">
        <f>HYPERLINK("https://abi.ru/products/Охлажденные/Вязанка/Сливушка/Сосиски/P004117/","Сосиски «Сливушки по-венски» Весовой п/а ТМ «Вязанка»")</f>
        <v>Сосиски «Сливушки по-венски» Весовой п/а ТМ «Вязанка»</v>
      </c>
      <c r="Q124" s="771"/>
      <c r="R124" s="771"/>
      <c r="S124" s="771"/>
      <c r="T124" s="772"/>
      <c r="U124" s="37" t="s">
        <v>45</v>
      </c>
      <c r="V124" s="37" t="s">
        <v>45</v>
      </c>
      <c r="W124" s="38" t="s">
        <v>0</v>
      </c>
      <c r="X124" s="56">
        <v>40</v>
      </c>
      <c r="Y124" s="53">
        <f t="shared" si="25"/>
        <v>42</v>
      </c>
      <c r="Z124" s="39">
        <f>IFERROR(IF(Y124=0,"",ROUNDUP(Y124/H124,0)*0.01898),"")</f>
        <v>9.4899999999999998E-2</v>
      </c>
      <c r="AA124" s="65" t="s">
        <v>45</v>
      </c>
      <c r="AB124" s="66" t="s">
        <v>45</v>
      </c>
      <c r="AC124" s="197" t="s">
        <v>250</v>
      </c>
      <c r="AG124" s="75"/>
      <c r="AJ124" s="79" t="s">
        <v>45</v>
      </c>
      <c r="AK124" s="79">
        <v>0</v>
      </c>
      <c r="BB124" s="198" t="s">
        <v>66</v>
      </c>
      <c r="BM124" s="75">
        <f t="shared" si="26"/>
        <v>42.071428571428577</v>
      </c>
      <c r="BN124" s="75">
        <f t="shared" si="27"/>
        <v>44.175000000000004</v>
      </c>
      <c r="BO124" s="75">
        <f t="shared" si="28"/>
        <v>7.4404761904761904E-2</v>
      </c>
      <c r="BP124" s="75">
        <f t="shared" si="29"/>
        <v>7.8125E-2</v>
      </c>
    </row>
    <row r="125" spans="1:68" ht="37.5" customHeight="1" x14ac:dyDescent="0.25">
      <c r="A125" s="60" t="s">
        <v>251</v>
      </c>
      <c r="B125" s="60" t="s">
        <v>252</v>
      </c>
      <c r="C125" s="34">
        <v>4301051362</v>
      </c>
      <c r="D125" s="769">
        <v>4607091383256</v>
      </c>
      <c r="E125" s="769"/>
      <c r="F125" s="59">
        <v>0.33</v>
      </c>
      <c r="G125" s="35">
        <v>6</v>
      </c>
      <c r="H125" s="59">
        <v>1.98</v>
      </c>
      <c r="I125" s="59">
        <v>2.226</v>
      </c>
      <c r="J125" s="35">
        <v>182</v>
      </c>
      <c r="K125" s="35" t="s">
        <v>83</v>
      </c>
      <c r="L125" s="35" t="s">
        <v>45</v>
      </c>
      <c r="M125" s="36" t="s">
        <v>106</v>
      </c>
      <c r="N125" s="36"/>
      <c r="O125" s="35">
        <v>45</v>
      </c>
      <c r="P125" s="1051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5" s="771"/>
      <c r="R125" s="771"/>
      <c r="S125" s="771"/>
      <c r="T125" s="772"/>
      <c r="U125" s="37" t="s">
        <v>45</v>
      </c>
      <c r="V125" s="37" t="s">
        <v>45</v>
      </c>
      <c r="W125" s="38" t="s">
        <v>0</v>
      </c>
      <c r="X125" s="56">
        <v>0</v>
      </c>
      <c r="Y125" s="53">
        <f t="shared" si="25"/>
        <v>0</v>
      </c>
      <c r="Z125" s="39" t="str">
        <f>IFERROR(IF(Y125=0,"",ROUNDUP(Y125/H125,0)*0.00651),"")</f>
        <v/>
      </c>
      <c r="AA125" s="65" t="s">
        <v>45</v>
      </c>
      <c r="AB125" s="66" t="s">
        <v>45</v>
      </c>
      <c r="AC125" s="199" t="s">
        <v>247</v>
      </c>
      <c r="AG125" s="75"/>
      <c r="AJ125" s="79" t="s">
        <v>45</v>
      </c>
      <c r="AK125" s="79">
        <v>0</v>
      </c>
      <c r="BB125" s="200" t="s">
        <v>66</v>
      </c>
      <c r="BM125" s="75">
        <f t="shared" si="26"/>
        <v>0</v>
      </c>
      <c r="BN125" s="75">
        <f t="shared" si="27"/>
        <v>0</v>
      </c>
      <c r="BO125" s="75">
        <f t="shared" si="28"/>
        <v>0</v>
      </c>
      <c r="BP125" s="75">
        <f t="shared" si="29"/>
        <v>0</v>
      </c>
    </row>
    <row r="126" spans="1:68" ht="37.5" customHeight="1" x14ac:dyDescent="0.25">
      <c r="A126" s="60" t="s">
        <v>253</v>
      </c>
      <c r="B126" s="60" t="s">
        <v>254</v>
      </c>
      <c r="C126" s="34">
        <v>4301051358</v>
      </c>
      <c r="D126" s="769">
        <v>4607091385748</v>
      </c>
      <c r="E126" s="769"/>
      <c r="F126" s="59">
        <v>0.45</v>
      </c>
      <c r="G126" s="35">
        <v>6</v>
      </c>
      <c r="H126" s="59">
        <v>2.7</v>
      </c>
      <c r="I126" s="59">
        <v>2.952</v>
      </c>
      <c r="J126" s="35">
        <v>182</v>
      </c>
      <c r="K126" s="35" t="s">
        <v>83</v>
      </c>
      <c r="L126" s="35" t="s">
        <v>137</v>
      </c>
      <c r="M126" s="36" t="s">
        <v>106</v>
      </c>
      <c r="N126" s="36"/>
      <c r="O126" s="35">
        <v>45</v>
      </c>
      <c r="P126" s="1052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6" s="771"/>
      <c r="R126" s="771"/>
      <c r="S126" s="771"/>
      <c r="T126" s="772"/>
      <c r="U126" s="37" t="s">
        <v>45</v>
      </c>
      <c r="V126" s="37" t="s">
        <v>45</v>
      </c>
      <c r="W126" s="38" t="s">
        <v>0</v>
      </c>
      <c r="X126" s="56">
        <v>0</v>
      </c>
      <c r="Y126" s="53">
        <f t="shared" si="25"/>
        <v>0</v>
      </c>
      <c r="Z126" s="39" t="str">
        <f>IFERROR(IF(Y126=0,"",ROUNDUP(Y126/H126,0)*0.00651),"")</f>
        <v/>
      </c>
      <c r="AA126" s="65" t="s">
        <v>45</v>
      </c>
      <c r="AB126" s="66" t="s">
        <v>45</v>
      </c>
      <c r="AC126" s="201" t="s">
        <v>247</v>
      </c>
      <c r="AG126" s="75"/>
      <c r="AJ126" s="79" t="s">
        <v>138</v>
      </c>
      <c r="AK126" s="79">
        <v>491.4</v>
      </c>
      <c r="BB126" s="202" t="s">
        <v>66</v>
      </c>
      <c r="BM126" s="75">
        <f t="shared" si="26"/>
        <v>0</v>
      </c>
      <c r="BN126" s="75">
        <f t="shared" si="27"/>
        <v>0</v>
      </c>
      <c r="BO126" s="75">
        <f t="shared" si="28"/>
        <v>0</v>
      </c>
      <c r="BP126" s="75">
        <f t="shared" si="29"/>
        <v>0</v>
      </c>
    </row>
    <row r="127" spans="1:68" ht="27" customHeight="1" x14ac:dyDescent="0.25">
      <c r="A127" s="60" t="s">
        <v>255</v>
      </c>
      <c r="B127" s="60" t="s">
        <v>256</v>
      </c>
      <c r="C127" s="34">
        <v>4301051740</v>
      </c>
      <c r="D127" s="769">
        <v>4680115884533</v>
      </c>
      <c r="E127" s="769"/>
      <c r="F127" s="59">
        <v>0.3</v>
      </c>
      <c r="G127" s="35">
        <v>6</v>
      </c>
      <c r="H127" s="59">
        <v>1.8</v>
      </c>
      <c r="I127" s="59">
        <v>1.98</v>
      </c>
      <c r="J127" s="35">
        <v>182</v>
      </c>
      <c r="K127" s="35" t="s">
        <v>83</v>
      </c>
      <c r="L127" s="35" t="s">
        <v>45</v>
      </c>
      <c r="M127" s="36" t="s">
        <v>106</v>
      </c>
      <c r="N127" s="36"/>
      <c r="O127" s="35">
        <v>45</v>
      </c>
      <c r="P127" s="105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7" s="771"/>
      <c r="R127" s="771"/>
      <c r="S127" s="771"/>
      <c r="T127" s="772"/>
      <c r="U127" s="37" t="s">
        <v>45</v>
      </c>
      <c r="V127" s="37" t="s">
        <v>45</v>
      </c>
      <c r="W127" s="38" t="s">
        <v>0</v>
      </c>
      <c r="X127" s="56">
        <v>0</v>
      </c>
      <c r="Y127" s="53">
        <f t="shared" si="25"/>
        <v>0</v>
      </c>
      <c r="Z127" s="39" t="str">
        <f>IFERROR(IF(Y127=0,"",ROUNDUP(Y127/H127,0)*0.00651),"")</f>
        <v/>
      </c>
      <c r="AA127" s="65" t="s">
        <v>45</v>
      </c>
      <c r="AB127" s="66" t="s">
        <v>45</v>
      </c>
      <c r="AC127" s="203" t="s">
        <v>250</v>
      </c>
      <c r="AG127" s="75"/>
      <c r="AJ127" s="79" t="s">
        <v>45</v>
      </c>
      <c r="AK127" s="79">
        <v>0</v>
      </c>
      <c r="BB127" s="204" t="s">
        <v>66</v>
      </c>
      <c r="BM127" s="75">
        <f t="shared" si="26"/>
        <v>0</v>
      </c>
      <c r="BN127" s="75">
        <f t="shared" si="27"/>
        <v>0</v>
      </c>
      <c r="BO127" s="75">
        <f t="shared" si="28"/>
        <v>0</v>
      </c>
      <c r="BP127" s="75">
        <f t="shared" si="29"/>
        <v>0</v>
      </c>
    </row>
    <row r="128" spans="1:68" ht="37.5" customHeight="1" x14ac:dyDescent="0.25">
      <c r="A128" s="60" t="s">
        <v>257</v>
      </c>
      <c r="B128" s="60" t="s">
        <v>258</v>
      </c>
      <c r="C128" s="34">
        <v>4301051480</v>
      </c>
      <c r="D128" s="769">
        <v>4680115882645</v>
      </c>
      <c r="E128" s="769"/>
      <c r="F128" s="59">
        <v>0.3</v>
      </c>
      <c r="G128" s="35">
        <v>6</v>
      </c>
      <c r="H128" s="59">
        <v>1.8</v>
      </c>
      <c r="I128" s="59">
        <v>2.64</v>
      </c>
      <c r="J128" s="35">
        <v>182</v>
      </c>
      <c r="K128" s="35" t="s">
        <v>83</v>
      </c>
      <c r="L128" s="35" t="s">
        <v>45</v>
      </c>
      <c r="M128" s="36" t="s">
        <v>82</v>
      </c>
      <c r="N128" s="36"/>
      <c r="O128" s="35">
        <v>40</v>
      </c>
      <c r="P128" s="1054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8" s="771"/>
      <c r="R128" s="771"/>
      <c r="S128" s="771"/>
      <c r="T128" s="772"/>
      <c r="U128" s="37" t="s">
        <v>45</v>
      </c>
      <c r="V128" s="37" t="s">
        <v>45</v>
      </c>
      <c r="W128" s="38" t="s">
        <v>0</v>
      </c>
      <c r="X128" s="56">
        <v>0</v>
      </c>
      <c r="Y128" s="53">
        <f t="shared" si="25"/>
        <v>0</v>
      </c>
      <c r="Z128" s="39" t="str">
        <f>IFERROR(IF(Y128=0,"",ROUNDUP(Y128/H128,0)*0.00651),"")</f>
        <v/>
      </c>
      <c r="AA128" s="65" t="s">
        <v>45</v>
      </c>
      <c r="AB128" s="66" t="s">
        <v>45</v>
      </c>
      <c r="AC128" s="205" t="s">
        <v>259</v>
      </c>
      <c r="AG128" s="75"/>
      <c r="AJ128" s="79" t="s">
        <v>45</v>
      </c>
      <c r="AK128" s="79">
        <v>0</v>
      </c>
      <c r="BB128" s="206" t="s">
        <v>66</v>
      </c>
      <c r="BM128" s="75">
        <f t="shared" si="26"/>
        <v>0</v>
      </c>
      <c r="BN128" s="75">
        <f t="shared" si="27"/>
        <v>0</v>
      </c>
      <c r="BO128" s="75">
        <f t="shared" si="28"/>
        <v>0</v>
      </c>
      <c r="BP128" s="75">
        <f t="shared" si="29"/>
        <v>0</v>
      </c>
    </row>
    <row r="129" spans="1:68" x14ac:dyDescent="0.2">
      <c r="A129" s="759"/>
      <c r="B129" s="759"/>
      <c r="C129" s="759"/>
      <c r="D129" s="759"/>
      <c r="E129" s="759"/>
      <c r="F129" s="759"/>
      <c r="G129" s="759"/>
      <c r="H129" s="759"/>
      <c r="I129" s="759"/>
      <c r="J129" s="759"/>
      <c r="K129" s="759"/>
      <c r="L129" s="759"/>
      <c r="M129" s="759"/>
      <c r="N129" s="759"/>
      <c r="O129" s="767"/>
      <c r="P129" s="764" t="s">
        <v>40</v>
      </c>
      <c r="Q129" s="765"/>
      <c r="R129" s="765"/>
      <c r="S129" s="765"/>
      <c r="T129" s="765"/>
      <c r="U129" s="765"/>
      <c r="V129" s="766"/>
      <c r="W129" s="40" t="s">
        <v>39</v>
      </c>
      <c r="X129" s="41">
        <f>IFERROR(X122/H122,"0")+IFERROR(X123/H123,"0")+IFERROR(X124/H124,"0")+IFERROR(X125/H125,"0")+IFERROR(X126/H126,"0")+IFERROR(X127/H127,"0")+IFERROR(X128/H128,"0")</f>
        <v>4.7619047619047619</v>
      </c>
      <c r="Y129" s="41">
        <f>IFERROR(Y122/H122,"0")+IFERROR(Y123/H123,"0")+IFERROR(Y124/H124,"0")+IFERROR(Y125/H125,"0")+IFERROR(Y126/H126,"0")+IFERROR(Y127/H127,"0")+IFERROR(Y128/H128,"0")</f>
        <v>5</v>
      </c>
      <c r="Z129" s="41">
        <f>IFERROR(IF(Z122="",0,Z122),"0")+IFERROR(IF(Z123="",0,Z123),"0")+IFERROR(IF(Z124="",0,Z124),"0")+IFERROR(IF(Z125="",0,Z125),"0")+IFERROR(IF(Z126="",0,Z126),"0")+IFERROR(IF(Z127="",0,Z127),"0")+IFERROR(IF(Z128="",0,Z128),"0")</f>
        <v>9.4899999999999998E-2</v>
      </c>
      <c r="AA129" s="64"/>
      <c r="AB129" s="64"/>
      <c r="AC129" s="64"/>
    </row>
    <row r="130" spans="1:68" x14ac:dyDescent="0.2">
      <c r="A130" s="759"/>
      <c r="B130" s="759"/>
      <c r="C130" s="759"/>
      <c r="D130" s="759"/>
      <c r="E130" s="759"/>
      <c r="F130" s="759"/>
      <c r="G130" s="759"/>
      <c r="H130" s="759"/>
      <c r="I130" s="759"/>
      <c r="J130" s="759"/>
      <c r="K130" s="759"/>
      <c r="L130" s="759"/>
      <c r="M130" s="759"/>
      <c r="N130" s="759"/>
      <c r="O130" s="767"/>
      <c r="P130" s="764" t="s">
        <v>40</v>
      </c>
      <c r="Q130" s="765"/>
      <c r="R130" s="765"/>
      <c r="S130" s="765"/>
      <c r="T130" s="765"/>
      <c r="U130" s="765"/>
      <c r="V130" s="766"/>
      <c r="W130" s="40" t="s">
        <v>0</v>
      </c>
      <c r="X130" s="41">
        <f>IFERROR(SUM(X122:X128),"0")</f>
        <v>40</v>
      </c>
      <c r="Y130" s="41">
        <f>IFERROR(SUM(Y122:Y128),"0")</f>
        <v>42</v>
      </c>
      <c r="Z130" s="40"/>
      <c r="AA130" s="64"/>
      <c r="AB130" s="64"/>
      <c r="AC130" s="64"/>
    </row>
    <row r="131" spans="1:68" ht="14.25" customHeight="1" x14ac:dyDescent="0.25">
      <c r="A131" s="768" t="s">
        <v>195</v>
      </c>
      <c r="B131" s="768"/>
      <c r="C131" s="768"/>
      <c r="D131" s="768"/>
      <c r="E131" s="768"/>
      <c r="F131" s="768"/>
      <c r="G131" s="768"/>
      <c r="H131" s="768"/>
      <c r="I131" s="768"/>
      <c r="J131" s="768"/>
      <c r="K131" s="768"/>
      <c r="L131" s="768"/>
      <c r="M131" s="768"/>
      <c r="N131" s="768"/>
      <c r="O131" s="768"/>
      <c r="P131" s="768"/>
      <c r="Q131" s="768"/>
      <c r="R131" s="768"/>
      <c r="S131" s="768"/>
      <c r="T131" s="768"/>
      <c r="U131" s="768"/>
      <c r="V131" s="768"/>
      <c r="W131" s="768"/>
      <c r="X131" s="768"/>
      <c r="Y131" s="768"/>
      <c r="Z131" s="768"/>
      <c r="AA131" s="63"/>
      <c r="AB131" s="63"/>
      <c r="AC131" s="63"/>
    </row>
    <row r="132" spans="1:68" ht="37.5" customHeight="1" x14ac:dyDescent="0.25">
      <c r="A132" s="60" t="s">
        <v>260</v>
      </c>
      <c r="B132" s="60" t="s">
        <v>261</v>
      </c>
      <c r="C132" s="34">
        <v>4301060356</v>
      </c>
      <c r="D132" s="769">
        <v>4680115882652</v>
      </c>
      <c r="E132" s="769"/>
      <c r="F132" s="59">
        <v>0.33</v>
      </c>
      <c r="G132" s="35">
        <v>6</v>
      </c>
      <c r="H132" s="59">
        <v>1.98</v>
      </c>
      <c r="I132" s="59">
        <v>2.82</v>
      </c>
      <c r="J132" s="35">
        <v>182</v>
      </c>
      <c r="K132" s="35" t="s">
        <v>83</v>
      </c>
      <c r="L132" s="35" t="s">
        <v>45</v>
      </c>
      <c r="M132" s="36" t="s">
        <v>82</v>
      </c>
      <c r="N132" s="36"/>
      <c r="O132" s="35">
        <v>40</v>
      </c>
      <c r="P132" s="104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2" s="771"/>
      <c r="R132" s="771"/>
      <c r="S132" s="771"/>
      <c r="T132" s="772"/>
      <c r="U132" s="37" t="s">
        <v>45</v>
      </c>
      <c r="V132" s="37" t="s">
        <v>45</v>
      </c>
      <c r="W132" s="38" t="s">
        <v>0</v>
      </c>
      <c r="X132" s="56">
        <v>0</v>
      </c>
      <c r="Y132" s="53">
        <f>IFERROR(IF(X132="",0,CEILING((X132/$H132),1)*$H132),"")</f>
        <v>0</v>
      </c>
      <c r="Z132" s="39" t="str">
        <f>IFERROR(IF(Y132=0,"",ROUNDUP(Y132/H132,0)*0.00651),"")</f>
        <v/>
      </c>
      <c r="AA132" s="65" t="s">
        <v>45</v>
      </c>
      <c r="AB132" s="66" t="s">
        <v>45</v>
      </c>
      <c r="AC132" s="207" t="s">
        <v>262</v>
      </c>
      <c r="AG132" s="75"/>
      <c r="AJ132" s="79" t="s">
        <v>45</v>
      </c>
      <c r="AK132" s="79">
        <v>0</v>
      </c>
      <c r="BB132" s="208" t="s">
        <v>66</v>
      </c>
      <c r="BM132" s="75">
        <f>IFERROR(X132*I132/H132,"0")</f>
        <v>0</v>
      </c>
      <c r="BN132" s="75">
        <f>IFERROR(Y132*I132/H132,"0")</f>
        <v>0</v>
      </c>
      <c r="BO132" s="75">
        <f>IFERROR(1/J132*(X132/H132),"0")</f>
        <v>0</v>
      </c>
      <c r="BP132" s="75">
        <f>IFERROR(1/J132*(Y132/H132),"0")</f>
        <v>0</v>
      </c>
    </row>
    <row r="133" spans="1:68" ht="27" customHeight="1" x14ac:dyDescent="0.25">
      <c r="A133" s="60" t="s">
        <v>263</v>
      </c>
      <c r="B133" s="60" t="s">
        <v>264</v>
      </c>
      <c r="C133" s="34">
        <v>4301060317</v>
      </c>
      <c r="D133" s="769">
        <v>4680115880238</v>
      </c>
      <c r="E133" s="769"/>
      <c r="F133" s="59">
        <v>0.33</v>
      </c>
      <c r="G133" s="35">
        <v>6</v>
      </c>
      <c r="H133" s="59">
        <v>1.98</v>
      </c>
      <c r="I133" s="59">
        <v>2.238</v>
      </c>
      <c r="J133" s="35">
        <v>182</v>
      </c>
      <c r="K133" s="35" t="s">
        <v>83</v>
      </c>
      <c r="L133" s="35" t="s">
        <v>45</v>
      </c>
      <c r="M133" s="36" t="s">
        <v>106</v>
      </c>
      <c r="N133" s="36"/>
      <c r="O133" s="35">
        <v>40</v>
      </c>
      <c r="P133" s="104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3" s="771"/>
      <c r="R133" s="771"/>
      <c r="S133" s="771"/>
      <c r="T133" s="772"/>
      <c r="U133" s="37" t="s">
        <v>45</v>
      </c>
      <c r="V133" s="37" t="s">
        <v>45</v>
      </c>
      <c r="W133" s="38" t="s">
        <v>0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 t="s">
        <v>45</v>
      </c>
      <c r="AB133" s="66" t="s">
        <v>45</v>
      </c>
      <c r="AC133" s="209" t="s">
        <v>265</v>
      </c>
      <c r="AG133" s="75"/>
      <c r="AJ133" s="79" t="s">
        <v>45</v>
      </c>
      <c r="AK133" s="79">
        <v>0</v>
      </c>
      <c r="BB133" s="210" t="s">
        <v>66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x14ac:dyDescent="0.2">
      <c r="A134" s="759"/>
      <c r="B134" s="759"/>
      <c r="C134" s="759"/>
      <c r="D134" s="759"/>
      <c r="E134" s="759"/>
      <c r="F134" s="759"/>
      <c r="G134" s="759"/>
      <c r="H134" s="759"/>
      <c r="I134" s="759"/>
      <c r="J134" s="759"/>
      <c r="K134" s="759"/>
      <c r="L134" s="759"/>
      <c r="M134" s="759"/>
      <c r="N134" s="759"/>
      <c r="O134" s="767"/>
      <c r="P134" s="764" t="s">
        <v>40</v>
      </c>
      <c r="Q134" s="765"/>
      <c r="R134" s="765"/>
      <c r="S134" s="765"/>
      <c r="T134" s="765"/>
      <c r="U134" s="765"/>
      <c r="V134" s="766"/>
      <c r="W134" s="40" t="s">
        <v>39</v>
      </c>
      <c r="X134" s="41">
        <f>IFERROR(X132/H132,"0")+IFERROR(X133/H133,"0")</f>
        <v>0</v>
      </c>
      <c r="Y134" s="41">
        <f>IFERROR(Y132/H132,"0")+IFERROR(Y133/H133,"0")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x14ac:dyDescent="0.2">
      <c r="A135" s="759"/>
      <c r="B135" s="759"/>
      <c r="C135" s="759"/>
      <c r="D135" s="759"/>
      <c r="E135" s="759"/>
      <c r="F135" s="759"/>
      <c r="G135" s="759"/>
      <c r="H135" s="759"/>
      <c r="I135" s="759"/>
      <c r="J135" s="759"/>
      <c r="K135" s="759"/>
      <c r="L135" s="759"/>
      <c r="M135" s="759"/>
      <c r="N135" s="759"/>
      <c r="O135" s="767"/>
      <c r="P135" s="764" t="s">
        <v>40</v>
      </c>
      <c r="Q135" s="765"/>
      <c r="R135" s="765"/>
      <c r="S135" s="765"/>
      <c r="T135" s="765"/>
      <c r="U135" s="765"/>
      <c r="V135" s="766"/>
      <c r="W135" s="40" t="s">
        <v>0</v>
      </c>
      <c r="X135" s="41">
        <f>IFERROR(SUM(X132:X133),"0")</f>
        <v>0</v>
      </c>
      <c r="Y135" s="41">
        <f>IFERROR(SUM(Y132:Y133),"0")</f>
        <v>0</v>
      </c>
      <c r="Z135" s="40"/>
      <c r="AA135" s="64"/>
      <c r="AB135" s="64"/>
      <c r="AC135" s="64"/>
    </row>
    <row r="136" spans="1:68" ht="16.5" customHeight="1" x14ac:dyDescent="0.25">
      <c r="A136" s="776" t="s">
        <v>266</v>
      </c>
      <c r="B136" s="776"/>
      <c r="C136" s="776"/>
      <c r="D136" s="776"/>
      <c r="E136" s="776"/>
      <c r="F136" s="776"/>
      <c r="G136" s="776"/>
      <c r="H136" s="776"/>
      <c r="I136" s="776"/>
      <c r="J136" s="776"/>
      <c r="K136" s="776"/>
      <c r="L136" s="776"/>
      <c r="M136" s="776"/>
      <c r="N136" s="776"/>
      <c r="O136" s="776"/>
      <c r="P136" s="776"/>
      <c r="Q136" s="776"/>
      <c r="R136" s="776"/>
      <c r="S136" s="776"/>
      <c r="T136" s="776"/>
      <c r="U136" s="776"/>
      <c r="V136" s="776"/>
      <c r="W136" s="776"/>
      <c r="X136" s="776"/>
      <c r="Y136" s="776"/>
      <c r="Z136" s="776"/>
      <c r="AA136" s="62"/>
      <c r="AB136" s="62"/>
      <c r="AC136" s="62"/>
    </row>
    <row r="137" spans="1:68" ht="14.25" customHeight="1" x14ac:dyDescent="0.25">
      <c r="A137" s="768" t="s">
        <v>101</v>
      </c>
      <c r="B137" s="768"/>
      <c r="C137" s="768"/>
      <c r="D137" s="768"/>
      <c r="E137" s="768"/>
      <c r="F137" s="768"/>
      <c r="G137" s="768"/>
      <c r="H137" s="768"/>
      <c r="I137" s="768"/>
      <c r="J137" s="768"/>
      <c r="K137" s="768"/>
      <c r="L137" s="768"/>
      <c r="M137" s="768"/>
      <c r="N137" s="768"/>
      <c r="O137" s="768"/>
      <c r="P137" s="768"/>
      <c r="Q137" s="768"/>
      <c r="R137" s="768"/>
      <c r="S137" s="768"/>
      <c r="T137" s="768"/>
      <c r="U137" s="768"/>
      <c r="V137" s="768"/>
      <c r="W137" s="768"/>
      <c r="X137" s="768"/>
      <c r="Y137" s="768"/>
      <c r="Z137" s="768"/>
      <c r="AA137" s="63"/>
      <c r="AB137" s="63"/>
      <c r="AC137" s="63"/>
    </row>
    <row r="138" spans="1:68" ht="27" customHeight="1" x14ac:dyDescent="0.25">
      <c r="A138" s="60" t="s">
        <v>267</v>
      </c>
      <c r="B138" s="60" t="s">
        <v>268</v>
      </c>
      <c r="C138" s="34">
        <v>4301011562</v>
      </c>
      <c r="D138" s="769">
        <v>4680115882577</v>
      </c>
      <c r="E138" s="769"/>
      <c r="F138" s="59">
        <v>0.4</v>
      </c>
      <c r="G138" s="35">
        <v>8</v>
      </c>
      <c r="H138" s="59">
        <v>3.2</v>
      </c>
      <c r="I138" s="59">
        <v>3.38</v>
      </c>
      <c r="J138" s="35">
        <v>182</v>
      </c>
      <c r="K138" s="35" t="s">
        <v>83</v>
      </c>
      <c r="L138" s="35" t="s">
        <v>45</v>
      </c>
      <c r="M138" s="36" t="s">
        <v>98</v>
      </c>
      <c r="N138" s="36"/>
      <c r="O138" s="35">
        <v>90</v>
      </c>
      <c r="P138" s="104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8" s="771"/>
      <c r="R138" s="771"/>
      <c r="S138" s="771"/>
      <c r="T138" s="772"/>
      <c r="U138" s="37" t="s">
        <v>45</v>
      </c>
      <c r="V138" s="37" t="s">
        <v>45</v>
      </c>
      <c r="W138" s="38" t="s">
        <v>0</v>
      </c>
      <c r="X138" s="56">
        <v>16</v>
      </c>
      <c r="Y138" s="53">
        <f>IFERROR(IF(X138="",0,CEILING((X138/$H138),1)*$H138),"")</f>
        <v>16</v>
      </c>
      <c r="Z138" s="39">
        <f>IFERROR(IF(Y138=0,"",ROUNDUP(Y138/H138,0)*0.00651),"")</f>
        <v>3.2550000000000003E-2</v>
      </c>
      <c r="AA138" s="65" t="s">
        <v>45</v>
      </c>
      <c r="AB138" s="66" t="s">
        <v>45</v>
      </c>
      <c r="AC138" s="211" t="s">
        <v>269</v>
      </c>
      <c r="AG138" s="75"/>
      <c r="AJ138" s="79" t="s">
        <v>45</v>
      </c>
      <c r="AK138" s="79">
        <v>0</v>
      </c>
      <c r="BB138" s="212" t="s">
        <v>66</v>
      </c>
      <c r="BM138" s="75">
        <f>IFERROR(X138*I138/H138,"0")</f>
        <v>16.899999999999999</v>
      </c>
      <c r="BN138" s="75">
        <f>IFERROR(Y138*I138/H138,"0")</f>
        <v>16.899999999999999</v>
      </c>
      <c r="BO138" s="75">
        <f>IFERROR(1/J138*(X138/H138),"0")</f>
        <v>2.7472527472527476E-2</v>
      </c>
      <c r="BP138" s="75">
        <f>IFERROR(1/J138*(Y138/H138),"0")</f>
        <v>2.7472527472527476E-2</v>
      </c>
    </row>
    <row r="139" spans="1:68" ht="27" customHeight="1" x14ac:dyDescent="0.25">
      <c r="A139" s="60" t="s">
        <v>267</v>
      </c>
      <c r="B139" s="60" t="s">
        <v>270</v>
      </c>
      <c r="C139" s="34">
        <v>4301011564</v>
      </c>
      <c r="D139" s="769">
        <v>4680115882577</v>
      </c>
      <c r="E139" s="769"/>
      <c r="F139" s="59">
        <v>0.4</v>
      </c>
      <c r="G139" s="35">
        <v>8</v>
      </c>
      <c r="H139" s="59">
        <v>3.2</v>
      </c>
      <c r="I139" s="59">
        <v>3.38</v>
      </c>
      <c r="J139" s="35">
        <v>182</v>
      </c>
      <c r="K139" s="35" t="s">
        <v>83</v>
      </c>
      <c r="L139" s="35" t="s">
        <v>45</v>
      </c>
      <c r="M139" s="36" t="s">
        <v>98</v>
      </c>
      <c r="N139" s="36"/>
      <c r="O139" s="35">
        <v>90</v>
      </c>
      <c r="P139" s="10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9" s="771"/>
      <c r="R139" s="771"/>
      <c r="S139" s="771"/>
      <c r="T139" s="772"/>
      <c r="U139" s="37" t="s">
        <v>45</v>
      </c>
      <c r="V139" s="37" t="s">
        <v>45</v>
      </c>
      <c r="W139" s="38" t="s">
        <v>0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 t="s">
        <v>45</v>
      </c>
      <c r="AB139" s="66" t="s">
        <v>45</v>
      </c>
      <c r="AC139" s="213" t="s">
        <v>269</v>
      </c>
      <c r="AG139" s="75"/>
      <c r="AJ139" s="79" t="s">
        <v>45</v>
      </c>
      <c r="AK139" s="79">
        <v>0</v>
      </c>
      <c r="BB139" s="214" t="s">
        <v>66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x14ac:dyDescent="0.2">
      <c r="A140" s="759"/>
      <c r="B140" s="759"/>
      <c r="C140" s="759"/>
      <c r="D140" s="759"/>
      <c r="E140" s="759"/>
      <c r="F140" s="759"/>
      <c r="G140" s="759"/>
      <c r="H140" s="759"/>
      <c r="I140" s="759"/>
      <c r="J140" s="759"/>
      <c r="K140" s="759"/>
      <c r="L140" s="759"/>
      <c r="M140" s="759"/>
      <c r="N140" s="759"/>
      <c r="O140" s="767"/>
      <c r="P140" s="764" t="s">
        <v>40</v>
      </c>
      <c r="Q140" s="765"/>
      <c r="R140" s="765"/>
      <c r="S140" s="765"/>
      <c r="T140" s="765"/>
      <c r="U140" s="765"/>
      <c r="V140" s="766"/>
      <c r="W140" s="40" t="s">
        <v>39</v>
      </c>
      <c r="X140" s="41">
        <f>IFERROR(X138/H138,"0")+IFERROR(X139/H139,"0")</f>
        <v>5</v>
      </c>
      <c r="Y140" s="41">
        <f>IFERROR(Y138/H138,"0")+IFERROR(Y139/H139,"0")</f>
        <v>5</v>
      </c>
      <c r="Z140" s="41">
        <f>IFERROR(IF(Z138="",0,Z138),"0")+IFERROR(IF(Z139="",0,Z139),"0")</f>
        <v>3.2550000000000003E-2</v>
      </c>
      <c r="AA140" s="64"/>
      <c r="AB140" s="64"/>
      <c r="AC140" s="64"/>
    </row>
    <row r="141" spans="1:68" x14ac:dyDescent="0.2">
      <c r="A141" s="759"/>
      <c r="B141" s="759"/>
      <c r="C141" s="759"/>
      <c r="D141" s="759"/>
      <c r="E141" s="759"/>
      <c r="F141" s="759"/>
      <c r="G141" s="759"/>
      <c r="H141" s="759"/>
      <c r="I141" s="759"/>
      <c r="J141" s="759"/>
      <c r="K141" s="759"/>
      <c r="L141" s="759"/>
      <c r="M141" s="759"/>
      <c r="N141" s="759"/>
      <c r="O141" s="767"/>
      <c r="P141" s="764" t="s">
        <v>40</v>
      </c>
      <c r="Q141" s="765"/>
      <c r="R141" s="765"/>
      <c r="S141" s="765"/>
      <c r="T141" s="765"/>
      <c r="U141" s="765"/>
      <c r="V141" s="766"/>
      <c r="W141" s="40" t="s">
        <v>0</v>
      </c>
      <c r="X141" s="41">
        <f>IFERROR(SUM(X138:X139),"0")</f>
        <v>16</v>
      </c>
      <c r="Y141" s="41">
        <f>IFERROR(SUM(Y138:Y139),"0")</f>
        <v>16</v>
      </c>
      <c r="Z141" s="40"/>
      <c r="AA141" s="64"/>
      <c r="AB141" s="64"/>
      <c r="AC141" s="64"/>
    </row>
    <row r="142" spans="1:68" ht="14.25" customHeight="1" x14ac:dyDescent="0.25">
      <c r="A142" s="768" t="s">
        <v>164</v>
      </c>
      <c r="B142" s="768"/>
      <c r="C142" s="768"/>
      <c r="D142" s="768"/>
      <c r="E142" s="768"/>
      <c r="F142" s="768"/>
      <c r="G142" s="768"/>
      <c r="H142" s="768"/>
      <c r="I142" s="768"/>
      <c r="J142" s="768"/>
      <c r="K142" s="768"/>
      <c r="L142" s="768"/>
      <c r="M142" s="768"/>
      <c r="N142" s="768"/>
      <c r="O142" s="768"/>
      <c r="P142" s="768"/>
      <c r="Q142" s="768"/>
      <c r="R142" s="768"/>
      <c r="S142" s="768"/>
      <c r="T142" s="768"/>
      <c r="U142" s="768"/>
      <c r="V142" s="768"/>
      <c r="W142" s="768"/>
      <c r="X142" s="768"/>
      <c r="Y142" s="768"/>
      <c r="Z142" s="768"/>
      <c r="AA142" s="63"/>
      <c r="AB142" s="63"/>
      <c r="AC142" s="63"/>
    </row>
    <row r="143" spans="1:68" ht="27" customHeight="1" x14ac:dyDescent="0.25">
      <c r="A143" s="60" t="s">
        <v>271</v>
      </c>
      <c r="B143" s="60" t="s">
        <v>272</v>
      </c>
      <c r="C143" s="34">
        <v>4301031235</v>
      </c>
      <c r="D143" s="769">
        <v>4680115883444</v>
      </c>
      <c r="E143" s="769"/>
      <c r="F143" s="59">
        <v>0.35</v>
      </c>
      <c r="G143" s="35">
        <v>8</v>
      </c>
      <c r="H143" s="59">
        <v>2.8</v>
      </c>
      <c r="I143" s="59">
        <v>3.0680000000000001</v>
      </c>
      <c r="J143" s="35">
        <v>182</v>
      </c>
      <c r="K143" s="35" t="s">
        <v>83</v>
      </c>
      <c r="L143" s="35" t="s">
        <v>45</v>
      </c>
      <c r="M143" s="36" t="s">
        <v>98</v>
      </c>
      <c r="N143" s="36"/>
      <c r="O143" s="35">
        <v>90</v>
      </c>
      <c r="P143" s="1040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3" s="771"/>
      <c r="R143" s="771"/>
      <c r="S143" s="771"/>
      <c r="T143" s="772"/>
      <c r="U143" s="37" t="s">
        <v>45</v>
      </c>
      <c r="V143" s="37" t="s">
        <v>45</v>
      </c>
      <c r="W143" s="38" t="s">
        <v>0</v>
      </c>
      <c r="X143" s="56">
        <v>120</v>
      </c>
      <c r="Y143" s="53">
        <f>IFERROR(IF(X143="",0,CEILING((X143/$H143),1)*$H143),"")</f>
        <v>120.39999999999999</v>
      </c>
      <c r="Z143" s="39">
        <f>IFERROR(IF(Y143=0,"",ROUNDUP(Y143/H143,0)*0.00651),"")</f>
        <v>0.27993000000000001</v>
      </c>
      <c r="AA143" s="65" t="s">
        <v>45</v>
      </c>
      <c r="AB143" s="66" t="s">
        <v>45</v>
      </c>
      <c r="AC143" s="215" t="s">
        <v>273</v>
      </c>
      <c r="AG143" s="75"/>
      <c r="AJ143" s="79" t="s">
        <v>45</v>
      </c>
      <c r="AK143" s="79">
        <v>0</v>
      </c>
      <c r="BB143" s="216" t="s">
        <v>66</v>
      </c>
      <c r="BM143" s="75">
        <f>IFERROR(X143*I143/H143,"0")</f>
        <v>131.48571428571429</v>
      </c>
      <c r="BN143" s="75">
        <f>IFERROR(Y143*I143/H143,"0")</f>
        <v>131.92400000000001</v>
      </c>
      <c r="BO143" s="75">
        <f>IFERROR(1/J143*(X143/H143),"0")</f>
        <v>0.23547880690737838</v>
      </c>
      <c r="BP143" s="75">
        <f>IFERROR(1/J143*(Y143/H143),"0")</f>
        <v>0.23626373626373628</v>
      </c>
    </row>
    <row r="144" spans="1:68" ht="27" customHeight="1" x14ac:dyDescent="0.25">
      <c r="A144" s="60" t="s">
        <v>271</v>
      </c>
      <c r="B144" s="60" t="s">
        <v>274</v>
      </c>
      <c r="C144" s="34">
        <v>4301031234</v>
      </c>
      <c r="D144" s="769">
        <v>4680115883444</v>
      </c>
      <c r="E144" s="769"/>
      <c r="F144" s="59">
        <v>0.35</v>
      </c>
      <c r="G144" s="35">
        <v>8</v>
      </c>
      <c r="H144" s="59">
        <v>2.8</v>
      </c>
      <c r="I144" s="59">
        <v>3.0680000000000001</v>
      </c>
      <c r="J144" s="35">
        <v>182</v>
      </c>
      <c r="K144" s="35" t="s">
        <v>83</v>
      </c>
      <c r="L144" s="35" t="s">
        <v>45</v>
      </c>
      <c r="M144" s="36" t="s">
        <v>98</v>
      </c>
      <c r="N144" s="36"/>
      <c r="O144" s="35">
        <v>90</v>
      </c>
      <c r="P144" s="1041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4" s="771"/>
      <c r="R144" s="771"/>
      <c r="S144" s="771"/>
      <c r="T144" s="772"/>
      <c r="U144" s="37" t="s">
        <v>45</v>
      </c>
      <c r="V144" s="37" t="s">
        <v>45</v>
      </c>
      <c r="W144" s="38" t="s">
        <v>0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 t="s">
        <v>45</v>
      </c>
      <c r="AB144" s="66" t="s">
        <v>45</v>
      </c>
      <c r="AC144" s="217" t="s">
        <v>273</v>
      </c>
      <c r="AG144" s="75"/>
      <c r="AJ144" s="79" t="s">
        <v>45</v>
      </c>
      <c r="AK144" s="79">
        <v>0</v>
      </c>
      <c r="BB144" s="218" t="s">
        <v>66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x14ac:dyDescent="0.2">
      <c r="A145" s="759"/>
      <c r="B145" s="759"/>
      <c r="C145" s="759"/>
      <c r="D145" s="759"/>
      <c r="E145" s="759"/>
      <c r="F145" s="759"/>
      <c r="G145" s="759"/>
      <c r="H145" s="759"/>
      <c r="I145" s="759"/>
      <c r="J145" s="759"/>
      <c r="K145" s="759"/>
      <c r="L145" s="759"/>
      <c r="M145" s="759"/>
      <c r="N145" s="759"/>
      <c r="O145" s="767"/>
      <c r="P145" s="764" t="s">
        <v>40</v>
      </c>
      <c r="Q145" s="765"/>
      <c r="R145" s="765"/>
      <c r="S145" s="765"/>
      <c r="T145" s="765"/>
      <c r="U145" s="765"/>
      <c r="V145" s="766"/>
      <c r="W145" s="40" t="s">
        <v>39</v>
      </c>
      <c r="X145" s="41">
        <f>IFERROR(X143/H143,"0")+IFERROR(X144/H144,"0")</f>
        <v>42.857142857142861</v>
      </c>
      <c r="Y145" s="41">
        <f>IFERROR(Y143/H143,"0")+IFERROR(Y144/H144,"0")</f>
        <v>43</v>
      </c>
      <c r="Z145" s="41">
        <f>IFERROR(IF(Z143="",0,Z143),"0")+IFERROR(IF(Z144="",0,Z144),"0")</f>
        <v>0.27993000000000001</v>
      </c>
      <c r="AA145" s="64"/>
      <c r="AB145" s="64"/>
      <c r="AC145" s="64"/>
    </row>
    <row r="146" spans="1:68" x14ac:dyDescent="0.2">
      <c r="A146" s="759"/>
      <c r="B146" s="759"/>
      <c r="C146" s="759"/>
      <c r="D146" s="759"/>
      <c r="E146" s="759"/>
      <c r="F146" s="759"/>
      <c r="G146" s="759"/>
      <c r="H146" s="759"/>
      <c r="I146" s="759"/>
      <c r="J146" s="759"/>
      <c r="K146" s="759"/>
      <c r="L146" s="759"/>
      <c r="M146" s="759"/>
      <c r="N146" s="759"/>
      <c r="O146" s="767"/>
      <c r="P146" s="764" t="s">
        <v>40</v>
      </c>
      <c r="Q146" s="765"/>
      <c r="R146" s="765"/>
      <c r="S146" s="765"/>
      <c r="T146" s="765"/>
      <c r="U146" s="765"/>
      <c r="V146" s="766"/>
      <c r="W146" s="40" t="s">
        <v>0</v>
      </c>
      <c r="X146" s="41">
        <f>IFERROR(SUM(X143:X144),"0")</f>
        <v>120</v>
      </c>
      <c r="Y146" s="41">
        <f>IFERROR(SUM(Y143:Y144),"0")</f>
        <v>120.39999999999999</v>
      </c>
      <c r="Z146" s="40"/>
      <c r="AA146" s="64"/>
      <c r="AB146" s="64"/>
      <c r="AC146" s="64"/>
    </row>
    <row r="147" spans="1:68" ht="14.25" customHeight="1" x14ac:dyDescent="0.25">
      <c r="A147" s="768" t="s">
        <v>78</v>
      </c>
      <c r="B147" s="768"/>
      <c r="C147" s="768"/>
      <c r="D147" s="768"/>
      <c r="E147" s="768"/>
      <c r="F147" s="768"/>
      <c r="G147" s="768"/>
      <c r="H147" s="768"/>
      <c r="I147" s="768"/>
      <c r="J147" s="768"/>
      <c r="K147" s="768"/>
      <c r="L147" s="768"/>
      <c r="M147" s="768"/>
      <c r="N147" s="768"/>
      <c r="O147" s="768"/>
      <c r="P147" s="768"/>
      <c r="Q147" s="768"/>
      <c r="R147" s="768"/>
      <c r="S147" s="768"/>
      <c r="T147" s="768"/>
      <c r="U147" s="768"/>
      <c r="V147" s="768"/>
      <c r="W147" s="768"/>
      <c r="X147" s="768"/>
      <c r="Y147" s="768"/>
      <c r="Z147" s="768"/>
      <c r="AA147" s="63"/>
      <c r="AB147" s="63"/>
      <c r="AC147" s="63"/>
    </row>
    <row r="148" spans="1:68" ht="16.5" customHeight="1" x14ac:dyDescent="0.25">
      <c r="A148" s="60" t="s">
        <v>275</v>
      </c>
      <c r="B148" s="60" t="s">
        <v>276</v>
      </c>
      <c r="C148" s="34">
        <v>4301051477</v>
      </c>
      <c r="D148" s="769">
        <v>4680115882584</v>
      </c>
      <c r="E148" s="769"/>
      <c r="F148" s="59">
        <v>0.33</v>
      </c>
      <c r="G148" s="35">
        <v>8</v>
      </c>
      <c r="H148" s="59">
        <v>2.64</v>
      </c>
      <c r="I148" s="59">
        <v>2.9079999999999999</v>
      </c>
      <c r="J148" s="35">
        <v>182</v>
      </c>
      <c r="K148" s="35" t="s">
        <v>83</v>
      </c>
      <c r="L148" s="35" t="s">
        <v>45</v>
      </c>
      <c r="M148" s="36" t="s">
        <v>98</v>
      </c>
      <c r="N148" s="36"/>
      <c r="O148" s="35">
        <v>60</v>
      </c>
      <c r="P148" s="1042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8" s="771"/>
      <c r="R148" s="771"/>
      <c r="S148" s="771"/>
      <c r="T148" s="772"/>
      <c r="U148" s="37" t="s">
        <v>45</v>
      </c>
      <c r="V148" s="37" t="s">
        <v>45</v>
      </c>
      <c r="W148" s="38" t="s">
        <v>0</v>
      </c>
      <c r="X148" s="56">
        <v>13</v>
      </c>
      <c r="Y148" s="53">
        <f>IFERROR(IF(X148="",0,CEILING((X148/$H148),1)*$H148),"")</f>
        <v>13.200000000000001</v>
      </c>
      <c r="Z148" s="39">
        <f>IFERROR(IF(Y148=0,"",ROUNDUP(Y148/H148,0)*0.00651),"")</f>
        <v>3.2550000000000003E-2</v>
      </c>
      <c r="AA148" s="65" t="s">
        <v>45</v>
      </c>
      <c r="AB148" s="66" t="s">
        <v>45</v>
      </c>
      <c r="AC148" s="219" t="s">
        <v>269</v>
      </c>
      <c r="AG148" s="75"/>
      <c r="AJ148" s="79" t="s">
        <v>45</v>
      </c>
      <c r="AK148" s="79">
        <v>0</v>
      </c>
      <c r="BB148" s="220" t="s">
        <v>66</v>
      </c>
      <c r="BM148" s="75">
        <f>IFERROR(X148*I148/H148,"0")</f>
        <v>14.31969696969697</v>
      </c>
      <c r="BN148" s="75">
        <f>IFERROR(Y148*I148/H148,"0")</f>
        <v>14.540000000000001</v>
      </c>
      <c r="BO148" s="75">
        <f>IFERROR(1/J148*(X148/H148),"0")</f>
        <v>2.7056277056277056E-2</v>
      </c>
      <c r="BP148" s="75">
        <f>IFERROR(1/J148*(Y148/H148),"0")</f>
        <v>2.7472527472527476E-2</v>
      </c>
    </row>
    <row r="149" spans="1:68" ht="16.5" customHeight="1" x14ac:dyDescent="0.25">
      <c r="A149" s="60" t="s">
        <v>275</v>
      </c>
      <c r="B149" s="60" t="s">
        <v>277</v>
      </c>
      <c r="C149" s="34">
        <v>4301051476</v>
      </c>
      <c r="D149" s="769">
        <v>4680115882584</v>
      </c>
      <c r="E149" s="769"/>
      <c r="F149" s="59">
        <v>0.33</v>
      </c>
      <c r="G149" s="35">
        <v>8</v>
      </c>
      <c r="H149" s="59">
        <v>2.64</v>
      </c>
      <c r="I149" s="59">
        <v>2.9079999999999999</v>
      </c>
      <c r="J149" s="35">
        <v>182</v>
      </c>
      <c r="K149" s="35" t="s">
        <v>83</v>
      </c>
      <c r="L149" s="35" t="s">
        <v>45</v>
      </c>
      <c r="M149" s="36" t="s">
        <v>98</v>
      </c>
      <c r="N149" s="36"/>
      <c r="O149" s="35">
        <v>60</v>
      </c>
      <c r="P149" s="104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9" s="771"/>
      <c r="R149" s="771"/>
      <c r="S149" s="771"/>
      <c r="T149" s="772"/>
      <c r="U149" s="37" t="s">
        <v>45</v>
      </c>
      <c r="V149" s="37" t="s">
        <v>45</v>
      </c>
      <c r="W149" s="38" t="s">
        <v>0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IFERROR(IF(Y149=0,"",ROUNDUP(Y149/H149,0)*0.00651),"")</f>
        <v/>
      </c>
      <c r="AA149" s="65" t="s">
        <v>45</v>
      </c>
      <c r="AB149" s="66" t="s">
        <v>45</v>
      </c>
      <c r="AC149" s="221" t="s">
        <v>269</v>
      </c>
      <c r="AG149" s="75"/>
      <c r="AJ149" s="79" t="s">
        <v>45</v>
      </c>
      <c r="AK149" s="79">
        <v>0</v>
      </c>
      <c r="BB149" s="222" t="s">
        <v>66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x14ac:dyDescent="0.2">
      <c r="A150" s="759"/>
      <c r="B150" s="759"/>
      <c r="C150" s="759"/>
      <c r="D150" s="759"/>
      <c r="E150" s="759"/>
      <c r="F150" s="759"/>
      <c r="G150" s="759"/>
      <c r="H150" s="759"/>
      <c r="I150" s="759"/>
      <c r="J150" s="759"/>
      <c r="K150" s="759"/>
      <c r="L150" s="759"/>
      <c r="M150" s="759"/>
      <c r="N150" s="759"/>
      <c r="O150" s="767"/>
      <c r="P150" s="764" t="s">
        <v>40</v>
      </c>
      <c r="Q150" s="765"/>
      <c r="R150" s="765"/>
      <c r="S150" s="765"/>
      <c r="T150" s="765"/>
      <c r="U150" s="765"/>
      <c r="V150" s="766"/>
      <c r="W150" s="40" t="s">
        <v>39</v>
      </c>
      <c r="X150" s="41">
        <f>IFERROR(X148/H148,"0")+IFERROR(X149/H149,"0")</f>
        <v>4.9242424242424239</v>
      </c>
      <c r="Y150" s="41">
        <f>IFERROR(Y148/H148,"0")+IFERROR(Y149/H149,"0")</f>
        <v>5</v>
      </c>
      <c r="Z150" s="41">
        <f>IFERROR(IF(Z148="",0,Z148),"0")+IFERROR(IF(Z149="",0,Z149),"0")</f>
        <v>3.2550000000000003E-2</v>
      </c>
      <c r="AA150" s="64"/>
      <c r="AB150" s="64"/>
      <c r="AC150" s="64"/>
    </row>
    <row r="151" spans="1:68" x14ac:dyDescent="0.2">
      <c r="A151" s="759"/>
      <c r="B151" s="759"/>
      <c r="C151" s="759"/>
      <c r="D151" s="759"/>
      <c r="E151" s="759"/>
      <c r="F151" s="759"/>
      <c r="G151" s="759"/>
      <c r="H151" s="759"/>
      <c r="I151" s="759"/>
      <c r="J151" s="759"/>
      <c r="K151" s="759"/>
      <c r="L151" s="759"/>
      <c r="M151" s="759"/>
      <c r="N151" s="759"/>
      <c r="O151" s="767"/>
      <c r="P151" s="764" t="s">
        <v>40</v>
      </c>
      <c r="Q151" s="765"/>
      <c r="R151" s="765"/>
      <c r="S151" s="765"/>
      <c r="T151" s="765"/>
      <c r="U151" s="765"/>
      <c r="V151" s="766"/>
      <c r="W151" s="40" t="s">
        <v>0</v>
      </c>
      <c r="X151" s="41">
        <f>IFERROR(SUM(X148:X149),"0")</f>
        <v>13</v>
      </c>
      <c r="Y151" s="41">
        <f>IFERROR(SUM(Y148:Y149),"0")</f>
        <v>13.200000000000001</v>
      </c>
      <c r="Z151" s="40"/>
      <c r="AA151" s="64"/>
      <c r="AB151" s="64"/>
      <c r="AC151" s="64"/>
    </row>
    <row r="152" spans="1:68" ht="16.5" customHeight="1" x14ac:dyDescent="0.25">
      <c r="A152" s="776" t="s">
        <v>99</v>
      </c>
      <c r="B152" s="776"/>
      <c r="C152" s="776"/>
      <c r="D152" s="776"/>
      <c r="E152" s="776"/>
      <c r="F152" s="776"/>
      <c r="G152" s="776"/>
      <c r="H152" s="776"/>
      <c r="I152" s="776"/>
      <c r="J152" s="776"/>
      <c r="K152" s="776"/>
      <c r="L152" s="776"/>
      <c r="M152" s="776"/>
      <c r="N152" s="776"/>
      <c r="O152" s="776"/>
      <c r="P152" s="776"/>
      <c r="Q152" s="776"/>
      <c r="R152" s="776"/>
      <c r="S152" s="776"/>
      <c r="T152" s="776"/>
      <c r="U152" s="776"/>
      <c r="V152" s="776"/>
      <c r="W152" s="776"/>
      <c r="X152" s="776"/>
      <c r="Y152" s="776"/>
      <c r="Z152" s="776"/>
      <c r="AA152" s="62"/>
      <c r="AB152" s="62"/>
      <c r="AC152" s="62"/>
    </row>
    <row r="153" spans="1:68" ht="14.25" customHeight="1" x14ac:dyDescent="0.25">
      <c r="A153" s="768" t="s">
        <v>101</v>
      </c>
      <c r="B153" s="768"/>
      <c r="C153" s="768"/>
      <c r="D153" s="768"/>
      <c r="E153" s="768"/>
      <c r="F153" s="768"/>
      <c r="G153" s="768"/>
      <c r="H153" s="768"/>
      <c r="I153" s="768"/>
      <c r="J153" s="768"/>
      <c r="K153" s="768"/>
      <c r="L153" s="768"/>
      <c r="M153" s="768"/>
      <c r="N153" s="768"/>
      <c r="O153" s="768"/>
      <c r="P153" s="768"/>
      <c r="Q153" s="768"/>
      <c r="R153" s="768"/>
      <c r="S153" s="768"/>
      <c r="T153" s="768"/>
      <c r="U153" s="768"/>
      <c r="V153" s="768"/>
      <c r="W153" s="768"/>
      <c r="X153" s="768"/>
      <c r="Y153" s="768"/>
      <c r="Z153" s="768"/>
      <c r="AA153" s="63"/>
      <c r="AB153" s="63"/>
      <c r="AC153" s="63"/>
    </row>
    <row r="154" spans="1:68" ht="27" customHeight="1" x14ac:dyDescent="0.25">
      <c r="A154" s="60" t="s">
        <v>278</v>
      </c>
      <c r="B154" s="60" t="s">
        <v>279</v>
      </c>
      <c r="C154" s="34">
        <v>4301011705</v>
      </c>
      <c r="D154" s="769">
        <v>4607091384604</v>
      </c>
      <c r="E154" s="769"/>
      <c r="F154" s="59">
        <v>0.4</v>
      </c>
      <c r="G154" s="35">
        <v>10</v>
      </c>
      <c r="H154" s="59">
        <v>4</v>
      </c>
      <c r="I154" s="59">
        <v>4.21</v>
      </c>
      <c r="J154" s="35">
        <v>132</v>
      </c>
      <c r="K154" s="35" t="s">
        <v>116</v>
      </c>
      <c r="L154" s="35" t="s">
        <v>45</v>
      </c>
      <c r="M154" s="36" t="s">
        <v>110</v>
      </c>
      <c r="N154" s="36"/>
      <c r="O154" s="35">
        <v>50</v>
      </c>
      <c r="P154" s="103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4" s="771"/>
      <c r="R154" s="771"/>
      <c r="S154" s="771"/>
      <c r="T154" s="772"/>
      <c r="U154" s="37" t="s">
        <v>45</v>
      </c>
      <c r="V154" s="37" t="s">
        <v>45</v>
      </c>
      <c r="W154" s="38" t="s">
        <v>0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IFERROR(IF(Y154=0,"",ROUNDUP(Y154/H154,0)*0.00902),"")</f>
        <v/>
      </c>
      <c r="AA154" s="65" t="s">
        <v>45</v>
      </c>
      <c r="AB154" s="66" t="s">
        <v>45</v>
      </c>
      <c r="AC154" s="223" t="s">
        <v>280</v>
      </c>
      <c r="AG154" s="75"/>
      <c r="AJ154" s="79" t="s">
        <v>45</v>
      </c>
      <c r="AK154" s="79">
        <v>0</v>
      </c>
      <c r="BB154" s="224" t="s">
        <v>66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x14ac:dyDescent="0.2">
      <c r="A155" s="759"/>
      <c r="B155" s="759"/>
      <c r="C155" s="759"/>
      <c r="D155" s="759"/>
      <c r="E155" s="759"/>
      <c r="F155" s="759"/>
      <c r="G155" s="759"/>
      <c r="H155" s="759"/>
      <c r="I155" s="759"/>
      <c r="J155" s="759"/>
      <c r="K155" s="759"/>
      <c r="L155" s="759"/>
      <c r="M155" s="759"/>
      <c r="N155" s="759"/>
      <c r="O155" s="767"/>
      <c r="P155" s="764" t="s">
        <v>40</v>
      </c>
      <c r="Q155" s="765"/>
      <c r="R155" s="765"/>
      <c r="S155" s="765"/>
      <c r="T155" s="765"/>
      <c r="U155" s="765"/>
      <c r="V155" s="766"/>
      <c r="W155" s="40" t="s">
        <v>39</v>
      </c>
      <c r="X155" s="41">
        <f>IFERROR(X154/H154,"0")</f>
        <v>0</v>
      </c>
      <c r="Y155" s="41">
        <f>IFERROR(Y154/H154,"0")</f>
        <v>0</v>
      </c>
      <c r="Z155" s="41">
        <f>IFERROR(IF(Z154="",0,Z154),"0")</f>
        <v>0</v>
      </c>
      <c r="AA155" s="64"/>
      <c r="AB155" s="64"/>
      <c r="AC155" s="64"/>
    </row>
    <row r="156" spans="1:68" x14ac:dyDescent="0.2">
      <c r="A156" s="759"/>
      <c r="B156" s="759"/>
      <c r="C156" s="759"/>
      <c r="D156" s="759"/>
      <c r="E156" s="759"/>
      <c r="F156" s="759"/>
      <c r="G156" s="759"/>
      <c r="H156" s="759"/>
      <c r="I156" s="759"/>
      <c r="J156" s="759"/>
      <c r="K156" s="759"/>
      <c r="L156" s="759"/>
      <c r="M156" s="759"/>
      <c r="N156" s="759"/>
      <c r="O156" s="767"/>
      <c r="P156" s="764" t="s">
        <v>40</v>
      </c>
      <c r="Q156" s="765"/>
      <c r="R156" s="765"/>
      <c r="S156" s="765"/>
      <c r="T156" s="765"/>
      <c r="U156" s="765"/>
      <c r="V156" s="766"/>
      <c r="W156" s="40" t="s">
        <v>0</v>
      </c>
      <c r="X156" s="41">
        <f>IFERROR(SUM(X154:X154),"0")</f>
        <v>0</v>
      </c>
      <c r="Y156" s="41">
        <f>IFERROR(SUM(Y154:Y154),"0")</f>
        <v>0</v>
      </c>
      <c r="Z156" s="40"/>
      <c r="AA156" s="64"/>
      <c r="AB156" s="64"/>
      <c r="AC156" s="64"/>
    </row>
    <row r="157" spans="1:68" ht="14.25" customHeight="1" x14ac:dyDescent="0.25">
      <c r="A157" s="768" t="s">
        <v>164</v>
      </c>
      <c r="B157" s="768"/>
      <c r="C157" s="768"/>
      <c r="D157" s="768"/>
      <c r="E157" s="768"/>
      <c r="F157" s="768"/>
      <c r="G157" s="768"/>
      <c r="H157" s="768"/>
      <c r="I157" s="768"/>
      <c r="J157" s="768"/>
      <c r="K157" s="768"/>
      <c r="L157" s="768"/>
      <c r="M157" s="768"/>
      <c r="N157" s="768"/>
      <c r="O157" s="768"/>
      <c r="P157" s="768"/>
      <c r="Q157" s="768"/>
      <c r="R157" s="768"/>
      <c r="S157" s="768"/>
      <c r="T157" s="768"/>
      <c r="U157" s="768"/>
      <c r="V157" s="768"/>
      <c r="W157" s="768"/>
      <c r="X157" s="768"/>
      <c r="Y157" s="768"/>
      <c r="Z157" s="768"/>
      <c r="AA157" s="63"/>
      <c r="AB157" s="63"/>
      <c r="AC157" s="63"/>
    </row>
    <row r="158" spans="1:68" ht="16.5" customHeight="1" x14ac:dyDescent="0.25">
      <c r="A158" s="60" t="s">
        <v>281</v>
      </c>
      <c r="B158" s="60" t="s">
        <v>282</v>
      </c>
      <c r="C158" s="34">
        <v>4301030895</v>
      </c>
      <c r="D158" s="769">
        <v>4607091387667</v>
      </c>
      <c r="E158" s="769"/>
      <c r="F158" s="59">
        <v>0.9</v>
      </c>
      <c r="G158" s="35">
        <v>10</v>
      </c>
      <c r="H158" s="59">
        <v>9</v>
      </c>
      <c r="I158" s="59">
        <v>9.5850000000000009</v>
      </c>
      <c r="J158" s="35">
        <v>64</v>
      </c>
      <c r="K158" s="35" t="s">
        <v>107</v>
      </c>
      <c r="L158" s="35" t="s">
        <v>45</v>
      </c>
      <c r="M158" s="36" t="s">
        <v>110</v>
      </c>
      <c r="N158" s="36"/>
      <c r="O158" s="35">
        <v>40</v>
      </c>
      <c r="P158" s="103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8" s="771"/>
      <c r="R158" s="771"/>
      <c r="S158" s="771"/>
      <c r="T158" s="772"/>
      <c r="U158" s="37" t="s">
        <v>45</v>
      </c>
      <c r="V158" s="37" t="s">
        <v>45</v>
      </c>
      <c r="W158" s="38" t="s">
        <v>0</v>
      </c>
      <c r="X158" s="56">
        <v>0</v>
      </c>
      <c r="Y158" s="53">
        <f>IFERROR(IF(X158="",0,CEILING((X158/$H158),1)*$H158),"")</f>
        <v>0</v>
      </c>
      <c r="Z158" s="39" t="str">
        <f>IFERROR(IF(Y158=0,"",ROUNDUP(Y158/H158,0)*0.01898),"")</f>
        <v/>
      </c>
      <c r="AA158" s="65" t="s">
        <v>45</v>
      </c>
      <c r="AB158" s="66" t="s">
        <v>45</v>
      </c>
      <c r="AC158" s="225" t="s">
        <v>283</v>
      </c>
      <c r="AG158" s="75"/>
      <c r="AJ158" s="79" t="s">
        <v>45</v>
      </c>
      <c r="AK158" s="79">
        <v>0</v>
      </c>
      <c r="BB158" s="226" t="s">
        <v>66</v>
      </c>
      <c r="BM158" s="75">
        <f>IFERROR(X158*I158/H158,"0")</f>
        <v>0</v>
      </c>
      <c r="BN158" s="75">
        <f>IFERROR(Y158*I158/H158,"0")</f>
        <v>0</v>
      </c>
      <c r="BO158" s="75">
        <f>IFERROR(1/J158*(X158/H158),"0")</f>
        <v>0</v>
      </c>
      <c r="BP158" s="75">
        <f>IFERROR(1/J158*(Y158/H158),"0")</f>
        <v>0</v>
      </c>
    </row>
    <row r="159" spans="1:68" ht="27" customHeight="1" x14ac:dyDescent="0.25">
      <c r="A159" s="60" t="s">
        <v>284</v>
      </c>
      <c r="B159" s="60" t="s">
        <v>285</v>
      </c>
      <c r="C159" s="34">
        <v>4301030961</v>
      </c>
      <c r="D159" s="769">
        <v>4607091387636</v>
      </c>
      <c r="E159" s="769"/>
      <c r="F159" s="59">
        <v>0.7</v>
      </c>
      <c r="G159" s="35">
        <v>6</v>
      </c>
      <c r="H159" s="59">
        <v>4.2</v>
      </c>
      <c r="I159" s="59">
        <v>4.5</v>
      </c>
      <c r="J159" s="35">
        <v>132</v>
      </c>
      <c r="K159" s="35" t="s">
        <v>116</v>
      </c>
      <c r="L159" s="35" t="s">
        <v>45</v>
      </c>
      <c r="M159" s="36" t="s">
        <v>82</v>
      </c>
      <c r="N159" s="36"/>
      <c r="O159" s="35">
        <v>40</v>
      </c>
      <c r="P159" s="103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9" s="771"/>
      <c r="R159" s="771"/>
      <c r="S159" s="771"/>
      <c r="T159" s="772"/>
      <c r="U159" s="37" t="s">
        <v>45</v>
      </c>
      <c r="V159" s="37" t="s">
        <v>45</v>
      </c>
      <c r="W159" s="38" t="s">
        <v>0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IFERROR(IF(Y159=0,"",ROUNDUP(Y159/H159,0)*0.00902),"")</f>
        <v/>
      </c>
      <c r="AA159" s="65" t="s">
        <v>45</v>
      </c>
      <c r="AB159" s="66" t="s">
        <v>45</v>
      </c>
      <c r="AC159" s="227" t="s">
        <v>286</v>
      </c>
      <c r="AG159" s="75"/>
      <c r="AJ159" s="79" t="s">
        <v>45</v>
      </c>
      <c r="AK159" s="79">
        <v>0</v>
      </c>
      <c r="BB159" s="228" t="s">
        <v>66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t="16.5" customHeight="1" x14ac:dyDescent="0.25">
      <c r="A160" s="60" t="s">
        <v>287</v>
      </c>
      <c r="B160" s="60" t="s">
        <v>288</v>
      </c>
      <c r="C160" s="34">
        <v>4301030963</v>
      </c>
      <c r="D160" s="769">
        <v>4607091382426</v>
      </c>
      <c r="E160" s="769"/>
      <c r="F160" s="59">
        <v>0.9</v>
      </c>
      <c r="G160" s="35">
        <v>10</v>
      </c>
      <c r="H160" s="59">
        <v>9</v>
      </c>
      <c r="I160" s="59">
        <v>9.5850000000000009</v>
      </c>
      <c r="J160" s="35">
        <v>64</v>
      </c>
      <c r="K160" s="35" t="s">
        <v>107</v>
      </c>
      <c r="L160" s="35" t="s">
        <v>45</v>
      </c>
      <c r="M160" s="36" t="s">
        <v>82</v>
      </c>
      <c r="N160" s="36"/>
      <c r="O160" s="35">
        <v>40</v>
      </c>
      <c r="P160" s="1037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60" s="771"/>
      <c r="R160" s="771"/>
      <c r="S160" s="771"/>
      <c r="T160" s="772"/>
      <c r="U160" s="37" t="s">
        <v>45</v>
      </c>
      <c r="V160" s="37" t="s">
        <v>45</v>
      </c>
      <c r="W160" s="38" t="s">
        <v>0</v>
      </c>
      <c r="X160" s="56">
        <v>0</v>
      </c>
      <c r="Y160" s="53">
        <f>IFERROR(IF(X160="",0,CEILING((X160/$H160),1)*$H160),"")</f>
        <v>0</v>
      </c>
      <c r="Z160" s="39" t="str">
        <f>IFERROR(IF(Y160=0,"",ROUNDUP(Y160/H160,0)*0.01898),"")</f>
        <v/>
      </c>
      <c r="AA160" s="65" t="s">
        <v>45</v>
      </c>
      <c r="AB160" s="66" t="s">
        <v>45</v>
      </c>
      <c r="AC160" s="229" t="s">
        <v>289</v>
      </c>
      <c r="AG160" s="75"/>
      <c r="AJ160" s="79" t="s">
        <v>45</v>
      </c>
      <c r="AK160" s="79">
        <v>0</v>
      </c>
      <c r="BB160" s="230" t="s">
        <v>66</v>
      </c>
      <c r="BM160" s="75">
        <f>IFERROR(X160*I160/H160,"0")</f>
        <v>0</v>
      </c>
      <c r="BN160" s="75">
        <f>IFERROR(Y160*I160/H160,"0")</f>
        <v>0</v>
      </c>
      <c r="BO160" s="75">
        <f>IFERROR(1/J160*(X160/H160),"0")</f>
        <v>0</v>
      </c>
      <c r="BP160" s="75">
        <f>IFERROR(1/J160*(Y160/H160),"0")</f>
        <v>0</v>
      </c>
    </row>
    <row r="161" spans="1:68" ht="27" customHeight="1" x14ac:dyDescent="0.25">
      <c r="A161" s="60" t="s">
        <v>290</v>
      </c>
      <c r="B161" s="60" t="s">
        <v>291</v>
      </c>
      <c r="C161" s="34">
        <v>4301030962</v>
      </c>
      <c r="D161" s="769">
        <v>4607091386547</v>
      </c>
      <c r="E161" s="769"/>
      <c r="F161" s="59">
        <v>0.35</v>
      </c>
      <c r="G161" s="35">
        <v>8</v>
      </c>
      <c r="H161" s="59">
        <v>2.8</v>
      </c>
      <c r="I161" s="59">
        <v>2.94</v>
      </c>
      <c r="J161" s="35">
        <v>234</v>
      </c>
      <c r="K161" s="35" t="s">
        <v>126</v>
      </c>
      <c r="L161" s="35" t="s">
        <v>45</v>
      </c>
      <c r="M161" s="36" t="s">
        <v>82</v>
      </c>
      <c r="N161" s="36"/>
      <c r="O161" s="35">
        <v>40</v>
      </c>
      <c r="P161" s="1038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1" s="771"/>
      <c r="R161" s="771"/>
      <c r="S161" s="771"/>
      <c r="T161" s="772"/>
      <c r="U161" s="37" t="s">
        <v>45</v>
      </c>
      <c r="V161" s="37" t="s">
        <v>45</v>
      </c>
      <c r="W161" s="38" t="s">
        <v>0</v>
      </c>
      <c r="X161" s="56">
        <v>0</v>
      </c>
      <c r="Y161" s="53">
        <f>IFERROR(IF(X161="",0,CEILING((X161/$H161),1)*$H161),"")</f>
        <v>0</v>
      </c>
      <c r="Z161" s="39" t="str">
        <f>IFERROR(IF(Y161=0,"",ROUNDUP(Y161/H161,0)*0.00502),"")</f>
        <v/>
      </c>
      <c r="AA161" s="65" t="s">
        <v>45</v>
      </c>
      <c r="AB161" s="66" t="s">
        <v>45</v>
      </c>
      <c r="AC161" s="231" t="s">
        <v>286</v>
      </c>
      <c r="AG161" s="75"/>
      <c r="AJ161" s="79" t="s">
        <v>45</v>
      </c>
      <c r="AK161" s="79">
        <v>0</v>
      </c>
      <c r="BB161" s="232" t="s">
        <v>66</v>
      </c>
      <c r="BM161" s="75">
        <f>IFERROR(X161*I161/H161,"0")</f>
        <v>0</v>
      </c>
      <c r="BN161" s="75">
        <f>IFERROR(Y161*I161/H161,"0")</f>
        <v>0</v>
      </c>
      <c r="BO161" s="75">
        <f>IFERROR(1/J161*(X161/H161),"0")</f>
        <v>0</v>
      </c>
      <c r="BP161" s="75">
        <f>IFERROR(1/J161*(Y161/H161),"0")</f>
        <v>0</v>
      </c>
    </row>
    <row r="162" spans="1:68" ht="27" customHeight="1" x14ac:dyDescent="0.25">
      <c r="A162" s="60" t="s">
        <v>292</v>
      </c>
      <c r="B162" s="60" t="s">
        <v>293</v>
      </c>
      <c r="C162" s="34">
        <v>4301030964</v>
      </c>
      <c r="D162" s="769">
        <v>4607091382464</v>
      </c>
      <c r="E162" s="769"/>
      <c r="F162" s="59">
        <v>0.35</v>
      </c>
      <c r="G162" s="35">
        <v>8</v>
      </c>
      <c r="H162" s="59">
        <v>2.8</v>
      </c>
      <c r="I162" s="59">
        <v>2.964</v>
      </c>
      <c r="J162" s="35">
        <v>234</v>
      </c>
      <c r="K162" s="35" t="s">
        <v>126</v>
      </c>
      <c r="L162" s="35" t="s">
        <v>45</v>
      </c>
      <c r="M162" s="36" t="s">
        <v>82</v>
      </c>
      <c r="N162" s="36"/>
      <c r="O162" s="35">
        <v>40</v>
      </c>
      <c r="P162" s="10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Q162" s="771"/>
      <c r="R162" s="771"/>
      <c r="S162" s="771"/>
      <c r="T162" s="772"/>
      <c r="U162" s="37" t="s">
        <v>45</v>
      </c>
      <c r="V162" s="37" t="s">
        <v>45</v>
      </c>
      <c r="W162" s="38" t="s">
        <v>0</v>
      </c>
      <c r="X162" s="56">
        <v>0</v>
      </c>
      <c r="Y162" s="53">
        <f>IFERROR(IF(X162="",0,CEILING((X162/$H162),1)*$H162),"")</f>
        <v>0</v>
      </c>
      <c r="Z162" s="39" t="str">
        <f>IFERROR(IF(Y162=0,"",ROUNDUP(Y162/H162,0)*0.00502),"")</f>
        <v/>
      </c>
      <c r="AA162" s="65" t="s">
        <v>45</v>
      </c>
      <c r="AB162" s="66" t="s">
        <v>45</v>
      </c>
      <c r="AC162" s="233" t="s">
        <v>289</v>
      </c>
      <c r="AG162" s="75"/>
      <c r="AJ162" s="79" t="s">
        <v>45</v>
      </c>
      <c r="AK162" s="79">
        <v>0</v>
      </c>
      <c r="BB162" s="234" t="s">
        <v>66</v>
      </c>
      <c r="BM162" s="75">
        <f>IFERROR(X162*I162/H162,"0")</f>
        <v>0</v>
      </c>
      <c r="BN162" s="75">
        <f>IFERROR(Y162*I162/H162,"0")</f>
        <v>0</v>
      </c>
      <c r="BO162" s="75">
        <f>IFERROR(1/J162*(X162/H162),"0")</f>
        <v>0</v>
      </c>
      <c r="BP162" s="75">
        <f>IFERROR(1/J162*(Y162/H162),"0")</f>
        <v>0</v>
      </c>
    </row>
    <row r="163" spans="1:68" x14ac:dyDescent="0.2">
      <c r="A163" s="759"/>
      <c r="B163" s="759"/>
      <c r="C163" s="759"/>
      <c r="D163" s="759"/>
      <c r="E163" s="759"/>
      <c r="F163" s="759"/>
      <c r="G163" s="759"/>
      <c r="H163" s="759"/>
      <c r="I163" s="759"/>
      <c r="J163" s="759"/>
      <c r="K163" s="759"/>
      <c r="L163" s="759"/>
      <c r="M163" s="759"/>
      <c r="N163" s="759"/>
      <c r="O163" s="767"/>
      <c r="P163" s="764" t="s">
        <v>40</v>
      </c>
      <c r="Q163" s="765"/>
      <c r="R163" s="765"/>
      <c r="S163" s="765"/>
      <c r="T163" s="765"/>
      <c r="U163" s="765"/>
      <c r="V163" s="766"/>
      <c r="W163" s="40" t="s">
        <v>39</v>
      </c>
      <c r="X163" s="41">
        <f>IFERROR(X158/H158,"0")+IFERROR(X159/H159,"0")+IFERROR(X160/H160,"0")+IFERROR(X161/H161,"0")+IFERROR(X162/H162,"0")</f>
        <v>0</v>
      </c>
      <c r="Y163" s="41">
        <f>IFERROR(Y158/H158,"0")+IFERROR(Y159/H159,"0")+IFERROR(Y160/H160,"0")+IFERROR(Y161/H161,"0")+IFERROR(Y162/H162,"0")</f>
        <v>0</v>
      </c>
      <c r="Z163" s="41">
        <f>IFERROR(IF(Z158="",0,Z158),"0")+IFERROR(IF(Z159="",0,Z159),"0")+IFERROR(IF(Z160="",0,Z160),"0")+IFERROR(IF(Z161="",0,Z161),"0")+IFERROR(IF(Z162="",0,Z162),"0")</f>
        <v>0</v>
      </c>
      <c r="AA163" s="64"/>
      <c r="AB163" s="64"/>
      <c r="AC163" s="64"/>
    </row>
    <row r="164" spans="1:68" x14ac:dyDescent="0.2">
      <c r="A164" s="759"/>
      <c r="B164" s="759"/>
      <c r="C164" s="759"/>
      <c r="D164" s="759"/>
      <c r="E164" s="759"/>
      <c r="F164" s="759"/>
      <c r="G164" s="759"/>
      <c r="H164" s="759"/>
      <c r="I164" s="759"/>
      <c r="J164" s="759"/>
      <c r="K164" s="759"/>
      <c r="L164" s="759"/>
      <c r="M164" s="759"/>
      <c r="N164" s="759"/>
      <c r="O164" s="767"/>
      <c r="P164" s="764" t="s">
        <v>40</v>
      </c>
      <c r="Q164" s="765"/>
      <c r="R164" s="765"/>
      <c r="S164" s="765"/>
      <c r="T164" s="765"/>
      <c r="U164" s="765"/>
      <c r="V164" s="766"/>
      <c r="W164" s="40" t="s">
        <v>0</v>
      </c>
      <c r="X164" s="41">
        <f>IFERROR(SUM(X158:X162),"0")</f>
        <v>0</v>
      </c>
      <c r="Y164" s="41">
        <f>IFERROR(SUM(Y158:Y162),"0")</f>
        <v>0</v>
      </c>
      <c r="Z164" s="40"/>
      <c r="AA164" s="64"/>
      <c r="AB164" s="64"/>
      <c r="AC164" s="64"/>
    </row>
    <row r="165" spans="1:68" ht="14.25" customHeight="1" x14ac:dyDescent="0.25">
      <c r="A165" s="768" t="s">
        <v>78</v>
      </c>
      <c r="B165" s="768"/>
      <c r="C165" s="768"/>
      <c r="D165" s="768"/>
      <c r="E165" s="768"/>
      <c r="F165" s="768"/>
      <c r="G165" s="768"/>
      <c r="H165" s="768"/>
      <c r="I165" s="768"/>
      <c r="J165" s="768"/>
      <c r="K165" s="768"/>
      <c r="L165" s="768"/>
      <c r="M165" s="768"/>
      <c r="N165" s="768"/>
      <c r="O165" s="768"/>
      <c r="P165" s="768"/>
      <c r="Q165" s="768"/>
      <c r="R165" s="768"/>
      <c r="S165" s="768"/>
      <c r="T165" s="768"/>
      <c r="U165" s="768"/>
      <c r="V165" s="768"/>
      <c r="W165" s="768"/>
      <c r="X165" s="768"/>
      <c r="Y165" s="768"/>
      <c r="Z165" s="768"/>
      <c r="AA165" s="63"/>
      <c r="AB165" s="63"/>
      <c r="AC165" s="63"/>
    </row>
    <row r="166" spans="1:68" ht="16.5" customHeight="1" x14ac:dyDescent="0.25">
      <c r="A166" s="60" t="s">
        <v>294</v>
      </c>
      <c r="B166" s="60" t="s">
        <v>295</v>
      </c>
      <c r="C166" s="34">
        <v>4301051653</v>
      </c>
      <c r="D166" s="769">
        <v>4607091386264</v>
      </c>
      <c r="E166" s="769"/>
      <c r="F166" s="59">
        <v>0.5</v>
      </c>
      <c r="G166" s="35">
        <v>6</v>
      </c>
      <c r="H166" s="59">
        <v>3</v>
      </c>
      <c r="I166" s="59">
        <v>3.258</v>
      </c>
      <c r="J166" s="35">
        <v>182</v>
      </c>
      <c r="K166" s="35" t="s">
        <v>83</v>
      </c>
      <c r="L166" s="35" t="s">
        <v>45</v>
      </c>
      <c r="M166" s="36" t="s">
        <v>106</v>
      </c>
      <c r="N166" s="36"/>
      <c r="O166" s="35">
        <v>31</v>
      </c>
      <c r="P166" s="1031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6" s="771"/>
      <c r="R166" s="771"/>
      <c r="S166" s="771"/>
      <c r="T166" s="772"/>
      <c r="U166" s="37" t="s">
        <v>45</v>
      </c>
      <c r="V166" s="37" t="s">
        <v>45</v>
      </c>
      <c r="W166" s="38" t="s">
        <v>0</v>
      </c>
      <c r="X166" s="56">
        <v>0</v>
      </c>
      <c r="Y166" s="53">
        <f>IFERROR(IF(X166="",0,CEILING((X166/$H166),1)*$H166),"")</f>
        <v>0</v>
      </c>
      <c r="Z166" s="39" t="str">
        <f>IFERROR(IF(Y166=0,"",ROUNDUP(Y166/H166,0)*0.00651),"")</f>
        <v/>
      </c>
      <c r="AA166" s="65" t="s">
        <v>45</v>
      </c>
      <c r="AB166" s="66" t="s">
        <v>45</v>
      </c>
      <c r="AC166" s="235" t="s">
        <v>296</v>
      </c>
      <c r="AG166" s="75"/>
      <c r="AJ166" s="79" t="s">
        <v>45</v>
      </c>
      <c r="AK166" s="79">
        <v>0</v>
      </c>
      <c r="BB166" s="236" t="s">
        <v>66</v>
      </c>
      <c r="BM166" s="75">
        <f>IFERROR(X166*I166/H166,"0")</f>
        <v>0</v>
      </c>
      <c r="BN166" s="75">
        <f>IFERROR(Y166*I166/H166,"0")</f>
        <v>0</v>
      </c>
      <c r="BO166" s="75">
        <f>IFERROR(1/J166*(X166/H166),"0")</f>
        <v>0</v>
      </c>
      <c r="BP166" s="75">
        <f>IFERROR(1/J166*(Y166/H166),"0")</f>
        <v>0</v>
      </c>
    </row>
    <row r="167" spans="1:68" ht="27" customHeight="1" x14ac:dyDescent="0.25">
      <c r="A167" s="60" t="s">
        <v>297</v>
      </c>
      <c r="B167" s="60" t="s">
        <v>298</v>
      </c>
      <c r="C167" s="34">
        <v>4301051313</v>
      </c>
      <c r="D167" s="769">
        <v>4607091385427</v>
      </c>
      <c r="E167" s="769"/>
      <c r="F167" s="59">
        <v>0.5</v>
      </c>
      <c r="G167" s="35">
        <v>6</v>
      </c>
      <c r="H167" s="59">
        <v>3</v>
      </c>
      <c r="I167" s="59">
        <v>3.2519999999999998</v>
      </c>
      <c r="J167" s="35">
        <v>182</v>
      </c>
      <c r="K167" s="35" t="s">
        <v>83</v>
      </c>
      <c r="L167" s="35" t="s">
        <v>45</v>
      </c>
      <c r="M167" s="36" t="s">
        <v>82</v>
      </c>
      <c r="N167" s="36"/>
      <c r="O167" s="35">
        <v>40</v>
      </c>
      <c r="P167" s="103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Q167" s="771"/>
      <c r="R167" s="771"/>
      <c r="S167" s="771"/>
      <c r="T167" s="772"/>
      <c r="U167" s="37" t="s">
        <v>45</v>
      </c>
      <c r="V167" s="37" t="s">
        <v>45</v>
      </c>
      <c r="W167" s="38" t="s">
        <v>0</v>
      </c>
      <c r="X167" s="56">
        <v>0</v>
      </c>
      <c r="Y167" s="53">
        <f>IFERROR(IF(X167="",0,CEILING((X167/$H167),1)*$H167),"")</f>
        <v>0</v>
      </c>
      <c r="Z167" s="39" t="str">
        <f>IFERROR(IF(Y167=0,"",ROUNDUP(Y167/H167,0)*0.00651),"")</f>
        <v/>
      </c>
      <c r="AA167" s="65" t="s">
        <v>45</v>
      </c>
      <c r="AB167" s="66" t="s">
        <v>45</v>
      </c>
      <c r="AC167" s="237" t="s">
        <v>299</v>
      </c>
      <c r="AG167" s="75"/>
      <c r="AJ167" s="79" t="s">
        <v>45</v>
      </c>
      <c r="AK167" s="79">
        <v>0</v>
      </c>
      <c r="BB167" s="238" t="s">
        <v>66</v>
      </c>
      <c r="BM167" s="75">
        <f>IFERROR(X167*I167/H167,"0")</f>
        <v>0</v>
      </c>
      <c r="BN167" s="75">
        <f>IFERROR(Y167*I167/H167,"0")</f>
        <v>0</v>
      </c>
      <c r="BO167" s="75">
        <f>IFERROR(1/J167*(X167/H167),"0")</f>
        <v>0</v>
      </c>
      <c r="BP167" s="75">
        <f>IFERROR(1/J167*(Y167/H167),"0")</f>
        <v>0</v>
      </c>
    </row>
    <row r="168" spans="1:68" x14ac:dyDescent="0.2">
      <c r="A168" s="759"/>
      <c r="B168" s="759"/>
      <c r="C168" s="759"/>
      <c r="D168" s="759"/>
      <c r="E168" s="759"/>
      <c r="F168" s="759"/>
      <c r="G168" s="759"/>
      <c r="H168" s="759"/>
      <c r="I168" s="759"/>
      <c r="J168" s="759"/>
      <c r="K168" s="759"/>
      <c r="L168" s="759"/>
      <c r="M168" s="759"/>
      <c r="N168" s="759"/>
      <c r="O168" s="767"/>
      <c r="P168" s="764" t="s">
        <v>40</v>
      </c>
      <c r="Q168" s="765"/>
      <c r="R168" s="765"/>
      <c r="S168" s="765"/>
      <c r="T168" s="765"/>
      <c r="U168" s="765"/>
      <c r="V168" s="766"/>
      <c r="W168" s="40" t="s">
        <v>39</v>
      </c>
      <c r="X168" s="41">
        <f>IFERROR(X166/H166,"0")+IFERROR(X167/H167,"0")</f>
        <v>0</v>
      </c>
      <c r="Y168" s="41">
        <f>IFERROR(Y166/H166,"0")+IFERROR(Y167/H167,"0")</f>
        <v>0</v>
      </c>
      <c r="Z168" s="41">
        <f>IFERROR(IF(Z166="",0,Z166),"0")+IFERROR(IF(Z167="",0,Z167),"0")</f>
        <v>0</v>
      </c>
      <c r="AA168" s="64"/>
      <c r="AB168" s="64"/>
      <c r="AC168" s="64"/>
    </row>
    <row r="169" spans="1:68" x14ac:dyDescent="0.2">
      <c r="A169" s="759"/>
      <c r="B169" s="759"/>
      <c r="C169" s="759"/>
      <c r="D169" s="759"/>
      <c r="E169" s="759"/>
      <c r="F169" s="759"/>
      <c r="G169" s="759"/>
      <c r="H169" s="759"/>
      <c r="I169" s="759"/>
      <c r="J169" s="759"/>
      <c r="K169" s="759"/>
      <c r="L169" s="759"/>
      <c r="M169" s="759"/>
      <c r="N169" s="759"/>
      <c r="O169" s="767"/>
      <c r="P169" s="764" t="s">
        <v>40</v>
      </c>
      <c r="Q169" s="765"/>
      <c r="R169" s="765"/>
      <c r="S169" s="765"/>
      <c r="T169" s="765"/>
      <c r="U169" s="765"/>
      <c r="V169" s="766"/>
      <c r="W169" s="40" t="s">
        <v>0</v>
      </c>
      <c r="X169" s="41">
        <f>IFERROR(SUM(X166:X167),"0")</f>
        <v>0</v>
      </c>
      <c r="Y169" s="41">
        <f>IFERROR(SUM(Y166:Y167),"0")</f>
        <v>0</v>
      </c>
      <c r="Z169" s="40"/>
      <c r="AA169" s="64"/>
      <c r="AB169" s="64"/>
      <c r="AC169" s="64"/>
    </row>
    <row r="170" spans="1:68" ht="27.75" customHeight="1" x14ac:dyDescent="0.2">
      <c r="A170" s="809" t="s">
        <v>300</v>
      </c>
      <c r="B170" s="809"/>
      <c r="C170" s="809"/>
      <c r="D170" s="809"/>
      <c r="E170" s="809"/>
      <c r="F170" s="809"/>
      <c r="G170" s="809"/>
      <c r="H170" s="809"/>
      <c r="I170" s="809"/>
      <c r="J170" s="809"/>
      <c r="K170" s="809"/>
      <c r="L170" s="809"/>
      <c r="M170" s="809"/>
      <c r="N170" s="809"/>
      <c r="O170" s="809"/>
      <c r="P170" s="809"/>
      <c r="Q170" s="809"/>
      <c r="R170" s="809"/>
      <c r="S170" s="809"/>
      <c r="T170" s="809"/>
      <c r="U170" s="809"/>
      <c r="V170" s="809"/>
      <c r="W170" s="809"/>
      <c r="X170" s="809"/>
      <c r="Y170" s="809"/>
      <c r="Z170" s="809"/>
      <c r="AA170" s="52"/>
      <c r="AB170" s="52"/>
      <c r="AC170" s="52"/>
    </row>
    <row r="171" spans="1:68" ht="16.5" customHeight="1" x14ac:dyDescent="0.25">
      <c r="A171" s="776" t="s">
        <v>301</v>
      </c>
      <c r="B171" s="776"/>
      <c r="C171" s="776"/>
      <c r="D171" s="776"/>
      <c r="E171" s="776"/>
      <c r="F171" s="776"/>
      <c r="G171" s="776"/>
      <c r="H171" s="776"/>
      <c r="I171" s="776"/>
      <c r="J171" s="776"/>
      <c r="K171" s="776"/>
      <c r="L171" s="776"/>
      <c r="M171" s="776"/>
      <c r="N171" s="776"/>
      <c r="O171" s="776"/>
      <c r="P171" s="776"/>
      <c r="Q171" s="776"/>
      <c r="R171" s="776"/>
      <c r="S171" s="776"/>
      <c r="T171" s="776"/>
      <c r="U171" s="776"/>
      <c r="V171" s="776"/>
      <c r="W171" s="776"/>
      <c r="X171" s="776"/>
      <c r="Y171" s="776"/>
      <c r="Z171" s="776"/>
      <c r="AA171" s="62"/>
      <c r="AB171" s="62"/>
      <c r="AC171" s="62"/>
    </row>
    <row r="172" spans="1:68" ht="14.25" customHeight="1" x14ac:dyDescent="0.25">
      <c r="A172" s="768" t="s">
        <v>153</v>
      </c>
      <c r="B172" s="768"/>
      <c r="C172" s="768"/>
      <c r="D172" s="768"/>
      <c r="E172" s="768"/>
      <c r="F172" s="768"/>
      <c r="G172" s="768"/>
      <c r="H172" s="768"/>
      <c r="I172" s="768"/>
      <c r="J172" s="768"/>
      <c r="K172" s="768"/>
      <c r="L172" s="768"/>
      <c r="M172" s="768"/>
      <c r="N172" s="768"/>
      <c r="O172" s="768"/>
      <c r="P172" s="768"/>
      <c r="Q172" s="768"/>
      <c r="R172" s="768"/>
      <c r="S172" s="768"/>
      <c r="T172" s="768"/>
      <c r="U172" s="768"/>
      <c r="V172" s="768"/>
      <c r="W172" s="768"/>
      <c r="X172" s="768"/>
      <c r="Y172" s="768"/>
      <c r="Z172" s="768"/>
      <c r="AA172" s="63"/>
      <c r="AB172" s="63"/>
      <c r="AC172" s="63"/>
    </row>
    <row r="173" spans="1:68" ht="27" customHeight="1" x14ac:dyDescent="0.25">
      <c r="A173" s="60" t="s">
        <v>302</v>
      </c>
      <c r="B173" s="60" t="s">
        <v>303</v>
      </c>
      <c r="C173" s="34">
        <v>4301020323</v>
      </c>
      <c r="D173" s="769">
        <v>4680115886223</v>
      </c>
      <c r="E173" s="769"/>
      <c r="F173" s="59">
        <v>0.33</v>
      </c>
      <c r="G173" s="35">
        <v>6</v>
      </c>
      <c r="H173" s="59">
        <v>1.98</v>
      </c>
      <c r="I173" s="59">
        <v>2.08</v>
      </c>
      <c r="J173" s="35">
        <v>234</v>
      </c>
      <c r="K173" s="35" t="s">
        <v>126</v>
      </c>
      <c r="L173" s="35" t="s">
        <v>45</v>
      </c>
      <c r="M173" s="36" t="s">
        <v>82</v>
      </c>
      <c r="N173" s="36"/>
      <c r="O173" s="35">
        <v>40</v>
      </c>
      <c r="P173" s="10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3" s="771"/>
      <c r="R173" s="771"/>
      <c r="S173" s="771"/>
      <c r="T173" s="772"/>
      <c r="U173" s="37" t="s">
        <v>45</v>
      </c>
      <c r="V173" s="37" t="s">
        <v>45</v>
      </c>
      <c r="W173" s="38" t="s">
        <v>0</v>
      </c>
      <c r="X173" s="56">
        <v>0</v>
      </c>
      <c r="Y173" s="53">
        <f>IFERROR(IF(X173="",0,CEILING((X173/$H173),1)*$H173),"")</f>
        <v>0</v>
      </c>
      <c r="Z173" s="39" t="str">
        <f>IFERROR(IF(Y173=0,"",ROUNDUP(Y173/H173,0)*0.00502),"")</f>
        <v/>
      </c>
      <c r="AA173" s="65" t="s">
        <v>45</v>
      </c>
      <c r="AB173" s="66" t="s">
        <v>45</v>
      </c>
      <c r="AC173" s="239" t="s">
        <v>304</v>
      </c>
      <c r="AG173" s="75"/>
      <c r="AJ173" s="79" t="s">
        <v>45</v>
      </c>
      <c r="AK173" s="79">
        <v>0</v>
      </c>
      <c r="BB173" s="240" t="s">
        <v>66</v>
      </c>
      <c r="BM173" s="75">
        <f>IFERROR(X173*I173/H173,"0")</f>
        <v>0</v>
      </c>
      <c r="BN173" s="75">
        <f>IFERROR(Y173*I173/H173,"0")</f>
        <v>0</v>
      </c>
      <c r="BO173" s="75">
        <f>IFERROR(1/J173*(X173/H173),"0")</f>
        <v>0</v>
      </c>
      <c r="BP173" s="75">
        <f>IFERROR(1/J173*(Y173/H173),"0")</f>
        <v>0</v>
      </c>
    </row>
    <row r="174" spans="1:68" x14ac:dyDescent="0.2">
      <c r="A174" s="759"/>
      <c r="B174" s="759"/>
      <c r="C174" s="759"/>
      <c r="D174" s="759"/>
      <c r="E174" s="759"/>
      <c r="F174" s="759"/>
      <c r="G174" s="759"/>
      <c r="H174" s="759"/>
      <c r="I174" s="759"/>
      <c r="J174" s="759"/>
      <c r="K174" s="759"/>
      <c r="L174" s="759"/>
      <c r="M174" s="759"/>
      <c r="N174" s="759"/>
      <c r="O174" s="767"/>
      <c r="P174" s="764" t="s">
        <v>40</v>
      </c>
      <c r="Q174" s="765"/>
      <c r="R174" s="765"/>
      <c r="S174" s="765"/>
      <c r="T174" s="765"/>
      <c r="U174" s="765"/>
      <c r="V174" s="766"/>
      <c r="W174" s="40" t="s">
        <v>39</v>
      </c>
      <c r="X174" s="41">
        <f>IFERROR(X173/H173,"0")</f>
        <v>0</v>
      </c>
      <c r="Y174" s="41">
        <f>IFERROR(Y173/H173,"0")</f>
        <v>0</v>
      </c>
      <c r="Z174" s="41">
        <f>IFERROR(IF(Z173="",0,Z173),"0")</f>
        <v>0</v>
      </c>
      <c r="AA174" s="64"/>
      <c r="AB174" s="64"/>
      <c r="AC174" s="64"/>
    </row>
    <row r="175" spans="1:68" x14ac:dyDescent="0.2">
      <c r="A175" s="759"/>
      <c r="B175" s="759"/>
      <c r="C175" s="759"/>
      <c r="D175" s="759"/>
      <c r="E175" s="759"/>
      <c r="F175" s="759"/>
      <c r="G175" s="759"/>
      <c r="H175" s="759"/>
      <c r="I175" s="759"/>
      <c r="J175" s="759"/>
      <c r="K175" s="759"/>
      <c r="L175" s="759"/>
      <c r="M175" s="759"/>
      <c r="N175" s="759"/>
      <c r="O175" s="767"/>
      <c r="P175" s="764" t="s">
        <v>40</v>
      </c>
      <c r="Q175" s="765"/>
      <c r="R175" s="765"/>
      <c r="S175" s="765"/>
      <c r="T175" s="765"/>
      <c r="U175" s="765"/>
      <c r="V175" s="766"/>
      <c r="W175" s="40" t="s">
        <v>0</v>
      </c>
      <c r="X175" s="41">
        <f>IFERROR(SUM(X173:X173),"0")</f>
        <v>0</v>
      </c>
      <c r="Y175" s="41">
        <f>IFERROR(SUM(Y173:Y173),"0")</f>
        <v>0</v>
      </c>
      <c r="Z175" s="40"/>
      <c r="AA175" s="64"/>
      <c r="AB175" s="64"/>
      <c r="AC175" s="64"/>
    </row>
    <row r="176" spans="1:68" ht="14.25" customHeight="1" x14ac:dyDescent="0.25">
      <c r="A176" s="768" t="s">
        <v>164</v>
      </c>
      <c r="B176" s="768"/>
      <c r="C176" s="768"/>
      <c r="D176" s="768"/>
      <c r="E176" s="768"/>
      <c r="F176" s="768"/>
      <c r="G176" s="768"/>
      <c r="H176" s="768"/>
      <c r="I176" s="768"/>
      <c r="J176" s="768"/>
      <c r="K176" s="768"/>
      <c r="L176" s="768"/>
      <c r="M176" s="768"/>
      <c r="N176" s="768"/>
      <c r="O176" s="768"/>
      <c r="P176" s="768"/>
      <c r="Q176" s="768"/>
      <c r="R176" s="768"/>
      <c r="S176" s="768"/>
      <c r="T176" s="768"/>
      <c r="U176" s="768"/>
      <c r="V176" s="768"/>
      <c r="W176" s="768"/>
      <c r="X176" s="768"/>
      <c r="Y176" s="768"/>
      <c r="Z176" s="768"/>
      <c r="AA176" s="63"/>
      <c r="AB176" s="63"/>
      <c r="AC176" s="63"/>
    </row>
    <row r="177" spans="1:68" ht="27" customHeight="1" x14ac:dyDescent="0.25">
      <c r="A177" s="60" t="s">
        <v>305</v>
      </c>
      <c r="B177" s="60" t="s">
        <v>306</v>
      </c>
      <c r="C177" s="34">
        <v>4301031191</v>
      </c>
      <c r="D177" s="769">
        <v>4680115880993</v>
      </c>
      <c r="E177" s="769"/>
      <c r="F177" s="59">
        <v>0.7</v>
      </c>
      <c r="G177" s="35">
        <v>6</v>
      </c>
      <c r="H177" s="59">
        <v>4.2</v>
      </c>
      <c r="I177" s="59">
        <v>4.47</v>
      </c>
      <c r="J177" s="35">
        <v>132</v>
      </c>
      <c r="K177" s="35" t="s">
        <v>116</v>
      </c>
      <c r="L177" s="35" t="s">
        <v>45</v>
      </c>
      <c r="M177" s="36" t="s">
        <v>82</v>
      </c>
      <c r="N177" s="36"/>
      <c r="O177" s="35">
        <v>40</v>
      </c>
      <c r="P177" s="102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7" s="771"/>
      <c r="R177" s="771"/>
      <c r="S177" s="771"/>
      <c r="T177" s="772"/>
      <c r="U177" s="37" t="s">
        <v>45</v>
      </c>
      <c r="V177" s="37" t="s">
        <v>45</v>
      </c>
      <c r="W177" s="38" t="s">
        <v>0</v>
      </c>
      <c r="X177" s="56">
        <v>40</v>
      </c>
      <c r="Y177" s="53">
        <f t="shared" ref="Y177:Y184" si="30">IFERROR(IF(X177="",0,CEILING((X177/$H177),1)*$H177),"")</f>
        <v>42</v>
      </c>
      <c r="Z177" s="39">
        <f>IFERROR(IF(Y177=0,"",ROUNDUP(Y177/H177,0)*0.00902),"")</f>
        <v>9.0200000000000002E-2</v>
      </c>
      <c r="AA177" s="65" t="s">
        <v>45</v>
      </c>
      <c r="AB177" s="66" t="s">
        <v>45</v>
      </c>
      <c r="AC177" s="241" t="s">
        <v>307</v>
      </c>
      <c r="AG177" s="75"/>
      <c r="AJ177" s="79" t="s">
        <v>45</v>
      </c>
      <c r="AK177" s="79">
        <v>0</v>
      </c>
      <c r="BB177" s="242" t="s">
        <v>66</v>
      </c>
      <c r="BM177" s="75">
        <f t="shared" ref="BM177:BM184" si="31">IFERROR(X177*I177/H177,"0")</f>
        <v>42.571428571428562</v>
      </c>
      <c r="BN177" s="75">
        <f t="shared" ref="BN177:BN184" si="32">IFERROR(Y177*I177/H177,"0")</f>
        <v>44.699999999999996</v>
      </c>
      <c r="BO177" s="75">
        <f t="shared" ref="BO177:BO184" si="33">IFERROR(1/J177*(X177/H177),"0")</f>
        <v>7.2150072150072145E-2</v>
      </c>
      <c r="BP177" s="75">
        <f t="shared" ref="BP177:BP184" si="34">IFERROR(1/J177*(Y177/H177),"0")</f>
        <v>7.575757575757576E-2</v>
      </c>
    </row>
    <row r="178" spans="1:68" ht="27" customHeight="1" x14ac:dyDescent="0.25">
      <c r="A178" s="60" t="s">
        <v>308</v>
      </c>
      <c r="B178" s="60" t="s">
        <v>309</v>
      </c>
      <c r="C178" s="34">
        <v>4301031204</v>
      </c>
      <c r="D178" s="769">
        <v>4680115881761</v>
      </c>
      <c r="E178" s="769"/>
      <c r="F178" s="59">
        <v>0.7</v>
      </c>
      <c r="G178" s="35">
        <v>6</v>
      </c>
      <c r="H178" s="59">
        <v>4.2</v>
      </c>
      <c r="I178" s="59">
        <v>4.47</v>
      </c>
      <c r="J178" s="35">
        <v>132</v>
      </c>
      <c r="K178" s="35" t="s">
        <v>116</v>
      </c>
      <c r="L178" s="35" t="s">
        <v>45</v>
      </c>
      <c r="M178" s="36" t="s">
        <v>82</v>
      </c>
      <c r="N178" s="36"/>
      <c r="O178" s="35">
        <v>40</v>
      </c>
      <c r="P178" s="1024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8" s="771"/>
      <c r="R178" s="771"/>
      <c r="S178" s="771"/>
      <c r="T178" s="772"/>
      <c r="U178" s="37" t="s">
        <v>45</v>
      </c>
      <c r="V178" s="37" t="s">
        <v>45</v>
      </c>
      <c r="W178" s="38" t="s">
        <v>0</v>
      </c>
      <c r="X178" s="56">
        <v>20</v>
      </c>
      <c r="Y178" s="53">
        <f t="shared" si="30"/>
        <v>21</v>
      </c>
      <c r="Z178" s="39">
        <f>IFERROR(IF(Y178=0,"",ROUNDUP(Y178/H178,0)*0.00902),"")</f>
        <v>4.5100000000000001E-2</v>
      </c>
      <c r="AA178" s="65" t="s">
        <v>45</v>
      </c>
      <c r="AB178" s="66" t="s">
        <v>45</v>
      </c>
      <c r="AC178" s="243" t="s">
        <v>310</v>
      </c>
      <c r="AG178" s="75"/>
      <c r="AJ178" s="79" t="s">
        <v>45</v>
      </c>
      <c r="AK178" s="79">
        <v>0</v>
      </c>
      <c r="BB178" s="244" t="s">
        <v>66</v>
      </c>
      <c r="BM178" s="75">
        <f t="shared" si="31"/>
        <v>21.285714285714281</v>
      </c>
      <c r="BN178" s="75">
        <f t="shared" si="32"/>
        <v>22.349999999999998</v>
      </c>
      <c r="BO178" s="75">
        <f t="shared" si="33"/>
        <v>3.6075036075036072E-2</v>
      </c>
      <c r="BP178" s="75">
        <f t="shared" si="34"/>
        <v>3.787878787878788E-2</v>
      </c>
    </row>
    <row r="179" spans="1:68" ht="27" customHeight="1" x14ac:dyDescent="0.25">
      <c r="A179" s="60" t="s">
        <v>311</v>
      </c>
      <c r="B179" s="60" t="s">
        <v>312</v>
      </c>
      <c r="C179" s="34">
        <v>4301031201</v>
      </c>
      <c r="D179" s="769">
        <v>4680115881563</v>
      </c>
      <c r="E179" s="769"/>
      <c r="F179" s="59">
        <v>0.7</v>
      </c>
      <c r="G179" s="35">
        <v>6</v>
      </c>
      <c r="H179" s="59">
        <v>4.2</v>
      </c>
      <c r="I179" s="59">
        <v>4.41</v>
      </c>
      <c r="J179" s="35">
        <v>132</v>
      </c>
      <c r="K179" s="35" t="s">
        <v>116</v>
      </c>
      <c r="L179" s="35" t="s">
        <v>45</v>
      </c>
      <c r="M179" s="36" t="s">
        <v>82</v>
      </c>
      <c r="N179" s="36"/>
      <c r="O179" s="35">
        <v>40</v>
      </c>
      <c r="P179" s="102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9" s="771"/>
      <c r="R179" s="771"/>
      <c r="S179" s="771"/>
      <c r="T179" s="772"/>
      <c r="U179" s="37" t="s">
        <v>45</v>
      </c>
      <c r="V179" s="37" t="s">
        <v>45</v>
      </c>
      <c r="W179" s="38" t="s">
        <v>0</v>
      </c>
      <c r="X179" s="56">
        <v>40</v>
      </c>
      <c r="Y179" s="53">
        <f t="shared" si="30"/>
        <v>42</v>
      </c>
      <c r="Z179" s="39">
        <f>IFERROR(IF(Y179=0,"",ROUNDUP(Y179/H179,0)*0.00902),"")</f>
        <v>9.0200000000000002E-2</v>
      </c>
      <c r="AA179" s="65" t="s">
        <v>45</v>
      </c>
      <c r="AB179" s="66" t="s">
        <v>45</v>
      </c>
      <c r="AC179" s="245" t="s">
        <v>313</v>
      </c>
      <c r="AG179" s="75"/>
      <c r="AJ179" s="79" t="s">
        <v>45</v>
      </c>
      <c r="AK179" s="79">
        <v>0</v>
      </c>
      <c r="BB179" s="246" t="s">
        <v>66</v>
      </c>
      <c r="BM179" s="75">
        <f t="shared" si="31"/>
        <v>42</v>
      </c>
      <c r="BN179" s="75">
        <f t="shared" si="32"/>
        <v>44.099999999999994</v>
      </c>
      <c r="BO179" s="75">
        <f t="shared" si="33"/>
        <v>7.2150072150072145E-2</v>
      </c>
      <c r="BP179" s="75">
        <f t="shared" si="34"/>
        <v>7.575757575757576E-2</v>
      </c>
    </row>
    <row r="180" spans="1:68" ht="27" customHeight="1" x14ac:dyDescent="0.25">
      <c r="A180" s="60" t="s">
        <v>314</v>
      </c>
      <c r="B180" s="60" t="s">
        <v>315</v>
      </c>
      <c r="C180" s="34">
        <v>4301031199</v>
      </c>
      <c r="D180" s="769">
        <v>4680115880986</v>
      </c>
      <c r="E180" s="769"/>
      <c r="F180" s="59">
        <v>0.35</v>
      </c>
      <c r="G180" s="35">
        <v>6</v>
      </c>
      <c r="H180" s="59">
        <v>2.1</v>
      </c>
      <c r="I180" s="59">
        <v>2.23</v>
      </c>
      <c r="J180" s="35">
        <v>234</v>
      </c>
      <c r="K180" s="35" t="s">
        <v>126</v>
      </c>
      <c r="L180" s="35" t="s">
        <v>45</v>
      </c>
      <c r="M180" s="36" t="s">
        <v>82</v>
      </c>
      <c r="N180" s="36"/>
      <c r="O180" s="35">
        <v>40</v>
      </c>
      <c r="P180" s="102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80" s="771"/>
      <c r="R180" s="771"/>
      <c r="S180" s="771"/>
      <c r="T180" s="772"/>
      <c r="U180" s="37" t="s">
        <v>45</v>
      </c>
      <c r="V180" s="37" t="s">
        <v>45</v>
      </c>
      <c r="W180" s="38" t="s">
        <v>0</v>
      </c>
      <c r="X180" s="56">
        <v>0</v>
      </c>
      <c r="Y180" s="53">
        <f t="shared" si="30"/>
        <v>0</v>
      </c>
      <c r="Z180" s="39" t="str">
        <f>IFERROR(IF(Y180=0,"",ROUNDUP(Y180/H180,0)*0.00502),"")</f>
        <v/>
      </c>
      <c r="AA180" s="65" t="s">
        <v>45</v>
      </c>
      <c r="AB180" s="66" t="s">
        <v>45</v>
      </c>
      <c r="AC180" s="247" t="s">
        <v>307</v>
      </c>
      <c r="AG180" s="75"/>
      <c r="AJ180" s="79" t="s">
        <v>45</v>
      </c>
      <c r="AK180" s="79">
        <v>0</v>
      </c>
      <c r="BB180" s="248" t="s">
        <v>66</v>
      </c>
      <c r="BM180" s="75">
        <f t="shared" si="31"/>
        <v>0</v>
      </c>
      <c r="BN180" s="75">
        <f t="shared" si="32"/>
        <v>0</v>
      </c>
      <c r="BO180" s="75">
        <f t="shared" si="33"/>
        <v>0</v>
      </c>
      <c r="BP180" s="75">
        <f t="shared" si="34"/>
        <v>0</v>
      </c>
    </row>
    <row r="181" spans="1:68" ht="27" customHeight="1" x14ac:dyDescent="0.25">
      <c r="A181" s="60" t="s">
        <v>316</v>
      </c>
      <c r="B181" s="60" t="s">
        <v>317</v>
      </c>
      <c r="C181" s="34">
        <v>4301031205</v>
      </c>
      <c r="D181" s="769">
        <v>4680115881785</v>
      </c>
      <c r="E181" s="769"/>
      <c r="F181" s="59">
        <v>0.35</v>
      </c>
      <c r="G181" s="35">
        <v>6</v>
      </c>
      <c r="H181" s="59">
        <v>2.1</v>
      </c>
      <c r="I181" s="59">
        <v>2.23</v>
      </c>
      <c r="J181" s="35">
        <v>234</v>
      </c>
      <c r="K181" s="35" t="s">
        <v>126</v>
      </c>
      <c r="L181" s="35" t="s">
        <v>45</v>
      </c>
      <c r="M181" s="36" t="s">
        <v>82</v>
      </c>
      <c r="N181" s="36"/>
      <c r="O181" s="35">
        <v>40</v>
      </c>
      <c r="P181" s="102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81" s="771"/>
      <c r="R181" s="771"/>
      <c r="S181" s="771"/>
      <c r="T181" s="772"/>
      <c r="U181" s="37" t="s">
        <v>45</v>
      </c>
      <c r="V181" s="37" t="s">
        <v>45</v>
      </c>
      <c r="W181" s="38" t="s">
        <v>0</v>
      </c>
      <c r="X181" s="56">
        <v>0</v>
      </c>
      <c r="Y181" s="53">
        <f t="shared" si="30"/>
        <v>0</v>
      </c>
      <c r="Z181" s="39" t="str">
        <f>IFERROR(IF(Y181=0,"",ROUNDUP(Y181/H181,0)*0.00502),"")</f>
        <v/>
      </c>
      <c r="AA181" s="65" t="s">
        <v>45</v>
      </c>
      <c r="AB181" s="66" t="s">
        <v>45</v>
      </c>
      <c r="AC181" s="249" t="s">
        <v>310</v>
      </c>
      <c r="AG181" s="75"/>
      <c r="AJ181" s="79" t="s">
        <v>45</v>
      </c>
      <c r="AK181" s="79">
        <v>0</v>
      </c>
      <c r="BB181" s="250" t="s">
        <v>66</v>
      </c>
      <c r="BM181" s="75">
        <f t="shared" si="31"/>
        <v>0</v>
      </c>
      <c r="BN181" s="75">
        <f t="shared" si="32"/>
        <v>0</v>
      </c>
      <c r="BO181" s="75">
        <f t="shared" si="33"/>
        <v>0</v>
      </c>
      <c r="BP181" s="75">
        <f t="shared" si="34"/>
        <v>0</v>
      </c>
    </row>
    <row r="182" spans="1:68" ht="27" customHeight="1" x14ac:dyDescent="0.25">
      <c r="A182" s="60" t="s">
        <v>318</v>
      </c>
      <c r="B182" s="60" t="s">
        <v>319</v>
      </c>
      <c r="C182" s="34">
        <v>4301031202</v>
      </c>
      <c r="D182" s="769">
        <v>4680115881679</v>
      </c>
      <c r="E182" s="769"/>
      <c r="F182" s="59">
        <v>0.35</v>
      </c>
      <c r="G182" s="35">
        <v>6</v>
      </c>
      <c r="H182" s="59">
        <v>2.1</v>
      </c>
      <c r="I182" s="59">
        <v>2.2000000000000002</v>
      </c>
      <c r="J182" s="35">
        <v>234</v>
      </c>
      <c r="K182" s="35" t="s">
        <v>126</v>
      </c>
      <c r="L182" s="35" t="s">
        <v>45</v>
      </c>
      <c r="M182" s="36" t="s">
        <v>82</v>
      </c>
      <c r="N182" s="36"/>
      <c r="O182" s="35">
        <v>40</v>
      </c>
      <c r="P182" s="102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2" s="771"/>
      <c r="R182" s="771"/>
      <c r="S182" s="771"/>
      <c r="T182" s="772"/>
      <c r="U182" s="37" t="s">
        <v>45</v>
      </c>
      <c r="V182" s="37" t="s">
        <v>45</v>
      </c>
      <c r="W182" s="38" t="s">
        <v>0</v>
      </c>
      <c r="X182" s="56">
        <v>0</v>
      </c>
      <c r="Y182" s="53">
        <f t="shared" si="30"/>
        <v>0</v>
      </c>
      <c r="Z182" s="39" t="str">
        <f>IFERROR(IF(Y182=0,"",ROUNDUP(Y182/H182,0)*0.00502),"")</f>
        <v/>
      </c>
      <c r="AA182" s="65" t="s">
        <v>45</v>
      </c>
      <c r="AB182" s="66" t="s">
        <v>45</v>
      </c>
      <c r="AC182" s="251" t="s">
        <v>313</v>
      </c>
      <c r="AG182" s="75"/>
      <c r="AJ182" s="79" t="s">
        <v>45</v>
      </c>
      <c r="AK182" s="79">
        <v>0</v>
      </c>
      <c r="BB182" s="252" t="s">
        <v>66</v>
      </c>
      <c r="BM182" s="75">
        <f t="shared" si="31"/>
        <v>0</v>
      </c>
      <c r="BN182" s="75">
        <f t="shared" si="32"/>
        <v>0</v>
      </c>
      <c r="BO182" s="75">
        <f t="shared" si="33"/>
        <v>0</v>
      </c>
      <c r="BP182" s="75">
        <f t="shared" si="34"/>
        <v>0</v>
      </c>
    </row>
    <row r="183" spans="1:68" ht="27" customHeight="1" x14ac:dyDescent="0.25">
      <c r="A183" s="60" t="s">
        <v>320</v>
      </c>
      <c r="B183" s="60" t="s">
        <v>321</v>
      </c>
      <c r="C183" s="34">
        <v>4301031158</v>
      </c>
      <c r="D183" s="769">
        <v>4680115880191</v>
      </c>
      <c r="E183" s="769"/>
      <c r="F183" s="59">
        <v>0.4</v>
      </c>
      <c r="G183" s="35">
        <v>6</v>
      </c>
      <c r="H183" s="59">
        <v>2.4</v>
      </c>
      <c r="I183" s="59">
        <v>2.58</v>
      </c>
      <c r="J183" s="35">
        <v>182</v>
      </c>
      <c r="K183" s="35" t="s">
        <v>83</v>
      </c>
      <c r="L183" s="35" t="s">
        <v>45</v>
      </c>
      <c r="M183" s="36" t="s">
        <v>82</v>
      </c>
      <c r="N183" s="36"/>
      <c r="O183" s="35">
        <v>40</v>
      </c>
      <c r="P183" s="102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3" s="771"/>
      <c r="R183" s="771"/>
      <c r="S183" s="771"/>
      <c r="T183" s="772"/>
      <c r="U183" s="37" t="s">
        <v>45</v>
      </c>
      <c r="V183" s="37" t="s">
        <v>45</v>
      </c>
      <c r="W183" s="38" t="s">
        <v>0</v>
      </c>
      <c r="X183" s="56">
        <v>0</v>
      </c>
      <c r="Y183" s="53">
        <f t="shared" si="30"/>
        <v>0</v>
      </c>
      <c r="Z183" s="39" t="str">
        <f>IFERROR(IF(Y183=0,"",ROUNDUP(Y183/H183,0)*0.00651),"")</f>
        <v/>
      </c>
      <c r="AA183" s="65" t="s">
        <v>45</v>
      </c>
      <c r="AB183" s="66" t="s">
        <v>45</v>
      </c>
      <c r="AC183" s="253" t="s">
        <v>313</v>
      </c>
      <c r="AG183" s="75"/>
      <c r="AJ183" s="79" t="s">
        <v>45</v>
      </c>
      <c r="AK183" s="79">
        <v>0</v>
      </c>
      <c r="BB183" s="254" t="s">
        <v>66</v>
      </c>
      <c r="BM183" s="75">
        <f t="shared" si="31"/>
        <v>0</v>
      </c>
      <c r="BN183" s="75">
        <f t="shared" si="32"/>
        <v>0</v>
      </c>
      <c r="BO183" s="75">
        <f t="shared" si="33"/>
        <v>0</v>
      </c>
      <c r="BP183" s="75">
        <f t="shared" si="34"/>
        <v>0</v>
      </c>
    </row>
    <row r="184" spans="1:68" ht="27" customHeight="1" x14ac:dyDescent="0.25">
      <c r="A184" s="60" t="s">
        <v>322</v>
      </c>
      <c r="B184" s="60" t="s">
        <v>323</v>
      </c>
      <c r="C184" s="34">
        <v>4301031245</v>
      </c>
      <c r="D184" s="769">
        <v>4680115883963</v>
      </c>
      <c r="E184" s="769"/>
      <c r="F184" s="59">
        <v>0.28000000000000003</v>
      </c>
      <c r="G184" s="35">
        <v>6</v>
      </c>
      <c r="H184" s="59">
        <v>1.68</v>
      </c>
      <c r="I184" s="59">
        <v>1.78</v>
      </c>
      <c r="J184" s="35">
        <v>234</v>
      </c>
      <c r="K184" s="35" t="s">
        <v>126</v>
      </c>
      <c r="L184" s="35" t="s">
        <v>45</v>
      </c>
      <c r="M184" s="36" t="s">
        <v>82</v>
      </c>
      <c r="N184" s="36"/>
      <c r="O184" s="35">
        <v>40</v>
      </c>
      <c r="P184" s="1030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4" s="771"/>
      <c r="R184" s="771"/>
      <c r="S184" s="771"/>
      <c r="T184" s="772"/>
      <c r="U184" s="37" t="s">
        <v>45</v>
      </c>
      <c r="V184" s="37" t="s">
        <v>45</v>
      </c>
      <c r="W184" s="38" t="s">
        <v>0</v>
      </c>
      <c r="X184" s="56">
        <v>0</v>
      </c>
      <c r="Y184" s="53">
        <f t="shared" si="30"/>
        <v>0</v>
      </c>
      <c r="Z184" s="39" t="str">
        <f>IFERROR(IF(Y184=0,"",ROUNDUP(Y184/H184,0)*0.00502),"")</f>
        <v/>
      </c>
      <c r="AA184" s="65" t="s">
        <v>45</v>
      </c>
      <c r="AB184" s="66" t="s">
        <v>45</v>
      </c>
      <c r="AC184" s="255" t="s">
        <v>324</v>
      </c>
      <c r="AG184" s="75"/>
      <c r="AJ184" s="79" t="s">
        <v>45</v>
      </c>
      <c r="AK184" s="79">
        <v>0</v>
      </c>
      <c r="BB184" s="256" t="s">
        <v>66</v>
      </c>
      <c r="BM184" s="75">
        <f t="shared" si="31"/>
        <v>0</v>
      </c>
      <c r="BN184" s="75">
        <f t="shared" si="32"/>
        <v>0</v>
      </c>
      <c r="BO184" s="75">
        <f t="shared" si="33"/>
        <v>0</v>
      </c>
      <c r="BP184" s="75">
        <f t="shared" si="34"/>
        <v>0</v>
      </c>
    </row>
    <row r="185" spans="1:68" x14ac:dyDescent="0.2">
      <c r="A185" s="759"/>
      <c r="B185" s="759"/>
      <c r="C185" s="759"/>
      <c r="D185" s="759"/>
      <c r="E185" s="759"/>
      <c r="F185" s="759"/>
      <c r="G185" s="759"/>
      <c r="H185" s="759"/>
      <c r="I185" s="759"/>
      <c r="J185" s="759"/>
      <c r="K185" s="759"/>
      <c r="L185" s="759"/>
      <c r="M185" s="759"/>
      <c r="N185" s="759"/>
      <c r="O185" s="767"/>
      <c r="P185" s="764" t="s">
        <v>40</v>
      </c>
      <c r="Q185" s="765"/>
      <c r="R185" s="765"/>
      <c r="S185" s="765"/>
      <c r="T185" s="765"/>
      <c r="U185" s="765"/>
      <c r="V185" s="766"/>
      <c r="W185" s="40" t="s">
        <v>39</v>
      </c>
      <c r="X185" s="41">
        <f>IFERROR(X177/H177,"0")+IFERROR(X178/H178,"0")+IFERROR(X179/H179,"0")+IFERROR(X180/H180,"0")+IFERROR(X181/H181,"0")+IFERROR(X182/H182,"0")+IFERROR(X183/H183,"0")+IFERROR(X184/H184,"0")</f>
        <v>23.80952380952381</v>
      </c>
      <c r="Y185" s="41">
        <f>IFERROR(Y177/H177,"0")+IFERROR(Y178/H178,"0")+IFERROR(Y179/H179,"0")+IFERROR(Y180/H180,"0")+IFERROR(Y181/H181,"0")+IFERROR(Y182/H182,"0")+IFERROR(Y183/H183,"0")+IFERROR(Y184/H184,"0")</f>
        <v>25</v>
      </c>
      <c r="Z185" s="41">
        <f>IFERROR(IF(Z177="",0,Z177),"0")+IFERROR(IF(Z178="",0,Z178),"0")+IFERROR(IF(Z179="",0,Z179),"0")+IFERROR(IF(Z180="",0,Z180),"0")+IFERROR(IF(Z181="",0,Z181),"0")+IFERROR(IF(Z182="",0,Z182),"0")+IFERROR(IF(Z183="",0,Z183),"0")+IFERROR(IF(Z184="",0,Z184),"0")</f>
        <v>0.22550000000000001</v>
      </c>
      <c r="AA185" s="64"/>
      <c r="AB185" s="64"/>
      <c r="AC185" s="64"/>
    </row>
    <row r="186" spans="1:68" x14ac:dyDescent="0.2">
      <c r="A186" s="759"/>
      <c r="B186" s="759"/>
      <c r="C186" s="759"/>
      <c r="D186" s="759"/>
      <c r="E186" s="759"/>
      <c r="F186" s="759"/>
      <c r="G186" s="759"/>
      <c r="H186" s="759"/>
      <c r="I186" s="759"/>
      <c r="J186" s="759"/>
      <c r="K186" s="759"/>
      <c r="L186" s="759"/>
      <c r="M186" s="759"/>
      <c r="N186" s="759"/>
      <c r="O186" s="767"/>
      <c r="P186" s="764" t="s">
        <v>40</v>
      </c>
      <c r="Q186" s="765"/>
      <c r="R186" s="765"/>
      <c r="S186" s="765"/>
      <c r="T186" s="765"/>
      <c r="U186" s="765"/>
      <c r="V186" s="766"/>
      <c r="W186" s="40" t="s">
        <v>0</v>
      </c>
      <c r="X186" s="41">
        <f>IFERROR(SUM(X177:X184),"0")</f>
        <v>100</v>
      </c>
      <c r="Y186" s="41">
        <f>IFERROR(SUM(Y177:Y184),"0")</f>
        <v>105</v>
      </c>
      <c r="Z186" s="40"/>
      <c r="AA186" s="64"/>
      <c r="AB186" s="64"/>
      <c r="AC186" s="64"/>
    </row>
    <row r="187" spans="1:68" ht="16.5" customHeight="1" x14ac:dyDescent="0.25">
      <c r="A187" s="776" t="s">
        <v>325</v>
      </c>
      <c r="B187" s="776"/>
      <c r="C187" s="776"/>
      <c r="D187" s="776"/>
      <c r="E187" s="776"/>
      <c r="F187" s="776"/>
      <c r="G187" s="776"/>
      <c r="H187" s="776"/>
      <c r="I187" s="776"/>
      <c r="J187" s="776"/>
      <c r="K187" s="776"/>
      <c r="L187" s="776"/>
      <c r="M187" s="776"/>
      <c r="N187" s="776"/>
      <c r="O187" s="776"/>
      <c r="P187" s="776"/>
      <c r="Q187" s="776"/>
      <c r="R187" s="776"/>
      <c r="S187" s="776"/>
      <c r="T187" s="776"/>
      <c r="U187" s="776"/>
      <c r="V187" s="776"/>
      <c r="W187" s="776"/>
      <c r="X187" s="776"/>
      <c r="Y187" s="776"/>
      <c r="Z187" s="776"/>
      <c r="AA187" s="62"/>
      <c r="AB187" s="62"/>
      <c r="AC187" s="62"/>
    </row>
    <row r="188" spans="1:68" ht="14.25" customHeight="1" x14ac:dyDescent="0.25">
      <c r="A188" s="768" t="s">
        <v>101</v>
      </c>
      <c r="B188" s="768"/>
      <c r="C188" s="768"/>
      <c r="D188" s="768"/>
      <c r="E188" s="768"/>
      <c r="F188" s="768"/>
      <c r="G188" s="768"/>
      <c r="H188" s="768"/>
      <c r="I188" s="768"/>
      <c r="J188" s="768"/>
      <c r="K188" s="768"/>
      <c r="L188" s="768"/>
      <c r="M188" s="768"/>
      <c r="N188" s="768"/>
      <c r="O188" s="768"/>
      <c r="P188" s="768"/>
      <c r="Q188" s="768"/>
      <c r="R188" s="768"/>
      <c r="S188" s="768"/>
      <c r="T188" s="768"/>
      <c r="U188" s="768"/>
      <c r="V188" s="768"/>
      <c r="W188" s="768"/>
      <c r="X188" s="768"/>
      <c r="Y188" s="768"/>
      <c r="Z188" s="768"/>
      <c r="AA188" s="63"/>
      <c r="AB188" s="63"/>
      <c r="AC188" s="63"/>
    </row>
    <row r="189" spans="1:68" ht="16.5" customHeight="1" x14ac:dyDescent="0.25">
      <c r="A189" s="60" t="s">
        <v>326</v>
      </c>
      <c r="B189" s="60" t="s">
        <v>327</v>
      </c>
      <c r="C189" s="34">
        <v>4301011450</v>
      </c>
      <c r="D189" s="769">
        <v>4680115881402</v>
      </c>
      <c r="E189" s="769"/>
      <c r="F189" s="59">
        <v>1.35</v>
      </c>
      <c r="G189" s="35">
        <v>8</v>
      </c>
      <c r="H189" s="59">
        <v>10.8</v>
      </c>
      <c r="I189" s="59">
        <v>11.234999999999999</v>
      </c>
      <c r="J189" s="35">
        <v>64</v>
      </c>
      <c r="K189" s="35" t="s">
        <v>107</v>
      </c>
      <c r="L189" s="35" t="s">
        <v>45</v>
      </c>
      <c r="M189" s="36" t="s">
        <v>110</v>
      </c>
      <c r="N189" s="36"/>
      <c r="O189" s="35">
        <v>55</v>
      </c>
      <c r="P189" s="101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9" s="771"/>
      <c r="R189" s="771"/>
      <c r="S189" s="771"/>
      <c r="T189" s="772"/>
      <c r="U189" s="37" t="s">
        <v>45</v>
      </c>
      <c r="V189" s="37" t="s">
        <v>45</v>
      </c>
      <c r="W189" s="38" t="s">
        <v>0</v>
      </c>
      <c r="X189" s="56">
        <v>0</v>
      </c>
      <c r="Y189" s="53">
        <f>IFERROR(IF(X189="",0,CEILING((X189/$H189),1)*$H189),"")</f>
        <v>0</v>
      </c>
      <c r="Z189" s="39" t="str">
        <f>IFERROR(IF(Y189=0,"",ROUNDUP(Y189/H189,0)*0.01898),"")</f>
        <v/>
      </c>
      <c r="AA189" s="65" t="s">
        <v>45</v>
      </c>
      <c r="AB189" s="66" t="s">
        <v>45</v>
      </c>
      <c r="AC189" s="257" t="s">
        <v>328</v>
      </c>
      <c r="AG189" s="75"/>
      <c r="AJ189" s="79" t="s">
        <v>45</v>
      </c>
      <c r="AK189" s="79">
        <v>0</v>
      </c>
      <c r="BB189" s="258" t="s">
        <v>66</v>
      </c>
      <c r="BM189" s="75">
        <f>IFERROR(X189*I189/H189,"0")</f>
        <v>0</v>
      </c>
      <c r="BN189" s="75">
        <f>IFERROR(Y189*I189/H189,"0")</f>
        <v>0</v>
      </c>
      <c r="BO189" s="75">
        <f>IFERROR(1/J189*(X189/H189),"0")</f>
        <v>0</v>
      </c>
      <c r="BP189" s="75">
        <f>IFERROR(1/J189*(Y189/H189),"0")</f>
        <v>0</v>
      </c>
    </row>
    <row r="190" spans="1:68" ht="27" customHeight="1" x14ac:dyDescent="0.25">
      <c r="A190" s="60" t="s">
        <v>329</v>
      </c>
      <c r="B190" s="60" t="s">
        <v>330</v>
      </c>
      <c r="C190" s="34">
        <v>4301011768</v>
      </c>
      <c r="D190" s="769">
        <v>4680115881396</v>
      </c>
      <c r="E190" s="769"/>
      <c r="F190" s="59">
        <v>0.45</v>
      </c>
      <c r="G190" s="35">
        <v>6</v>
      </c>
      <c r="H190" s="59">
        <v>2.7</v>
      </c>
      <c r="I190" s="59">
        <v>2.88</v>
      </c>
      <c r="J190" s="35">
        <v>182</v>
      </c>
      <c r="K190" s="35" t="s">
        <v>83</v>
      </c>
      <c r="L190" s="35" t="s">
        <v>45</v>
      </c>
      <c r="M190" s="36" t="s">
        <v>110</v>
      </c>
      <c r="N190" s="36"/>
      <c r="O190" s="35">
        <v>55</v>
      </c>
      <c r="P190" s="102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0" s="771"/>
      <c r="R190" s="771"/>
      <c r="S190" s="771"/>
      <c r="T190" s="772"/>
      <c r="U190" s="37" t="s">
        <v>45</v>
      </c>
      <c r="V190" s="37" t="s">
        <v>45</v>
      </c>
      <c r="W190" s="38" t="s">
        <v>0</v>
      </c>
      <c r="X190" s="56">
        <v>0</v>
      </c>
      <c r="Y190" s="53">
        <f>IFERROR(IF(X190="",0,CEILING((X190/$H190),1)*$H190),"")</f>
        <v>0</v>
      </c>
      <c r="Z190" s="39" t="str">
        <f>IFERROR(IF(Y190=0,"",ROUNDUP(Y190/H190,0)*0.00651),"")</f>
        <v/>
      </c>
      <c r="AA190" s="65" t="s">
        <v>45</v>
      </c>
      <c r="AB190" s="66" t="s">
        <v>45</v>
      </c>
      <c r="AC190" s="259" t="s">
        <v>328</v>
      </c>
      <c r="AG190" s="75"/>
      <c r="AJ190" s="79" t="s">
        <v>45</v>
      </c>
      <c r="AK190" s="79">
        <v>0</v>
      </c>
      <c r="BB190" s="260" t="s">
        <v>66</v>
      </c>
      <c r="BM190" s="75">
        <f>IFERROR(X190*I190/H190,"0")</f>
        <v>0</v>
      </c>
      <c r="BN190" s="75">
        <f>IFERROR(Y190*I190/H190,"0")</f>
        <v>0</v>
      </c>
      <c r="BO190" s="75">
        <f>IFERROR(1/J190*(X190/H190),"0")</f>
        <v>0</v>
      </c>
      <c r="BP190" s="75">
        <f>IFERROR(1/J190*(Y190/H190),"0")</f>
        <v>0</v>
      </c>
    </row>
    <row r="191" spans="1:68" x14ac:dyDescent="0.2">
      <c r="A191" s="759"/>
      <c r="B191" s="759"/>
      <c r="C191" s="759"/>
      <c r="D191" s="759"/>
      <c r="E191" s="759"/>
      <c r="F191" s="759"/>
      <c r="G191" s="759"/>
      <c r="H191" s="759"/>
      <c r="I191" s="759"/>
      <c r="J191" s="759"/>
      <c r="K191" s="759"/>
      <c r="L191" s="759"/>
      <c r="M191" s="759"/>
      <c r="N191" s="759"/>
      <c r="O191" s="767"/>
      <c r="P191" s="764" t="s">
        <v>40</v>
      </c>
      <c r="Q191" s="765"/>
      <c r="R191" s="765"/>
      <c r="S191" s="765"/>
      <c r="T191" s="765"/>
      <c r="U191" s="765"/>
      <c r="V191" s="766"/>
      <c r="W191" s="40" t="s">
        <v>39</v>
      </c>
      <c r="X191" s="41">
        <f>IFERROR(X189/H189,"0")+IFERROR(X190/H190,"0")</f>
        <v>0</v>
      </c>
      <c r="Y191" s="41">
        <f>IFERROR(Y189/H189,"0")+IFERROR(Y190/H190,"0")</f>
        <v>0</v>
      </c>
      <c r="Z191" s="41">
        <f>IFERROR(IF(Z189="",0,Z189),"0")+IFERROR(IF(Z190="",0,Z190),"0")</f>
        <v>0</v>
      </c>
      <c r="AA191" s="64"/>
      <c r="AB191" s="64"/>
      <c r="AC191" s="64"/>
    </row>
    <row r="192" spans="1:68" x14ac:dyDescent="0.2">
      <c r="A192" s="759"/>
      <c r="B192" s="759"/>
      <c r="C192" s="759"/>
      <c r="D192" s="759"/>
      <c r="E192" s="759"/>
      <c r="F192" s="759"/>
      <c r="G192" s="759"/>
      <c r="H192" s="759"/>
      <c r="I192" s="759"/>
      <c r="J192" s="759"/>
      <c r="K192" s="759"/>
      <c r="L192" s="759"/>
      <c r="M192" s="759"/>
      <c r="N192" s="759"/>
      <c r="O192" s="767"/>
      <c r="P192" s="764" t="s">
        <v>40</v>
      </c>
      <c r="Q192" s="765"/>
      <c r="R192" s="765"/>
      <c r="S192" s="765"/>
      <c r="T192" s="765"/>
      <c r="U192" s="765"/>
      <c r="V192" s="766"/>
      <c r="W192" s="40" t="s">
        <v>0</v>
      </c>
      <c r="X192" s="41">
        <f>IFERROR(SUM(X189:X190),"0")</f>
        <v>0</v>
      </c>
      <c r="Y192" s="41">
        <f>IFERROR(SUM(Y189:Y190),"0")</f>
        <v>0</v>
      </c>
      <c r="Z192" s="40"/>
      <c r="AA192" s="64"/>
      <c r="AB192" s="64"/>
      <c r="AC192" s="64"/>
    </row>
    <row r="193" spans="1:68" ht="14.25" customHeight="1" x14ac:dyDescent="0.25">
      <c r="A193" s="768" t="s">
        <v>153</v>
      </c>
      <c r="B193" s="768"/>
      <c r="C193" s="768"/>
      <c r="D193" s="768"/>
      <c r="E193" s="768"/>
      <c r="F193" s="768"/>
      <c r="G193" s="768"/>
      <c r="H193" s="768"/>
      <c r="I193" s="768"/>
      <c r="J193" s="768"/>
      <c r="K193" s="768"/>
      <c r="L193" s="768"/>
      <c r="M193" s="768"/>
      <c r="N193" s="768"/>
      <c r="O193" s="768"/>
      <c r="P193" s="768"/>
      <c r="Q193" s="768"/>
      <c r="R193" s="768"/>
      <c r="S193" s="768"/>
      <c r="T193" s="768"/>
      <c r="U193" s="768"/>
      <c r="V193" s="768"/>
      <c r="W193" s="768"/>
      <c r="X193" s="768"/>
      <c r="Y193" s="768"/>
      <c r="Z193" s="768"/>
      <c r="AA193" s="63"/>
      <c r="AB193" s="63"/>
      <c r="AC193" s="63"/>
    </row>
    <row r="194" spans="1:68" ht="16.5" customHeight="1" x14ac:dyDescent="0.25">
      <c r="A194" s="60" t="s">
        <v>331</v>
      </c>
      <c r="B194" s="60" t="s">
        <v>332</v>
      </c>
      <c r="C194" s="34">
        <v>4301020262</v>
      </c>
      <c r="D194" s="769">
        <v>4680115882935</v>
      </c>
      <c r="E194" s="769"/>
      <c r="F194" s="59">
        <v>1.35</v>
      </c>
      <c r="G194" s="35">
        <v>8</v>
      </c>
      <c r="H194" s="59">
        <v>10.8</v>
      </c>
      <c r="I194" s="59">
        <v>11.234999999999999</v>
      </c>
      <c r="J194" s="35">
        <v>64</v>
      </c>
      <c r="K194" s="35" t="s">
        <v>107</v>
      </c>
      <c r="L194" s="35" t="s">
        <v>45</v>
      </c>
      <c r="M194" s="36" t="s">
        <v>106</v>
      </c>
      <c r="N194" s="36"/>
      <c r="O194" s="35">
        <v>50</v>
      </c>
      <c r="P194" s="102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4" s="771"/>
      <c r="R194" s="771"/>
      <c r="S194" s="771"/>
      <c r="T194" s="772"/>
      <c r="U194" s="37" t="s">
        <v>45</v>
      </c>
      <c r="V194" s="37" t="s">
        <v>45</v>
      </c>
      <c r="W194" s="38" t="s">
        <v>0</v>
      </c>
      <c r="X194" s="56">
        <v>0</v>
      </c>
      <c r="Y194" s="53">
        <f>IFERROR(IF(X194="",0,CEILING((X194/$H194),1)*$H194),"")</f>
        <v>0</v>
      </c>
      <c r="Z194" s="39" t="str">
        <f>IFERROR(IF(Y194=0,"",ROUNDUP(Y194/H194,0)*0.01898),"")</f>
        <v/>
      </c>
      <c r="AA194" s="65" t="s">
        <v>45</v>
      </c>
      <c r="AB194" s="66" t="s">
        <v>45</v>
      </c>
      <c r="AC194" s="261" t="s">
        <v>333</v>
      </c>
      <c r="AG194" s="75"/>
      <c r="AJ194" s="79" t="s">
        <v>45</v>
      </c>
      <c r="AK194" s="79">
        <v>0</v>
      </c>
      <c r="BB194" s="262" t="s">
        <v>66</v>
      </c>
      <c r="BM194" s="75">
        <f>IFERROR(X194*I194/H194,"0")</f>
        <v>0</v>
      </c>
      <c r="BN194" s="75">
        <f>IFERROR(Y194*I194/H194,"0")</f>
        <v>0</v>
      </c>
      <c r="BO194" s="75">
        <f>IFERROR(1/J194*(X194/H194),"0")</f>
        <v>0</v>
      </c>
      <c r="BP194" s="75">
        <f>IFERROR(1/J194*(Y194/H194),"0")</f>
        <v>0</v>
      </c>
    </row>
    <row r="195" spans="1:68" ht="16.5" customHeight="1" x14ac:dyDescent="0.25">
      <c r="A195" s="60" t="s">
        <v>334</v>
      </c>
      <c r="B195" s="60" t="s">
        <v>335</v>
      </c>
      <c r="C195" s="34">
        <v>4301020220</v>
      </c>
      <c r="D195" s="769">
        <v>4680115880764</v>
      </c>
      <c r="E195" s="769"/>
      <c r="F195" s="59">
        <v>0.35</v>
      </c>
      <c r="G195" s="35">
        <v>6</v>
      </c>
      <c r="H195" s="59">
        <v>2.1</v>
      </c>
      <c r="I195" s="59">
        <v>2.2799999999999998</v>
      </c>
      <c r="J195" s="35">
        <v>182</v>
      </c>
      <c r="K195" s="35" t="s">
        <v>83</v>
      </c>
      <c r="L195" s="35" t="s">
        <v>45</v>
      </c>
      <c r="M195" s="36" t="s">
        <v>110</v>
      </c>
      <c r="N195" s="36"/>
      <c r="O195" s="35">
        <v>50</v>
      </c>
      <c r="P195" s="102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5" s="771"/>
      <c r="R195" s="771"/>
      <c r="S195" s="771"/>
      <c r="T195" s="772"/>
      <c r="U195" s="37" t="s">
        <v>45</v>
      </c>
      <c r="V195" s="37" t="s">
        <v>45</v>
      </c>
      <c r="W195" s="38" t="s">
        <v>0</v>
      </c>
      <c r="X195" s="56">
        <v>0</v>
      </c>
      <c r="Y195" s="53">
        <f>IFERROR(IF(X195="",0,CEILING((X195/$H195),1)*$H195),"")</f>
        <v>0</v>
      </c>
      <c r="Z195" s="39" t="str">
        <f>IFERROR(IF(Y195=0,"",ROUNDUP(Y195/H195,0)*0.00651),"")</f>
        <v/>
      </c>
      <c r="AA195" s="65" t="s">
        <v>45</v>
      </c>
      <c r="AB195" s="66" t="s">
        <v>45</v>
      </c>
      <c r="AC195" s="263" t="s">
        <v>333</v>
      </c>
      <c r="AG195" s="75"/>
      <c r="AJ195" s="79" t="s">
        <v>45</v>
      </c>
      <c r="AK195" s="79">
        <v>0</v>
      </c>
      <c r="BB195" s="264" t="s">
        <v>66</v>
      </c>
      <c r="BM195" s="75">
        <f>IFERROR(X195*I195/H195,"0")</f>
        <v>0</v>
      </c>
      <c r="BN195" s="75">
        <f>IFERROR(Y195*I195/H195,"0")</f>
        <v>0</v>
      </c>
      <c r="BO195" s="75">
        <f>IFERROR(1/J195*(X195/H195),"0")</f>
        <v>0</v>
      </c>
      <c r="BP195" s="75">
        <f>IFERROR(1/J195*(Y195/H195),"0")</f>
        <v>0</v>
      </c>
    </row>
    <row r="196" spans="1:68" x14ac:dyDescent="0.2">
      <c r="A196" s="759"/>
      <c r="B196" s="759"/>
      <c r="C196" s="759"/>
      <c r="D196" s="759"/>
      <c r="E196" s="759"/>
      <c r="F196" s="759"/>
      <c r="G196" s="759"/>
      <c r="H196" s="759"/>
      <c r="I196" s="759"/>
      <c r="J196" s="759"/>
      <c r="K196" s="759"/>
      <c r="L196" s="759"/>
      <c r="M196" s="759"/>
      <c r="N196" s="759"/>
      <c r="O196" s="767"/>
      <c r="P196" s="764" t="s">
        <v>40</v>
      </c>
      <c r="Q196" s="765"/>
      <c r="R196" s="765"/>
      <c r="S196" s="765"/>
      <c r="T196" s="765"/>
      <c r="U196" s="765"/>
      <c r="V196" s="766"/>
      <c r="W196" s="40" t="s">
        <v>39</v>
      </c>
      <c r="X196" s="41">
        <f>IFERROR(X194/H194,"0")+IFERROR(X195/H195,"0")</f>
        <v>0</v>
      </c>
      <c r="Y196" s="41">
        <f>IFERROR(Y194/H194,"0")+IFERROR(Y195/H195,"0")</f>
        <v>0</v>
      </c>
      <c r="Z196" s="41">
        <f>IFERROR(IF(Z194="",0,Z194),"0")+IFERROR(IF(Z195="",0,Z195),"0")</f>
        <v>0</v>
      </c>
      <c r="AA196" s="64"/>
      <c r="AB196" s="64"/>
      <c r="AC196" s="64"/>
    </row>
    <row r="197" spans="1:68" x14ac:dyDescent="0.2">
      <c r="A197" s="759"/>
      <c r="B197" s="759"/>
      <c r="C197" s="759"/>
      <c r="D197" s="759"/>
      <c r="E197" s="759"/>
      <c r="F197" s="759"/>
      <c r="G197" s="759"/>
      <c r="H197" s="759"/>
      <c r="I197" s="759"/>
      <c r="J197" s="759"/>
      <c r="K197" s="759"/>
      <c r="L197" s="759"/>
      <c r="M197" s="759"/>
      <c r="N197" s="759"/>
      <c r="O197" s="767"/>
      <c r="P197" s="764" t="s">
        <v>40</v>
      </c>
      <c r="Q197" s="765"/>
      <c r="R197" s="765"/>
      <c r="S197" s="765"/>
      <c r="T197" s="765"/>
      <c r="U197" s="765"/>
      <c r="V197" s="766"/>
      <c r="W197" s="40" t="s">
        <v>0</v>
      </c>
      <c r="X197" s="41">
        <f>IFERROR(SUM(X194:X195),"0")</f>
        <v>0</v>
      </c>
      <c r="Y197" s="41">
        <f>IFERROR(SUM(Y194:Y195),"0")</f>
        <v>0</v>
      </c>
      <c r="Z197" s="40"/>
      <c r="AA197" s="64"/>
      <c r="AB197" s="64"/>
      <c r="AC197" s="64"/>
    </row>
    <row r="198" spans="1:68" ht="14.25" customHeight="1" x14ac:dyDescent="0.25">
      <c r="A198" s="768" t="s">
        <v>164</v>
      </c>
      <c r="B198" s="768"/>
      <c r="C198" s="768"/>
      <c r="D198" s="768"/>
      <c r="E198" s="768"/>
      <c r="F198" s="768"/>
      <c r="G198" s="768"/>
      <c r="H198" s="768"/>
      <c r="I198" s="768"/>
      <c r="J198" s="768"/>
      <c r="K198" s="768"/>
      <c r="L198" s="768"/>
      <c r="M198" s="768"/>
      <c r="N198" s="768"/>
      <c r="O198" s="768"/>
      <c r="P198" s="768"/>
      <c r="Q198" s="768"/>
      <c r="R198" s="768"/>
      <c r="S198" s="768"/>
      <c r="T198" s="768"/>
      <c r="U198" s="768"/>
      <c r="V198" s="768"/>
      <c r="W198" s="768"/>
      <c r="X198" s="768"/>
      <c r="Y198" s="768"/>
      <c r="Z198" s="768"/>
      <c r="AA198" s="63"/>
      <c r="AB198" s="63"/>
      <c r="AC198" s="63"/>
    </row>
    <row r="199" spans="1:68" ht="27" customHeight="1" x14ac:dyDescent="0.25">
      <c r="A199" s="60" t="s">
        <v>336</v>
      </c>
      <c r="B199" s="60" t="s">
        <v>337</v>
      </c>
      <c r="C199" s="34">
        <v>4301031224</v>
      </c>
      <c r="D199" s="769">
        <v>4680115882683</v>
      </c>
      <c r="E199" s="769"/>
      <c r="F199" s="59">
        <v>0.9</v>
      </c>
      <c r="G199" s="35">
        <v>6</v>
      </c>
      <c r="H199" s="59">
        <v>5.4</v>
      </c>
      <c r="I199" s="59">
        <v>5.61</v>
      </c>
      <c r="J199" s="35">
        <v>132</v>
      </c>
      <c r="K199" s="35" t="s">
        <v>116</v>
      </c>
      <c r="L199" s="35" t="s">
        <v>45</v>
      </c>
      <c r="M199" s="36" t="s">
        <v>82</v>
      </c>
      <c r="N199" s="36"/>
      <c r="O199" s="35">
        <v>40</v>
      </c>
      <c r="P199" s="1012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9" s="771"/>
      <c r="R199" s="771"/>
      <c r="S199" s="771"/>
      <c r="T199" s="772"/>
      <c r="U199" s="37" t="s">
        <v>45</v>
      </c>
      <c r="V199" s="37" t="s">
        <v>45</v>
      </c>
      <c r="W199" s="38" t="s">
        <v>0</v>
      </c>
      <c r="X199" s="56">
        <v>450</v>
      </c>
      <c r="Y199" s="53">
        <f t="shared" ref="Y199:Y206" si="35">IFERROR(IF(X199="",0,CEILING((X199/$H199),1)*$H199),"")</f>
        <v>453.6</v>
      </c>
      <c r="Z199" s="39">
        <f>IFERROR(IF(Y199=0,"",ROUNDUP(Y199/H199,0)*0.00902),"")</f>
        <v>0.75768000000000002</v>
      </c>
      <c r="AA199" s="65" t="s">
        <v>45</v>
      </c>
      <c r="AB199" s="66" t="s">
        <v>45</v>
      </c>
      <c r="AC199" s="265" t="s">
        <v>338</v>
      </c>
      <c r="AG199" s="75"/>
      <c r="AJ199" s="79" t="s">
        <v>45</v>
      </c>
      <c r="AK199" s="79">
        <v>0</v>
      </c>
      <c r="BB199" s="266" t="s">
        <v>66</v>
      </c>
      <c r="BM199" s="75">
        <f t="shared" ref="BM199:BM206" si="36">IFERROR(X199*I199/H199,"0")</f>
        <v>467.49999999999994</v>
      </c>
      <c r="BN199" s="75">
        <f t="shared" ref="BN199:BN206" si="37">IFERROR(Y199*I199/H199,"0")</f>
        <v>471.24</v>
      </c>
      <c r="BO199" s="75">
        <f t="shared" ref="BO199:BO206" si="38">IFERROR(1/J199*(X199/H199),"0")</f>
        <v>0.63131313131313127</v>
      </c>
      <c r="BP199" s="75">
        <f t="shared" ref="BP199:BP206" si="39">IFERROR(1/J199*(Y199/H199),"0")</f>
        <v>0.63636363636363635</v>
      </c>
    </row>
    <row r="200" spans="1:68" ht="27" customHeight="1" x14ac:dyDescent="0.25">
      <c r="A200" s="60" t="s">
        <v>339</v>
      </c>
      <c r="B200" s="60" t="s">
        <v>340</v>
      </c>
      <c r="C200" s="34">
        <v>4301031230</v>
      </c>
      <c r="D200" s="769">
        <v>4680115882690</v>
      </c>
      <c r="E200" s="769"/>
      <c r="F200" s="59">
        <v>0.9</v>
      </c>
      <c r="G200" s="35">
        <v>6</v>
      </c>
      <c r="H200" s="59">
        <v>5.4</v>
      </c>
      <c r="I200" s="59">
        <v>5.61</v>
      </c>
      <c r="J200" s="35">
        <v>132</v>
      </c>
      <c r="K200" s="35" t="s">
        <v>116</v>
      </c>
      <c r="L200" s="35" t="s">
        <v>45</v>
      </c>
      <c r="M200" s="36" t="s">
        <v>82</v>
      </c>
      <c r="N200" s="36"/>
      <c r="O200" s="35">
        <v>40</v>
      </c>
      <c r="P200" s="101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0" s="771"/>
      <c r="R200" s="771"/>
      <c r="S200" s="771"/>
      <c r="T200" s="772"/>
      <c r="U200" s="37" t="s">
        <v>45</v>
      </c>
      <c r="V200" s="37" t="s">
        <v>45</v>
      </c>
      <c r="W200" s="38" t="s">
        <v>0</v>
      </c>
      <c r="X200" s="56">
        <v>100</v>
      </c>
      <c r="Y200" s="53">
        <f t="shared" si="35"/>
        <v>102.60000000000001</v>
      </c>
      <c r="Z200" s="39">
        <f>IFERROR(IF(Y200=0,"",ROUNDUP(Y200/H200,0)*0.00902),"")</f>
        <v>0.17138</v>
      </c>
      <c r="AA200" s="65" t="s">
        <v>45</v>
      </c>
      <c r="AB200" s="66" t="s">
        <v>45</v>
      </c>
      <c r="AC200" s="267" t="s">
        <v>341</v>
      </c>
      <c r="AG200" s="75"/>
      <c r="AJ200" s="79" t="s">
        <v>45</v>
      </c>
      <c r="AK200" s="79">
        <v>0</v>
      </c>
      <c r="BB200" s="268" t="s">
        <v>66</v>
      </c>
      <c r="BM200" s="75">
        <f t="shared" si="36"/>
        <v>103.88888888888889</v>
      </c>
      <c r="BN200" s="75">
        <f t="shared" si="37"/>
        <v>106.59000000000002</v>
      </c>
      <c r="BO200" s="75">
        <f t="shared" si="38"/>
        <v>0.14029180695847362</v>
      </c>
      <c r="BP200" s="75">
        <f t="shared" si="39"/>
        <v>0.14393939393939395</v>
      </c>
    </row>
    <row r="201" spans="1:68" ht="27" customHeight="1" x14ac:dyDescent="0.25">
      <c r="A201" s="60" t="s">
        <v>342</v>
      </c>
      <c r="B201" s="60" t="s">
        <v>343</v>
      </c>
      <c r="C201" s="34">
        <v>4301031220</v>
      </c>
      <c r="D201" s="769">
        <v>4680115882669</v>
      </c>
      <c r="E201" s="769"/>
      <c r="F201" s="59">
        <v>0.9</v>
      </c>
      <c r="G201" s="35">
        <v>6</v>
      </c>
      <c r="H201" s="59">
        <v>5.4</v>
      </c>
      <c r="I201" s="59">
        <v>5.61</v>
      </c>
      <c r="J201" s="35">
        <v>132</v>
      </c>
      <c r="K201" s="35" t="s">
        <v>116</v>
      </c>
      <c r="L201" s="35" t="s">
        <v>45</v>
      </c>
      <c r="M201" s="36" t="s">
        <v>82</v>
      </c>
      <c r="N201" s="36"/>
      <c r="O201" s="35">
        <v>40</v>
      </c>
      <c r="P201" s="101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1" s="771"/>
      <c r="R201" s="771"/>
      <c r="S201" s="771"/>
      <c r="T201" s="772"/>
      <c r="U201" s="37" t="s">
        <v>45</v>
      </c>
      <c r="V201" s="37" t="s">
        <v>45</v>
      </c>
      <c r="W201" s="38" t="s">
        <v>0</v>
      </c>
      <c r="X201" s="56">
        <v>140</v>
      </c>
      <c r="Y201" s="53">
        <f t="shared" si="35"/>
        <v>140.4</v>
      </c>
      <c r="Z201" s="39">
        <f>IFERROR(IF(Y201=0,"",ROUNDUP(Y201/H201,0)*0.00902),"")</f>
        <v>0.23452000000000001</v>
      </c>
      <c r="AA201" s="65" t="s">
        <v>45</v>
      </c>
      <c r="AB201" s="66" t="s">
        <v>45</v>
      </c>
      <c r="AC201" s="269" t="s">
        <v>344</v>
      </c>
      <c r="AG201" s="75"/>
      <c r="AJ201" s="79" t="s">
        <v>45</v>
      </c>
      <c r="AK201" s="79">
        <v>0</v>
      </c>
      <c r="BB201" s="270" t="s">
        <v>66</v>
      </c>
      <c r="BM201" s="75">
        <f t="shared" si="36"/>
        <v>145.44444444444446</v>
      </c>
      <c r="BN201" s="75">
        <f t="shared" si="37"/>
        <v>145.86000000000001</v>
      </c>
      <c r="BO201" s="75">
        <f t="shared" si="38"/>
        <v>0.19640852974186307</v>
      </c>
      <c r="BP201" s="75">
        <f t="shared" si="39"/>
        <v>0.19696969696969696</v>
      </c>
    </row>
    <row r="202" spans="1:68" ht="27" customHeight="1" x14ac:dyDescent="0.25">
      <c r="A202" s="60" t="s">
        <v>345</v>
      </c>
      <c r="B202" s="60" t="s">
        <v>346</v>
      </c>
      <c r="C202" s="34">
        <v>4301031221</v>
      </c>
      <c r="D202" s="769">
        <v>4680115882676</v>
      </c>
      <c r="E202" s="769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116</v>
      </c>
      <c r="L202" s="35" t="s">
        <v>45</v>
      </c>
      <c r="M202" s="36" t="s">
        <v>82</v>
      </c>
      <c r="N202" s="36"/>
      <c r="O202" s="35">
        <v>40</v>
      </c>
      <c r="P202" s="101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2" s="771"/>
      <c r="R202" s="771"/>
      <c r="S202" s="771"/>
      <c r="T202" s="772"/>
      <c r="U202" s="37" t="s">
        <v>45</v>
      </c>
      <c r="V202" s="37" t="s">
        <v>45</v>
      </c>
      <c r="W202" s="38" t="s">
        <v>0</v>
      </c>
      <c r="X202" s="56">
        <v>280</v>
      </c>
      <c r="Y202" s="53">
        <f t="shared" si="35"/>
        <v>280.8</v>
      </c>
      <c r="Z202" s="39">
        <f>IFERROR(IF(Y202=0,"",ROUNDUP(Y202/H202,0)*0.00902),"")</f>
        <v>0.46904000000000001</v>
      </c>
      <c r="AA202" s="65" t="s">
        <v>45</v>
      </c>
      <c r="AB202" s="66" t="s">
        <v>45</v>
      </c>
      <c r="AC202" s="271" t="s">
        <v>347</v>
      </c>
      <c r="AG202" s="75"/>
      <c r="AJ202" s="79" t="s">
        <v>45</v>
      </c>
      <c r="AK202" s="79">
        <v>0</v>
      </c>
      <c r="BB202" s="272" t="s">
        <v>66</v>
      </c>
      <c r="BM202" s="75">
        <f t="shared" si="36"/>
        <v>290.88888888888891</v>
      </c>
      <c r="BN202" s="75">
        <f t="shared" si="37"/>
        <v>291.72000000000003</v>
      </c>
      <c r="BO202" s="75">
        <f t="shared" si="38"/>
        <v>0.39281705948372614</v>
      </c>
      <c r="BP202" s="75">
        <f t="shared" si="39"/>
        <v>0.39393939393939392</v>
      </c>
    </row>
    <row r="203" spans="1:68" ht="27" customHeight="1" x14ac:dyDescent="0.25">
      <c r="A203" s="60" t="s">
        <v>348</v>
      </c>
      <c r="B203" s="60" t="s">
        <v>349</v>
      </c>
      <c r="C203" s="34">
        <v>4301031223</v>
      </c>
      <c r="D203" s="769">
        <v>4680115884014</v>
      </c>
      <c r="E203" s="769"/>
      <c r="F203" s="59">
        <v>0.3</v>
      </c>
      <c r="G203" s="35">
        <v>6</v>
      </c>
      <c r="H203" s="59">
        <v>1.8</v>
      </c>
      <c r="I203" s="59">
        <v>1.93</v>
      </c>
      <c r="J203" s="35">
        <v>234</v>
      </c>
      <c r="K203" s="35" t="s">
        <v>126</v>
      </c>
      <c r="L203" s="35" t="s">
        <v>45</v>
      </c>
      <c r="M203" s="36" t="s">
        <v>82</v>
      </c>
      <c r="N203" s="36"/>
      <c r="O203" s="35">
        <v>40</v>
      </c>
      <c r="P203" s="10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3" s="771"/>
      <c r="R203" s="771"/>
      <c r="S203" s="771"/>
      <c r="T203" s="772"/>
      <c r="U203" s="37" t="s">
        <v>45</v>
      </c>
      <c r="V203" s="37" t="s">
        <v>45</v>
      </c>
      <c r="W203" s="38" t="s">
        <v>0</v>
      </c>
      <c r="X203" s="56">
        <v>0</v>
      </c>
      <c r="Y203" s="53">
        <f t="shared" si="35"/>
        <v>0</v>
      </c>
      <c r="Z203" s="39" t="str">
        <f>IFERROR(IF(Y203=0,"",ROUNDUP(Y203/H203,0)*0.00502),"")</f>
        <v/>
      </c>
      <c r="AA203" s="65" t="s">
        <v>45</v>
      </c>
      <c r="AB203" s="66" t="s">
        <v>45</v>
      </c>
      <c r="AC203" s="273" t="s">
        <v>338</v>
      </c>
      <c r="AG203" s="75"/>
      <c r="AJ203" s="79" t="s">
        <v>45</v>
      </c>
      <c r="AK203" s="79">
        <v>0</v>
      </c>
      <c r="BB203" s="274" t="s">
        <v>66</v>
      </c>
      <c r="BM203" s="75">
        <f t="shared" si="36"/>
        <v>0</v>
      </c>
      <c r="BN203" s="75">
        <f t="shared" si="37"/>
        <v>0</v>
      </c>
      <c r="BO203" s="75">
        <f t="shared" si="38"/>
        <v>0</v>
      </c>
      <c r="BP203" s="75">
        <f t="shared" si="39"/>
        <v>0</v>
      </c>
    </row>
    <row r="204" spans="1:68" ht="27" customHeight="1" x14ac:dyDescent="0.25">
      <c r="A204" s="60" t="s">
        <v>350</v>
      </c>
      <c r="B204" s="60" t="s">
        <v>351</v>
      </c>
      <c r="C204" s="34">
        <v>4301031222</v>
      </c>
      <c r="D204" s="769">
        <v>4680115884007</v>
      </c>
      <c r="E204" s="769"/>
      <c r="F204" s="59">
        <v>0.3</v>
      </c>
      <c r="G204" s="35">
        <v>6</v>
      </c>
      <c r="H204" s="59">
        <v>1.8</v>
      </c>
      <c r="I204" s="59">
        <v>1.9</v>
      </c>
      <c r="J204" s="35">
        <v>234</v>
      </c>
      <c r="K204" s="35" t="s">
        <v>126</v>
      </c>
      <c r="L204" s="35" t="s">
        <v>45</v>
      </c>
      <c r="M204" s="36" t="s">
        <v>82</v>
      </c>
      <c r="N204" s="36"/>
      <c r="O204" s="35">
        <v>40</v>
      </c>
      <c r="P204" s="1017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4" s="771"/>
      <c r="R204" s="771"/>
      <c r="S204" s="771"/>
      <c r="T204" s="772"/>
      <c r="U204" s="37" t="s">
        <v>45</v>
      </c>
      <c r="V204" s="37" t="s">
        <v>45</v>
      </c>
      <c r="W204" s="38" t="s">
        <v>0</v>
      </c>
      <c r="X204" s="56">
        <v>0</v>
      </c>
      <c r="Y204" s="53">
        <f t="shared" si="35"/>
        <v>0</v>
      </c>
      <c r="Z204" s="39" t="str">
        <f>IFERROR(IF(Y204=0,"",ROUNDUP(Y204/H204,0)*0.00502),"")</f>
        <v/>
      </c>
      <c r="AA204" s="65" t="s">
        <v>45</v>
      </c>
      <c r="AB204" s="66" t="s">
        <v>45</v>
      </c>
      <c r="AC204" s="275" t="s">
        <v>341</v>
      </c>
      <c r="AG204" s="75"/>
      <c r="AJ204" s="79" t="s">
        <v>45</v>
      </c>
      <c r="AK204" s="79">
        <v>0</v>
      </c>
      <c r="BB204" s="276" t="s">
        <v>66</v>
      </c>
      <c r="BM204" s="75">
        <f t="shared" si="36"/>
        <v>0</v>
      </c>
      <c r="BN204" s="75">
        <f t="shared" si="37"/>
        <v>0</v>
      </c>
      <c r="BO204" s="75">
        <f t="shared" si="38"/>
        <v>0</v>
      </c>
      <c r="BP204" s="75">
        <f t="shared" si="39"/>
        <v>0</v>
      </c>
    </row>
    <row r="205" spans="1:68" ht="27" customHeight="1" x14ac:dyDescent="0.25">
      <c r="A205" s="60" t="s">
        <v>352</v>
      </c>
      <c r="B205" s="60" t="s">
        <v>353</v>
      </c>
      <c r="C205" s="34">
        <v>4301031229</v>
      </c>
      <c r="D205" s="769">
        <v>4680115884038</v>
      </c>
      <c r="E205" s="769"/>
      <c r="F205" s="59">
        <v>0.3</v>
      </c>
      <c r="G205" s="35">
        <v>6</v>
      </c>
      <c r="H205" s="59">
        <v>1.8</v>
      </c>
      <c r="I205" s="59">
        <v>1.9</v>
      </c>
      <c r="J205" s="35">
        <v>234</v>
      </c>
      <c r="K205" s="35" t="s">
        <v>126</v>
      </c>
      <c r="L205" s="35" t="s">
        <v>45</v>
      </c>
      <c r="M205" s="36" t="s">
        <v>82</v>
      </c>
      <c r="N205" s="36"/>
      <c r="O205" s="35">
        <v>40</v>
      </c>
      <c r="P205" s="10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5" s="771"/>
      <c r="R205" s="771"/>
      <c r="S205" s="771"/>
      <c r="T205" s="772"/>
      <c r="U205" s="37" t="s">
        <v>45</v>
      </c>
      <c r="V205" s="37" t="s">
        <v>45</v>
      </c>
      <c r="W205" s="38" t="s">
        <v>0</v>
      </c>
      <c r="X205" s="56">
        <v>0</v>
      </c>
      <c r="Y205" s="53">
        <f t="shared" si="35"/>
        <v>0</v>
      </c>
      <c r="Z205" s="39" t="str">
        <f>IFERROR(IF(Y205=0,"",ROUNDUP(Y205/H205,0)*0.00502),"")</f>
        <v/>
      </c>
      <c r="AA205" s="65" t="s">
        <v>45</v>
      </c>
      <c r="AB205" s="66" t="s">
        <v>45</v>
      </c>
      <c r="AC205" s="277" t="s">
        <v>344</v>
      </c>
      <c r="AG205" s="75"/>
      <c r="AJ205" s="79" t="s">
        <v>45</v>
      </c>
      <c r="AK205" s="79">
        <v>0</v>
      </c>
      <c r="BB205" s="278" t="s">
        <v>66</v>
      </c>
      <c r="BM205" s="75">
        <f t="shared" si="36"/>
        <v>0</v>
      </c>
      <c r="BN205" s="75">
        <f t="shared" si="37"/>
        <v>0</v>
      </c>
      <c r="BO205" s="75">
        <f t="shared" si="38"/>
        <v>0</v>
      </c>
      <c r="BP205" s="75">
        <f t="shared" si="39"/>
        <v>0</v>
      </c>
    </row>
    <row r="206" spans="1:68" ht="27" customHeight="1" x14ac:dyDescent="0.25">
      <c r="A206" s="60" t="s">
        <v>354</v>
      </c>
      <c r="B206" s="60" t="s">
        <v>355</v>
      </c>
      <c r="C206" s="34">
        <v>4301031225</v>
      </c>
      <c r="D206" s="769">
        <v>4680115884021</v>
      </c>
      <c r="E206" s="769"/>
      <c r="F206" s="59">
        <v>0.3</v>
      </c>
      <c r="G206" s="35">
        <v>6</v>
      </c>
      <c r="H206" s="59">
        <v>1.8</v>
      </c>
      <c r="I206" s="59">
        <v>1.9</v>
      </c>
      <c r="J206" s="35">
        <v>234</v>
      </c>
      <c r="K206" s="35" t="s">
        <v>126</v>
      </c>
      <c r="L206" s="35" t="s">
        <v>45</v>
      </c>
      <c r="M206" s="36" t="s">
        <v>82</v>
      </c>
      <c r="N206" s="36"/>
      <c r="O206" s="35">
        <v>40</v>
      </c>
      <c r="P206" s="100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6" s="771"/>
      <c r="R206" s="771"/>
      <c r="S206" s="771"/>
      <c r="T206" s="772"/>
      <c r="U206" s="37" t="s">
        <v>45</v>
      </c>
      <c r="V206" s="37" t="s">
        <v>45</v>
      </c>
      <c r="W206" s="38" t="s">
        <v>0</v>
      </c>
      <c r="X206" s="56">
        <v>0</v>
      </c>
      <c r="Y206" s="53">
        <f t="shared" si="35"/>
        <v>0</v>
      </c>
      <c r="Z206" s="39" t="str">
        <f>IFERROR(IF(Y206=0,"",ROUNDUP(Y206/H206,0)*0.00502),"")</f>
        <v/>
      </c>
      <c r="AA206" s="65" t="s">
        <v>45</v>
      </c>
      <c r="AB206" s="66" t="s">
        <v>45</v>
      </c>
      <c r="AC206" s="279" t="s">
        <v>347</v>
      </c>
      <c r="AG206" s="75"/>
      <c r="AJ206" s="79" t="s">
        <v>45</v>
      </c>
      <c r="AK206" s="79">
        <v>0</v>
      </c>
      <c r="BB206" s="280" t="s">
        <v>66</v>
      </c>
      <c r="BM206" s="75">
        <f t="shared" si="36"/>
        <v>0</v>
      </c>
      <c r="BN206" s="75">
        <f t="shared" si="37"/>
        <v>0</v>
      </c>
      <c r="BO206" s="75">
        <f t="shared" si="38"/>
        <v>0</v>
      </c>
      <c r="BP206" s="75">
        <f t="shared" si="39"/>
        <v>0</v>
      </c>
    </row>
    <row r="207" spans="1:68" x14ac:dyDescent="0.2">
      <c r="A207" s="759"/>
      <c r="B207" s="759"/>
      <c r="C207" s="759"/>
      <c r="D207" s="759"/>
      <c r="E207" s="759"/>
      <c r="F207" s="759"/>
      <c r="G207" s="759"/>
      <c r="H207" s="759"/>
      <c r="I207" s="759"/>
      <c r="J207" s="759"/>
      <c r="K207" s="759"/>
      <c r="L207" s="759"/>
      <c r="M207" s="759"/>
      <c r="N207" s="759"/>
      <c r="O207" s="767"/>
      <c r="P207" s="764" t="s">
        <v>40</v>
      </c>
      <c r="Q207" s="765"/>
      <c r="R207" s="765"/>
      <c r="S207" s="765"/>
      <c r="T207" s="765"/>
      <c r="U207" s="765"/>
      <c r="V207" s="766"/>
      <c r="W207" s="40" t="s">
        <v>39</v>
      </c>
      <c r="X207" s="41">
        <f>IFERROR(X199/H199,"0")+IFERROR(X200/H200,"0")+IFERROR(X201/H201,"0")+IFERROR(X202/H202,"0")+IFERROR(X203/H203,"0")+IFERROR(X204/H204,"0")+IFERROR(X205/H205,"0")+IFERROR(X206/H206,"0")</f>
        <v>179.62962962962962</v>
      </c>
      <c r="Y207" s="41">
        <f>IFERROR(Y199/H199,"0")+IFERROR(Y200/H200,"0")+IFERROR(Y201/H201,"0")+IFERROR(Y202/H202,"0")+IFERROR(Y203/H203,"0")+IFERROR(Y204/H204,"0")+IFERROR(Y205/H205,"0")+IFERROR(Y206/H206,"0")</f>
        <v>181</v>
      </c>
      <c r="Z207" s="41">
        <f>IFERROR(IF(Z199="",0,Z199),"0")+IFERROR(IF(Z200="",0,Z200),"0")+IFERROR(IF(Z201="",0,Z201),"0")+IFERROR(IF(Z202="",0,Z202),"0")+IFERROR(IF(Z203="",0,Z203),"0")+IFERROR(IF(Z204="",0,Z204),"0")+IFERROR(IF(Z205="",0,Z205),"0")+IFERROR(IF(Z206="",0,Z206),"0")</f>
        <v>1.6326200000000002</v>
      </c>
      <c r="AA207" s="64"/>
      <c r="AB207" s="64"/>
      <c r="AC207" s="64"/>
    </row>
    <row r="208" spans="1:68" x14ac:dyDescent="0.2">
      <c r="A208" s="759"/>
      <c r="B208" s="759"/>
      <c r="C208" s="759"/>
      <c r="D208" s="759"/>
      <c r="E208" s="759"/>
      <c r="F208" s="759"/>
      <c r="G208" s="759"/>
      <c r="H208" s="759"/>
      <c r="I208" s="759"/>
      <c r="J208" s="759"/>
      <c r="K208" s="759"/>
      <c r="L208" s="759"/>
      <c r="M208" s="759"/>
      <c r="N208" s="759"/>
      <c r="O208" s="767"/>
      <c r="P208" s="764" t="s">
        <v>40</v>
      </c>
      <c r="Q208" s="765"/>
      <c r="R208" s="765"/>
      <c r="S208" s="765"/>
      <c r="T208" s="765"/>
      <c r="U208" s="765"/>
      <c r="V208" s="766"/>
      <c r="W208" s="40" t="s">
        <v>0</v>
      </c>
      <c r="X208" s="41">
        <f>IFERROR(SUM(X199:X206),"0")</f>
        <v>970</v>
      </c>
      <c r="Y208" s="41">
        <f>IFERROR(SUM(Y199:Y206),"0")</f>
        <v>977.40000000000009</v>
      </c>
      <c r="Z208" s="40"/>
      <c r="AA208" s="64"/>
      <c r="AB208" s="64"/>
      <c r="AC208" s="64"/>
    </row>
    <row r="209" spans="1:68" ht="14.25" customHeight="1" x14ac:dyDescent="0.25">
      <c r="A209" s="768" t="s">
        <v>78</v>
      </c>
      <c r="B209" s="768"/>
      <c r="C209" s="768"/>
      <c r="D209" s="768"/>
      <c r="E209" s="768"/>
      <c r="F209" s="768"/>
      <c r="G209" s="768"/>
      <c r="H209" s="768"/>
      <c r="I209" s="768"/>
      <c r="J209" s="768"/>
      <c r="K209" s="768"/>
      <c r="L209" s="768"/>
      <c r="M209" s="768"/>
      <c r="N209" s="768"/>
      <c r="O209" s="768"/>
      <c r="P209" s="768"/>
      <c r="Q209" s="768"/>
      <c r="R209" s="768"/>
      <c r="S209" s="768"/>
      <c r="T209" s="768"/>
      <c r="U209" s="768"/>
      <c r="V209" s="768"/>
      <c r="W209" s="768"/>
      <c r="X209" s="768"/>
      <c r="Y209" s="768"/>
      <c r="Z209" s="768"/>
      <c r="AA209" s="63"/>
      <c r="AB209" s="63"/>
      <c r="AC209" s="63"/>
    </row>
    <row r="210" spans="1:68" ht="37.5" customHeight="1" x14ac:dyDescent="0.25">
      <c r="A210" s="60" t="s">
        <v>356</v>
      </c>
      <c r="B210" s="60" t="s">
        <v>357</v>
      </c>
      <c r="C210" s="34">
        <v>4301051408</v>
      </c>
      <c r="D210" s="769">
        <v>4680115881594</v>
      </c>
      <c r="E210" s="769"/>
      <c r="F210" s="59">
        <v>1.35</v>
      </c>
      <c r="G210" s="35">
        <v>6</v>
      </c>
      <c r="H210" s="59">
        <v>8.1</v>
      </c>
      <c r="I210" s="59">
        <v>8.6189999999999998</v>
      </c>
      <c r="J210" s="35">
        <v>64</v>
      </c>
      <c r="K210" s="35" t="s">
        <v>107</v>
      </c>
      <c r="L210" s="35" t="s">
        <v>45</v>
      </c>
      <c r="M210" s="36" t="s">
        <v>106</v>
      </c>
      <c r="N210" s="36"/>
      <c r="O210" s="35">
        <v>40</v>
      </c>
      <c r="P210" s="100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0" s="771"/>
      <c r="R210" s="771"/>
      <c r="S210" s="771"/>
      <c r="T210" s="772"/>
      <c r="U210" s="37" t="s">
        <v>45</v>
      </c>
      <c r="V210" s="37" t="s">
        <v>45</v>
      </c>
      <c r="W210" s="38" t="s">
        <v>0</v>
      </c>
      <c r="X210" s="56">
        <v>60</v>
      </c>
      <c r="Y210" s="53">
        <f t="shared" ref="Y210:Y220" si="40">IFERROR(IF(X210="",0,CEILING((X210/$H210),1)*$H210),"")</f>
        <v>64.8</v>
      </c>
      <c r="Z210" s="39">
        <f>IFERROR(IF(Y210=0,"",ROUNDUP(Y210/H210,0)*0.01898),"")</f>
        <v>0.15184</v>
      </c>
      <c r="AA210" s="65" t="s">
        <v>45</v>
      </c>
      <c r="AB210" s="66" t="s">
        <v>45</v>
      </c>
      <c r="AC210" s="281" t="s">
        <v>358</v>
      </c>
      <c r="AG210" s="75"/>
      <c r="AJ210" s="79" t="s">
        <v>45</v>
      </c>
      <c r="AK210" s="79">
        <v>0</v>
      </c>
      <c r="BB210" s="282" t="s">
        <v>66</v>
      </c>
      <c r="BM210" s="75">
        <f t="shared" ref="BM210:BM220" si="41">IFERROR(X210*I210/H210,"0")</f>
        <v>63.844444444444449</v>
      </c>
      <c r="BN210" s="75">
        <f t="shared" ref="BN210:BN220" si="42">IFERROR(Y210*I210/H210,"0")</f>
        <v>68.951999999999998</v>
      </c>
      <c r="BO210" s="75">
        <f t="shared" ref="BO210:BO220" si="43">IFERROR(1/J210*(X210/H210),"0")</f>
        <v>0.11574074074074074</v>
      </c>
      <c r="BP210" s="75">
        <f t="shared" ref="BP210:BP220" si="44">IFERROR(1/J210*(Y210/H210),"0")</f>
        <v>0.125</v>
      </c>
    </row>
    <row r="211" spans="1:68" ht="27" customHeight="1" x14ac:dyDescent="0.25">
      <c r="A211" s="60" t="s">
        <v>359</v>
      </c>
      <c r="B211" s="60" t="s">
        <v>360</v>
      </c>
      <c r="C211" s="34">
        <v>4301051754</v>
      </c>
      <c r="D211" s="769">
        <v>4680115880962</v>
      </c>
      <c r="E211" s="769"/>
      <c r="F211" s="59">
        <v>1.3</v>
      </c>
      <c r="G211" s="35">
        <v>6</v>
      </c>
      <c r="H211" s="59">
        <v>7.8</v>
      </c>
      <c r="I211" s="59">
        <v>8.3190000000000008</v>
      </c>
      <c r="J211" s="35">
        <v>64</v>
      </c>
      <c r="K211" s="35" t="s">
        <v>107</v>
      </c>
      <c r="L211" s="35" t="s">
        <v>45</v>
      </c>
      <c r="M211" s="36" t="s">
        <v>82</v>
      </c>
      <c r="N211" s="36"/>
      <c r="O211" s="35">
        <v>40</v>
      </c>
      <c r="P211" s="1007" t="str">
        <f>HYPERLINK("https://abi.ru/products/Охлажденные/Стародворье/Сочинка/Сосиски/P004180/","Сосиски Сочинки с сыром Бордо Весовой п/а Стародворье")</f>
        <v>Сосиски Сочинки с сыром Бордо Весовой п/а Стародворье</v>
      </c>
      <c r="Q211" s="771"/>
      <c r="R211" s="771"/>
      <c r="S211" s="771"/>
      <c r="T211" s="772"/>
      <c r="U211" s="37" t="s">
        <v>45</v>
      </c>
      <c r="V211" s="37" t="s">
        <v>45</v>
      </c>
      <c r="W211" s="38" t="s">
        <v>0</v>
      </c>
      <c r="X211" s="56">
        <v>100</v>
      </c>
      <c r="Y211" s="53">
        <f t="shared" si="40"/>
        <v>101.39999999999999</v>
      </c>
      <c r="Z211" s="39">
        <f>IFERROR(IF(Y211=0,"",ROUNDUP(Y211/H211,0)*0.01898),"")</f>
        <v>0.24674000000000001</v>
      </c>
      <c r="AA211" s="65" t="s">
        <v>45</v>
      </c>
      <c r="AB211" s="66" t="s">
        <v>45</v>
      </c>
      <c r="AC211" s="283" t="s">
        <v>361</v>
      </c>
      <c r="AG211" s="75"/>
      <c r="AJ211" s="79" t="s">
        <v>45</v>
      </c>
      <c r="AK211" s="79">
        <v>0</v>
      </c>
      <c r="BB211" s="284" t="s">
        <v>66</v>
      </c>
      <c r="BM211" s="75">
        <f t="shared" si="41"/>
        <v>106.65384615384617</v>
      </c>
      <c r="BN211" s="75">
        <f t="shared" si="42"/>
        <v>108.14700000000001</v>
      </c>
      <c r="BO211" s="75">
        <f t="shared" si="43"/>
        <v>0.20032051282051283</v>
      </c>
      <c r="BP211" s="75">
        <f t="shared" si="44"/>
        <v>0.203125</v>
      </c>
    </row>
    <row r="212" spans="1:68" ht="37.5" customHeight="1" x14ac:dyDescent="0.25">
      <c r="A212" s="60" t="s">
        <v>362</v>
      </c>
      <c r="B212" s="60" t="s">
        <v>363</v>
      </c>
      <c r="C212" s="34">
        <v>4301051411</v>
      </c>
      <c r="D212" s="769">
        <v>4680115881617</v>
      </c>
      <c r="E212" s="769"/>
      <c r="F212" s="59">
        <v>1.35</v>
      </c>
      <c r="G212" s="35">
        <v>6</v>
      </c>
      <c r="H212" s="59">
        <v>8.1</v>
      </c>
      <c r="I212" s="59">
        <v>8.6010000000000009</v>
      </c>
      <c r="J212" s="35">
        <v>64</v>
      </c>
      <c r="K212" s="35" t="s">
        <v>107</v>
      </c>
      <c r="L212" s="35" t="s">
        <v>45</v>
      </c>
      <c r="M212" s="36" t="s">
        <v>106</v>
      </c>
      <c r="N212" s="36"/>
      <c r="O212" s="35">
        <v>40</v>
      </c>
      <c r="P212" s="100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2" s="771"/>
      <c r="R212" s="771"/>
      <c r="S212" s="771"/>
      <c r="T212" s="772"/>
      <c r="U212" s="37" t="s">
        <v>45</v>
      </c>
      <c r="V212" s="37" t="s">
        <v>45</v>
      </c>
      <c r="W212" s="38" t="s">
        <v>0</v>
      </c>
      <c r="X212" s="56">
        <v>30</v>
      </c>
      <c r="Y212" s="53">
        <f t="shared" si="40"/>
        <v>32.4</v>
      </c>
      <c r="Z212" s="39">
        <f>IFERROR(IF(Y212=0,"",ROUNDUP(Y212/H212,0)*0.01898),"")</f>
        <v>7.5920000000000001E-2</v>
      </c>
      <c r="AA212" s="65" t="s">
        <v>45</v>
      </c>
      <c r="AB212" s="66" t="s">
        <v>45</v>
      </c>
      <c r="AC212" s="285" t="s">
        <v>364</v>
      </c>
      <c r="AG212" s="75"/>
      <c r="AJ212" s="79" t="s">
        <v>45</v>
      </c>
      <c r="AK212" s="79">
        <v>0</v>
      </c>
      <c r="BB212" s="286" t="s">
        <v>66</v>
      </c>
      <c r="BM212" s="75">
        <f t="shared" si="41"/>
        <v>31.855555555555561</v>
      </c>
      <c r="BN212" s="75">
        <f t="shared" si="42"/>
        <v>34.404000000000003</v>
      </c>
      <c r="BO212" s="75">
        <f t="shared" si="43"/>
        <v>5.7870370370370371E-2</v>
      </c>
      <c r="BP212" s="75">
        <f t="shared" si="44"/>
        <v>6.25E-2</v>
      </c>
    </row>
    <row r="213" spans="1:68" ht="27" customHeight="1" x14ac:dyDescent="0.25">
      <c r="A213" s="60" t="s">
        <v>365</v>
      </c>
      <c r="B213" s="60" t="s">
        <v>366</v>
      </c>
      <c r="C213" s="34">
        <v>4301051632</v>
      </c>
      <c r="D213" s="769">
        <v>4680115880573</v>
      </c>
      <c r="E213" s="769"/>
      <c r="F213" s="59">
        <v>1.45</v>
      </c>
      <c r="G213" s="35">
        <v>6</v>
      </c>
      <c r="H213" s="59">
        <v>8.6999999999999993</v>
      </c>
      <c r="I213" s="59">
        <v>9.2189999999999994</v>
      </c>
      <c r="J213" s="35">
        <v>64</v>
      </c>
      <c r="K213" s="35" t="s">
        <v>107</v>
      </c>
      <c r="L213" s="35" t="s">
        <v>45</v>
      </c>
      <c r="M213" s="36" t="s">
        <v>82</v>
      </c>
      <c r="N213" s="36"/>
      <c r="O213" s="35">
        <v>45</v>
      </c>
      <c r="P213" s="100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3" s="771"/>
      <c r="R213" s="771"/>
      <c r="S213" s="771"/>
      <c r="T213" s="772"/>
      <c r="U213" s="37" t="s">
        <v>45</v>
      </c>
      <c r="V213" s="37" t="s">
        <v>45</v>
      </c>
      <c r="W213" s="38" t="s">
        <v>0</v>
      </c>
      <c r="X213" s="56">
        <v>60</v>
      </c>
      <c r="Y213" s="53">
        <f t="shared" si="40"/>
        <v>60.899999999999991</v>
      </c>
      <c r="Z213" s="39">
        <f>IFERROR(IF(Y213=0,"",ROUNDUP(Y213/H213,0)*0.01898),"")</f>
        <v>0.13286000000000001</v>
      </c>
      <c r="AA213" s="65" t="s">
        <v>45</v>
      </c>
      <c r="AB213" s="66" t="s">
        <v>45</v>
      </c>
      <c r="AC213" s="287" t="s">
        <v>367</v>
      </c>
      <c r="AG213" s="75"/>
      <c r="AJ213" s="79" t="s">
        <v>45</v>
      </c>
      <c r="AK213" s="79">
        <v>0</v>
      </c>
      <c r="BB213" s="288" t="s">
        <v>66</v>
      </c>
      <c r="BM213" s="75">
        <f t="shared" si="41"/>
        <v>63.57931034482759</v>
      </c>
      <c r="BN213" s="75">
        <f t="shared" si="42"/>
        <v>64.532999999999987</v>
      </c>
      <c r="BO213" s="75">
        <f t="shared" si="43"/>
        <v>0.10775862068965518</v>
      </c>
      <c r="BP213" s="75">
        <f t="shared" si="44"/>
        <v>0.109375</v>
      </c>
    </row>
    <row r="214" spans="1:68" ht="37.5" customHeight="1" x14ac:dyDescent="0.25">
      <c r="A214" s="60" t="s">
        <v>368</v>
      </c>
      <c r="B214" s="60" t="s">
        <v>369</v>
      </c>
      <c r="C214" s="34">
        <v>4301051407</v>
      </c>
      <c r="D214" s="769">
        <v>4680115882195</v>
      </c>
      <c r="E214" s="769"/>
      <c r="F214" s="59">
        <v>0.4</v>
      </c>
      <c r="G214" s="35">
        <v>6</v>
      </c>
      <c r="H214" s="59">
        <v>2.4</v>
      </c>
      <c r="I214" s="59">
        <v>2.67</v>
      </c>
      <c r="J214" s="35">
        <v>182</v>
      </c>
      <c r="K214" s="35" t="s">
        <v>83</v>
      </c>
      <c r="L214" s="35" t="s">
        <v>45</v>
      </c>
      <c r="M214" s="36" t="s">
        <v>106</v>
      </c>
      <c r="N214" s="36"/>
      <c r="O214" s="35">
        <v>40</v>
      </c>
      <c r="P214" s="1010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4" s="771"/>
      <c r="R214" s="771"/>
      <c r="S214" s="771"/>
      <c r="T214" s="772"/>
      <c r="U214" s="37" t="s">
        <v>45</v>
      </c>
      <c r="V214" s="37" t="s">
        <v>45</v>
      </c>
      <c r="W214" s="38" t="s">
        <v>0</v>
      </c>
      <c r="X214" s="56">
        <v>0</v>
      </c>
      <c r="Y214" s="53">
        <f t="shared" si="40"/>
        <v>0</v>
      </c>
      <c r="Z214" s="39" t="str">
        <f t="shared" ref="Z214:Z220" si="45">IFERROR(IF(Y214=0,"",ROUNDUP(Y214/H214,0)*0.00651),"")</f>
        <v/>
      </c>
      <c r="AA214" s="65" t="s">
        <v>45</v>
      </c>
      <c r="AB214" s="66" t="s">
        <v>45</v>
      </c>
      <c r="AC214" s="289" t="s">
        <v>358</v>
      </c>
      <c r="AG214" s="75"/>
      <c r="AJ214" s="79" t="s">
        <v>45</v>
      </c>
      <c r="AK214" s="79">
        <v>0</v>
      </c>
      <c r="BB214" s="290" t="s">
        <v>66</v>
      </c>
      <c r="BM214" s="75">
        <f t="shared" si="41"/>
        <v>0</v>
      </c>
      <c r="BN214" s="75">
        <f t="shared" si="42"/>
        <v>0</v>
      </c>
      <c r="BO214" s="75">
        <f t="shared" si="43"/>
        <v>0</v>
      </c>
      <c r="BP214" s="75">
        <f t="shared" si="44"/>
        <v>0</v>
      </c>
    </row>
    <row r="215" spans="1:68" ht="37.5" customHeight="1" x14ac:dyDescent="0.25">
      <c r="A215" s="60" t="s">
        <v>370</v>
      </c>
      <c r="B215" s="60" t="s">
        <v>371</v>
      </c>
      <c r="C215" s="34">
        <v>4301051752</v>
      </c>
      <c r="D215" s="769">
        <v>4680115882607</v>
      </c>
      <c r="E215" s="769"/>
      <c r="F215" s="59">
        <v>0.3</v>
      </c>
      <c r="G215" s="35">
        <v>6</v>
      </c>
      <c r="H215" s="59">
        <v>1.8</v>
      </c>
      <c r="I215" s="59">
        <v>2.052</v>
      </c>
      <c r="J215" s="35">
        <v>182</v>
      </c>
      <c r="K215" s="35" t="s">
        <v>83</v>
      </c>
      <c r="L215" s="35" t="s">
        <v>45</v>
      </c>
      <c r="M215" s="36" t="s">
        <v>150</v>
      </c>
      <c r="N215" s="36"/>
      <c r="O215" s="35">
        <v>45</v>
      </c>
      <c r="P215" s="1011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5" s="771"/>
      <c r="R215" s="771"/>
      <c r="S215" s="771"/>
      <c r="T215" s="772"/>
      <c r="U215" s="37" t="s">
        <v>45</v>
      </c>
      <c r="V215" s="37" t="s">
        <v>45</v>
      </c>
      <c r="W215" s="38" t="s">
        <v>0</v>
      </c>
      <c r="X215" s="56">
        <v>0</v>
      </c>
      <c r="Y215" s="53">
        <f t="shared" si="40"/>
        <v>0</v>
      </c>
      <c r="Z215" s="39" t="str">
        <f t="shared" si="45"/>
        <v/>
      </c>
      <c r="AA215" s="65" t="s">
        <v>45</v>
      </c>
      <c r="AB215" s="66" t="s">
        <v>45</v>
      </c>
      <c r="AC215" s="291" t="s">
        <v>372</v>
      </c>
      <c r="AG215" s="75"/>
      <c r="AJ215" s="79" t="s">
        <v>45</v>
      </c>
      <c r="AK215" s="79">
        <v>0</v>
      </c>
      <c r="BB215" s="292" t="s">
        <v>66</v>
      </c>
      <c r="BM215" s="75">
        <f t="shared" si="41"/>
        <v>0</v>
      </c>
      <c r="BN215" s="75">
        <f t="shared" si="42"/>
        <v>0</v>
      </c>
      <c r="BO215" s="75">
        <f t="shared" si="43"/>
        <v>0</v>
      </c>
      <c r="BP215" s="75">
        <f t="shared" si="44"/>
        <v>0</v>
      </c>
    </row>
    <row r="216" spans="1:68" ht="27" customHeight="1" x14ac:dyDescent="0.25">
      <c r="A216" s="60" t="s">
        <v>373</v>
      </c>
      <c r="B216" s="60" t="s">
        <v>374</v>
      </c>
      <c r="C216" s="34">
        <v>4301051630</v>
      </c>
      <c r="D216" s="769">
        <v>4680115880092</v>
      </c>
      <c r="E216" s="769"/>
      <c r="F216" s="59">
        <v>0.4</v>
      </c>
      <c r="G216" s="35">
        <v>6</v>
      </c>
      <c r="H216" s="59">
        <v>2.4</v>
      </c>
      <c r="I216" s="59">
        <v>2.6520000000000001</v>
      </c>
      <c r="J216" s="35">
        <v>182</v>
      </c>
      <c r="K216" s="35" t="s">
        <v>83</v>
      </c>
      <c r="L216" s="35" t="s">
        <v>45</v>
      </c>
      <c r="M216" s="36" t="s">
        <v>82</v>
      </c>
      <c r="N216" s="36"/>
      <c r="O216" s="35">
        <v>45</v>
      </c>
      <c r="P216" s="9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6" s="771"/>
      <c r="R216" s="771"/>
      <c r="S216" s="771"/>
      <c r="T216" s="772"/>
      <c r="U216" s="37" t="s">
        <v>45</v>
      </c>
      <c r="V216" s="37" t="s">
        <v>45</v>
      </c>
      <c r="W216" s="38" t="s">
        <v>0</v>
      </c>
      <c r="X216" s="56">
        <v>0</v>
      </c>
      <c r="Y216" s="53">
        <f t="shared" si="40"/>
        <v>0</v>
      </c>
      <c r="Z216" s="39" t="str">
        <f t="shared" si="45"/>
        <v/>
      </c>
      <c r="AA216" s="65" t="s">
        <v>45</v>
      </c>
      <c r="AB216" s="66" t="s">
        <v>45</v>
      </c>
      <c r="AC216" s="293" t="s">
        <v>375</v>
      </c>
      <c r="AG216" s="75"/>
      <c r="AJ216" s="79" t="s">
        <v>45</v>
      </c>
      <c r="AK216" s="79">
        <v>0</v>
      </c>
      <c r="BB216" s="294" t="s">
        <v>66</v>
      </c>
      <c r="BM216" s="75">
        <f t="shared" si="41"/>
        <v>0</v>
      </c>
      <c r="BN216" s="75">
        <f t="shared" si="42"/>
        <v>0</v>
      </c>
      <c r="BO216" s="75">
        <f t="shared" si="43"/>
        <v>0</v>
      </c>
      <c r="BP216" s="75">
        <f t="shared" si="44"/>
        <v>0</v>
      </c>
    </row>
    <row r="217" spans="1:68" ht="27" customHeight="1" x14ac:dyDescent="0.25">
      <c r="A217" s="60" t="s">
        <v>376</v>
      </c>
      <c r="B217" s="60" t="s">
        <v>377</v>
      </c>
      <c r="C217" s="34">
        <v>4301051631</v>
      </c>
      <c r="D217" s="769">
        <v>4680115880221</v>
      </c>
      <c r="E217" s="769"/>
      <c r="F217" s="59">
        <v>0.4</v>
      </c>
      <c r="G217" s="35">
        <v>6</v>
      </c>
      <c r="H217" s="59">
        <v>2.4</v>
      </c>
      <c r="I217" s="59">
        <v>2.6520000000000001</v>
      </c>
      <c r="J217" s="35">
        <v>182</v>
      </c>
      <c r="K217" s="35" t="s">
        <v>83</v>
      </c>
      <c r="L217" s="35" t="s">
        <v>45</v>
      </c>
      <c r="M217" s="36" t="s">
        <v>82</v>
      </c>
      <c r="N217" s="36"/>
      <c r="O217" s="35">
        <v>45</v>
      </c>
      <c r="P217" s="999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7" s="771"/>
      <c r="R217" s="771"/>
      <c r="S217" s="771"/>
      <c r="T217" s="772"/>
      <c r="U217" s="37" t="s">
        <v>45</v>
      </c>
      <c r="V217" s="37" t="s">
        <v>45</v>
      </c>
      <c r="W217" s="38" t="s">
        <v>0</v>
      </c>
      <c r="X217" s="56">
        <v>0</v>
      </c>
      <c r="Y217" s="53">
        <f t="shared" si="40"/>
        <v>0</v>
      </c>
      <c r="Z217" s="39" t="str">
        <f t="shared" si="45"/>
        <v/>
      </c>
      <c r="AA217" s="65" t="s">
        <v>45</v>
      </c>
      <c r="AB217" s="66" t="s">
        <v>45</v>
      </c>
      <c r="AC217" s="295" t="s">
        <v>367</v>
      </c>
      <c r="AG217" s="75"/>
      <c r="AJ217" s="79" t="s">
        <v>45</v>
      </c>
      <c r="AK217" s="79">
        <v>0</v>
      </c>
      <c r="BB217" s="296" t="s">
        <v>66</v>
      </c>
      <c r="BM217" s="75">
        <f t="shared" si="41"/>
        <v>0</v>
      </c>
      <c r="BN217" s="75">
        <f t="shared" si="42"/>
        <v>0</v>
      </c>
      <c r="BO217" s="75">
        <f t="shared" si="43"/>
        <v>0</v>
      </c>
      <c r="BP217" s="75">
        <f t="shared" si="44"/>
        <v>0</v>
      </c>
    </row>
    <row r="218" spans="1:68" ht="27" customHeight="1" x14ac:dyDescent="0.25">
      <c r="A218" s="60" t="s">
        <v>378</v>
      </c>
      <c r="B218" s="60" t="s">
        <v>379</v>
      </c>
      <c r="C218" s="34">
        <v>4301051749</v>
      </c>
      <c r="D218" s="769">
        <v>4680115882942</v>
      </c>
      <c r="E218" s="769"/>
      <c r="F218" s="59">
        <v>0.3</v>
      </c>
      <c r="G218" s="35">
        <v>6</v>
      </c>
      <c r="H218" s="59">
        <v>1.8</v>
      </c>
      <c r="I218" s="59">
        <v>2.052</v>
      </c>
      <c r="J218" s="35">
        <v>182</v>
      </c>
      <c r="K218" s="35" t="s">
        <v>83</v>
      </c>
      <c r="L218" s="35" t="s">
        <v>45</v>
      </c>
      <c r="M218" s="36" t="s">
        <v>82</v>
      </c>
      <c r="N218" s="36"/>
      <c r="O218" s="35">
        <v>40</v>
      </c>
      <c r="P218" s="1000" t="str">
        <f>HYPERLINK("https://abi.ru/products/Охлажденные/Стародворье/Сочинка/Сосиски/P004148/","Сосиски «Сочинки с сыром» ф/в 0,3 кг п/а ТМ «Стародворье»")</f>
        <v>Сосиски «Сочинки с сыром» ф/в 0,3 кг п/а ТМ «Стародворье»</v>
      </c>
      <c r="Q218" s="771"/>
      <c r="R218" s="771"/>
      <c r="S218" s="771"/>
      <c r="T218" s="772"/>
      <c r="U218" s="37" t="s">
        <v>45</v>
      </c>
      <c r="V218" s="37" t="s">
        <v>45</v>
      </c>
      <c r="W218" s="38" t="s">
        <v>0</v>
      </c>
      <c r="X218" s="56">
        <v>0</v>
      </c>
      <c r="Y218" s="53">
        <f t="shared" si="40"/>
        <v>0</v>
      </c>
      <c r="Z218" s="39" t="str">
        <f t="shared" si="45"/>
        <v/>
      </c>
      <c r="AA218" s="65" t="s">
        <v>45</v>
      </c>
      <c r="AB218" s="66" t="s">
        <v>45</v>
      </c>
      <c r="AC218" s="297" t="s">
        <v>361</v>
      </c>
      <c r="AG218" s="75"/>
      <c r="AJ218" s="79" t="s">
        <v>45</v>
      </c>
      <c r="AK218" s="79">
        <v>0</v>
      </c>
      <c r="BB218" s="298" t="s">
        <v>66</v>
      </c>
      <c r="BM218" s="75">
        <f t="shared" si="41"/>
        <v>0</v>
      </c>
      <c r="BN218" s="75">
        <f t="shared" si="42"/>
        <v>0</v>
      </c>
      <c r="BO218" s="75">
        <f t="shared" si="43"/>
        <v>0</v>
      </c>
      <c r="BP218" s="75">
        <f t="shared" si="44"/>
        <v>0</v>
      </c>
    </row>
    <row r="219" spans="1:68" ht="27" customHeight="1" x14ac:dyDescent="0.25">
      <c r="A219" s="60" t="s">
        <v>380</v>
      </c>
      <c r="B219" s="60" t="s">
        <v>381</v>
      </c>
      <c r="C219" s="34">
        <v>4301051753</v>
      </c>
      <c r="D219" s="769">
        <v>4680115880504</v>
      </c>
      <c r="E219" s="769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83</v>
      </c>
      <c r="L219" s="35" t="s">
        <v>45</v>
      </c>
      <c r="M219" s="36" t="s">
        <v>82</v>
      </c>
      <c r="N219" s="36"/>
      <c r="O219" s="35">
        <v>40</v>
      </c>
      <c r="P219" s="100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71"/>
      <c r="R219" s="771"/>
      <c r="S219" s="771"/>
      <c r="T219" s="772"/>
      <c r="U219" s="37" t="s">
        <v>45</v>
      </c>
      <c r="V219" s="37" t="s">
        <v>45</v>
      </c>
      <c r="W219" s="38" t="s">
        <v>0</v>
      </c>
      <c r="X219" s="56">
        <v>24</v>
      </c>
      <c r="Y219" s="53">
        <f t="shared" si="40"/>
        <v>24</v>
      </c>
      <c r="Z219" s="39">
        <f t="shared" si="45"/>
        <v>6.5100000000000005E-2</v>
      </c>
      <c r="AA219" s="65" t="s">
        <v>45</v>
      </c>
      <c r="AB219" s="66" t="s">
        <v>45</v>
      </c>
      <c r="AC219" s="299" t="s">
        <v>361</v>
      </c>
      <c r="AG219" s="75"/>
      <c r="AJ219" s="79" t="s">
        <v>45</v>
      </c>
      <c r="AK219" s="79">
        <v>0</v>
      </c>
      <c r="BB219" s="300" t="s">
        <v>66</v>
      </c>
      <c r="BM219" s="75">
        <f t="shared" si="41"/>
        <v>26.520000000000003</v>
      </c>
      <c r="BN219" s="75">
        <f t="shared" si="42"/>
        <v>26.520000000000003</v>
      </c>
      <c r="BO219" s="75">
        <f t="shared" si="43"/>
        <v>5.4945054945054951E-2</v>
      </c>
      <c r="BP219" s="75">
        <f t="shared" si="44"/>
        <v>5.4945054945054951E-2</v>
      </c>
    </row>
    <row r="220" spans="1:68" ht="27" customHeight="1" x14ac:dyDescent="0.25">
      <c r="A220" s="60" t="s">
        <v>382</v>
      </c>
      <c r="B220" s="60" t="s">
        <v>383</v>
      </c>
      <c r="C220" s="34">
        <v>4301051410</v>
      </c>
      <c r="D220" s="769">
        <v>4680115882164</v>
      </c>
      <c r="E220" s="769"/>
      <c r="F220" s="59">
        <v>0.4</v>
      </c>
      <c r="G220" s="35">
        <v>6</v>
      </c>
      <c r="H220" s="59">
        <v>2.4</v>
      </c>
      <c r="I220" s="59">
        <v>2.6579999999999999</v>
      </c>
      <c r="J220" s="35">
        <v>182</v>
      </c>
      <c r="K220" s="35" t="s">
        <v>83</v>
      </c>
      <c r="L220" s="35" t="s">
        <v>45</v>
      </c>
      <c r="M220" s="36" t="s">
        <v>106</v>
      </c>
      <c r="N220" s="36"/>
      <c r="O220" s="35">
        <v>40</v>
      </c>
      <c r="P220" s="1002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71"/>
      <c r="R220" s="771"/>
      <c r="S220" s="771"/>
      <c r="T220" s="772"/>
      <c r="U220" s="37" t="s">
        <v>45</v>
      </c>
      <c r="V220" s="37" t="s">
        <v>45</v>
      </c>
      <c r="W220" s="38" t="s">
        <v>0</v>
      </c>
      <c r="X220" s="56">
        <v>24</v>
      </c>
      <c r="Y220" s="53">
        <f t="shared" si="40"/>
        <v>24</v>
      </c>
      <c r="Z220" s="39">
        <f t="shared" si="45"/>
        <v>6.5100000000000005E-2</v>
      </c>
      <c r="AA220" s="65" t="s">
        <v>45</v>
      </c>
      <c r="AB220" s="66" t="s">
        <v>45</v>
      </c>
      <c r="AC220" s="301" t="s">
        <v>384</v>
      </c>
      <c r="AG220" s="75"/>
      <c r="AJ220" s="79" t="s">
        <v>45</v>
      </c>
      <c r="AK220" s="79">
        <v>0</v>
      </c>
      <c r="BB220" s="302" t="s">
        <v>66</v>
      </c>
      <c r="BM220" s="75">
        <f t="shared" si="41"/>
        <v>26.580000000000002</v>
      </c>
      <c r="BN220" s="75">
        <f t="shared" si="42"/>
        <v>26.580000000000002</v>
      </c>
      <c r="BO220" s="75">
        <f t="shared" si="43"/>
        <v>5.4945054945054951E-2</v>
      </c>
      <c r="BP220" s="75">
        <f t="shared" si="44"/>
        <v>5.4945054945054951E-2</v>
      </c>
    </row>
    <row r="221" spans="1:68" x14ac:dyDescent="0.2">
      <c r="A221" s="759"/>
      <c r="B221" s="759"/>
      <c r="C221" s="759"/>
      <c r="D221" s="759"/>
      <c r="E221" s="759"/>
      <c r="F221" s="759"/>
      <c r="G221" s="759"/>
      <c r="H221" s="759"/>
      <c r="I221" s="759"/>
      <c r="J221" s="759"/>
      <c r="K221" s="759"/>
      <c r="L221" s="759"/>
      <c r="M221" s="759"/>
      <c r="N221" s="759"/>
      <c r="O221" s="767"/>
      <c r="P221" s="764" t="s">
        <v>40</v>
      </c>
      <c r="Q221" s="765"/>
      <c r="R221" s="765"/>
      <c r="S221" s="765"/>
      <c r="T221" s="765"/>
      <c r="U221" s="765"/>
      <c r="V221" s="766"/>
      <c r="W221" s="40" t="s">
        <v>39</v>
      </c>
      <c r="X221" s="41">
        <f>IFERROR(X210/H210,"0")+IFERROR(X211/H211,"0")+IFERROR(X212/H212,"0")+IFERROR(X213/H213,"0")+IFERROR(X214/H214,"0")+IFERROR(X215/H215,"0")+IFERROR(X216/H216,"0")+IFERROR(X217/H217,"0")+IFERROR(X218/H218,"0")+IFERROR(X219/H219,"0")+IFERROR(X220/H220,"0")</f>
        <v>50.828175655761868</v>
      </c>
      <c r="Y221" s="41">
        <f>IFERROR(Y210/H210,"0")+IFERROR(Y211/H211,"0")+IFERROR(Y212/H212,"0")+IFERROR(Y213/H213,"0")+IFERROR(Y214/H214,"0")+IFERROR(Y215/H215,"0")+IFERROR(Y216/H216,"0")+IFERROR(Y217/H217,"0")+IFERROR(Y218/H218,"0")+IFERROR(Y219/H219,"0")+IFERROR(Y220/H220,"0")</f>
        <v>52</v>
      </c>
      <c r="Z221" s="41">
        <f>IFERROR(IF(Z210="",0,Z210),"0")+IFERROR(IF(Z211="",0,Z211),"0")+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0.7375600000000001</v>
      </c>
      <c r="AA221" s="64"/>
      <c r="AB221" s="64"/>
      <c r="AC221" s="64"/>
    </row>
    <row r="222" spans="1:68" x14ac:dyDescent="0.2">
      <c r="A222" s="759"/>
      <c r="B222" s="759"/>
      <c r="C222" s="759"/>
      <c r="D222" s="759"/>
      <c r="E222" s="759"/>
      <c r="F222" s="759"/>
      <c r="G222" s="759"/>
      <c r="H222" s="759"/>
      <c r="I222" s="759"/>
      <c r="J222" s="759"/>
      <c r="K222" s="759"/>
      <c r="L222" s="759"/>
      <c r="M222" s="759"/>
      <c r="N222" s="759"/>
      <c r="O222" s="767"/>
      <c r="P222" s="764" t="s">
        <v>40</v>
      </c>
      <c r="Q222" s="765"/>
      <c r="R222" s="765"/>
      <c r="S222" s="765"/>
      <c r="T222" s="765"/>
      <c r="U222" s="765"/>
      <c r="V222" s="766"/>
      <c r="W222" s="40" t="s">
        <v>0</v>
      </c>
      <c r="X222" s="41">
        <f>IFERROR(SUM(X210:X220),"0")</f>
        <v>298</v>
      </c>
      <c r="Y222" s="41">
        <f>IFERROR(SUM(Y210:Y220),"0")</f>
        <v>307.5</v>
      </c>
      <c r="Z222" s="40"/>
      <c r="AA222" s="64"/>
      <c r="AB222" s="64"/>
      <c r="AC222" s="64"/>
    </row>
    <row r="223" spans="1:68" ht="14.25" customHeight="1" x14ac:dyDescent="0.25">
      <c r="A223" s="768" t="s">
        <v>195</v>
      </c>
      <c r="B223" s="768"/>
      <c r="C223" s="768"/>
      <c r="D223" s="768"/>
      <c r="E223" s="768"/>
      <c r="F223" s="768"/>
      <c r="G223" s="768"/>
      <c r="H223" s="768"/>
      <c r="I223" s="768"/>
      <c r="J223" s="768"/>
      <c r="K223" s="768"/>
      <c r="L223" s="768"/>
      <c r="M223" s="768"/>
      <c r="N223" s="768"/>
      <c r="O223" s="768"/>
      <c r="P223" s="768"/>
      <c r="Q223" s="768"/>
      <c r="R223" s="768"/>
      <c r="S223" s="768"/>
      <c r="T223" s="768"/>
      <c r="U223" s="768"/>
      <c r="V223" s="768"/>
      <c r="W223" s="768"/>
      <c r="X223" s="768"/>
      <c r="Y223" s="768"/>
      <c r="Z223" s="768"/>
      <c r="AA223" s="63"/>
      <c r="AB223" s="63"/>
      <c r="AC223" s="63"/>
    </row>
    <row r="224" spans="1:68" ht="16.5" customHeight="1" x14ac:dyDescent="0.25">
      <c r="A224" s="60" t="s">
        <v>385</v>
      </c>
      <c r="B224" s="60" t="s">
        <v>386</v>
      </c>
      <c r="C224" s="34">
        <v>4301060360</v>
      </c>
      <c r="D224" s="769">
        <v>4680115882874</v>
      </c>
      <c r="E224" s="769"/>
      <c r="F224" s="59">
        <v>0.8</v>
      </c>
      <c r="G224" s="35">
        <v>4</v>
      </c>
      <c r="H224" s="59">
        <v>3.2</v>
      </c>
      <c r="I224" s="59">
        <v>3.4660000000000002</v>
      </c>
      <c r="J224" s="35">
        <v>120</v>
      </c>
      <c r="K224" s="35" t="s">
        <v>116</v>
      </c>
      <c r="L224" s="35" t="s">
        <v>45</v>
      </c>
      <c r="M224" s="36" t="s">
        <v>82</v>
      </c>
      <c r="N224" s="36"/>
      <c r="O224" s="35">
        <v>30</v>
      </c>
      <c r="P224" s="1003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Q224" s="771"/>
      <c r="R224" s="771"/>
      <c r="S224" s="771"/>
      <c r="T224" s="772"/>
      <c r="U224" s="37" t="s">
        <v>45</v>
      </c>
      <c r="V224" s="37" t="s">
        <v>45</v>
      </c>
      <c r="W224" s="38" t="s">
        <v>0</v>
      </c>
      <c r="X224" s="56">
        <v>0</v>
      </c>
      <c r="Y224" s="53">
        <f t="shared" ref="Y224:Y229" si="46">IFERROR(IF(X224="",0,CEILING((X224/$H224),1)*$H224),"")</f>
        <v>0</v>
      </c>
      <c r="Z224" s="39" t="str">
        <f>IFERROR(IF(Y224=0,"",ROUNDUP(Y224/H224,0)*0.00937),"")</f>
        <v/>
      </c>
      <c r="AA224" s="65" t="s">
        <v>45</v>
      </c>
      <c r="AB224" s="66" t="s">
        <v>45</v>
      </c>
      <c r="AC224" s="303" t="s">
        <v>387</v>
      </c>
      <c r="AG224" s="75"/>
      <c r="AJ224" s="79" t="s">
        <v>45</v>
      </c>
      <c r="AK224" s="79">
        <v>0</v>
      </c>
      <c r="BB224" s="304" t="s">
        <v>66</v>
      </c>
      <c r="BM224" s="75">
        <f t="shared" ref="BM224:BM229" si="47">IFERROR(X224*I224/H224,"0")</f>
        <v>0</v>
      </c>
      <c r="BN224" s="75">
        <f t="shared" ref="BN224:BN229" si="48">IFERROR(Y224*I224/H224,"0")</f>
        <v>0</v>
      </c>
      <c r="BO224" s="75">
        <f t="shared" ref="BO224:BO229" si="49">IFERROR(1/J224*(X224/H224),"0")</f>
        <v>0</v>
      </c>
      <c r="BP224" s="75">
        <f t="shared" ref="BP224:BP229" si="50">IFERROR(1/J224*(Y224/H224),"0")</f>
        <v>0</v>
      </c>
    </row>
    <row r="225" spans="1:68" ht="16.5" customHeight="1" x14ac:dyDescent="0.25">
      <c r="A225" s="60" t="s">
        <v>385</v>
      </c>
      <c r="B225" s="60" t="s">
        <v>388</v>
      </c>
      <c r="C225" s="34">
        <v>4301060404</v>
      </c>
      <c r="D225" s="769">
        <v>4680115882874</v>
      </c>
      <c r="E225" s="769"/>
      <c r="F225" s="59">
        <v>0.8</v>
      </c>
      <c r="G225" s="35">
        <v>4</v>
      </c>
      <c r="H225" s="59">
        <v>3.2</v>
      </c>
      <c r="I225" s="59">
        <v>3.4660000000000002</v>
      </c>
      <c r="J225" s="35">
        <v>132</v>
      </c>
      <c r="K225" s="35" t="s">
        <v>116</v>
      </c>
      <c r="L225" s="35" t="s">
        <v>45</v>
      </c>
      <c r="M225" s="36" t="s">
        <v>82</v>
      </c>
      <c r="N225" s="36"/>
      <c r="O225" s="35">
        <v>40</v>
      </c>
      <c r="P225" s="1004" t="str">
        <f>HYPERLINK("https://abi.ru/products/Охлажденные/Стародворье/Сочинка/Сардельки/P004232/","Сардельки «Сочинки» Весовой н/о ТМ «Стародворье»")</f>
        <v>Сардельки «Сочинки» Весовой н/о ТМ «Стародворье»</v>
      </c>
      <c r="Q225" s="771"/>
      <c r="R225" s="771"/>
      <c r="S225" s="771"/>
      <c r="T225" s="772"/>
      <c r="U225" s="37" t="s">
        <v>45</v>
      </c>
      <c r="V225" s="37" t="s">
        <v>45</v>
      </c>
      <c r="W225" s="38" t="s">
        <v>0</v>
      </c>
      <c r="X225" s="56">
        <v>0</v>
      </c>
      <c r="Y225" s="53">
        <f t="shared" si="46"/>
        <v>0</v>
      </c>
      <c r="Z225" s="39" t="str">
        <f>IFERROR(IF(Y225=0,"",ROUNDUP(Y225/H225,0)*0.00902),"")</f>
        <v/>
      </c>
      <c r="AA225" s="65" t="s">
        <v>45</v>
      </c>
      <c r="AB225" s="66" t="s">
        <v>45</v>
      </c>
      <c r="AC225" s="305" t="s">
        <v>389</v>
      </c>
      <c r="AG225" s="75"/>
      <c r="AJ225" s="79" t="s">
        <v>45</v>
      </c>
      <c r="AK225" s="79">
        <v>0</v>
      </c>
      <c r="BB225" s="306" t="s">
        <v>66</v>
      </c>
      <c r="BM225" s="75">
        <f t="shared" si="47"/>
        <v>0</v>
      </c>
      <c r="BN225" s="75">
        <f t="shared" si="48"/>
        <v>0</v>
      </c>
      <c r="BO225" s="75">
        <f t="shared" si="49"/>
        <v>0</v>
      </c>
      <c r="BP225" s="75">
        <f t="shared" si="50"/>
        <v>0</v>
      </c>
    </row>
    <row r="226" spans="1:68" ht="27" customHeight="1" x14ac:dyDescent="0.25">
      <c r="A226" s="60" t="s">
        <v>385</v>
      </c>
      <c r="B226" s="60" t="s">
        <v>390</v>
      </c>
      <c r="C226" s="34">
        <v>4301060460</v>
      </c>
      <c r="D226" s="769">
        <v>4680115882874</v>
      </c>
      <c r="E226" s="769"/>
      <c r="F226" s="59">
        <v>0.8</v>
      </c>
      <c r="G226" s="35">
        <v>4</v>
      </c>
      <c r="H226" s="59">
        <v>3.2</v>
      </c>
      <c r="I226" s="59">
        <v>3.4660000000000002</v>
      </c>
      <c r="J226" s="35">
        <v>132</v>
      </c>
      <c r="K226" s="35" t="s">
        <v>116</v>
      </c>
      <c r="L226" s="35" t="s">
        <v>45</v>
      </c>
      <c r="M226" s="36" t="s">
        <v>150</v>
      </c>
      <c r="N226" s="36"/>
      <c r="O226" s="35">
        <v>30</v>
      </c>
      <c r="P226" s="992" t="s">
        <v>391</v>
      </c>
      <c r="Q226" s="771"/>
      <c r="R226" s="771"/>
      <c r="S226" s="771"/>
      <c r="T226" s="772"/>
      <c r="U226" s="37" t="s">
        <v>45</v>
      </c>
      <c r="V226" s="37" t="s">
        <v>45</v>
      </c>
      <c r="W226" s="38" t="s">
        <v>0</v>
      </c>
      <c r="X226" s="56">
        <v>0</v>
      </c>
      <c r="Y226" s="53">
        <f t="shared" si="46"/>
        <v>0</v>
      </c>
      <c r="Z226" s="39" t="str">
        <f>IFERROR(IF(Y226=0,"",ROUNDUP(Y226/H226,0)*0.00902),"")</f>
        <v/>
      </c>
      <c r="AA226" s="65" t="s">
        <v>45</v>
      </c>
      <c r="AB226" s="66" t="s">
        <v>45</v>
      </c>
      <c r="AC226" s="307" t="s">
        <v>392</v>
      </c>
      <c r="AG226" s="75"/>
      <c r="AJ226" s="79" t="s">
        <v>45</v>
      </c>
      <c r="AK226" s="79">
        <v>0</v>
      </c>
      <c r="BB226" s="308" t="s">
        <v>66</v>
      </c>
      <c r="BM226" s="75">
        <f t="shared" si="47"/>
        <v>0</v>
      </c>
      <c r="BN226" s="75">
        <f t="shared" si="48"/>
        <v>0</v>
      </c>
      <c r="BO226" s="75">
        <f t="shared" si="49"/>
        <v>0</v>
      </c>
      <c r="BP226" s="75">
        <f t="shared" si="50"/>
        <v>0</v>
      </c>
    </row>
    <row r="227" spans="1:68" ht="37.5" customHeight="1" x14ac:dyDescent="0.25">
      <c r="A227" s="60" t="s">
        <v>393</v>
      </c>
      <c r="B227" s="60" t="s">
        <v>394</v>
      </c>
      <c r="C227" s="34">
        <v>4301060359</v>
      </c>
      <c r="D227" s="769">
        <v>4680115884434</v>
      </c>
      <c r="E227" s="769"/>
      <c r="F227" s="59">
        <v>0.8</v>
      </c>
      <c r="G227" s="35">
        <v>4</v>
      </c>
      <c r="H227" s="59">
        <v>3.2</v>
      </c>
      <c r="I227" s="59">
        <v>3.4660000000000002</v>
      </c>
      <c r="J227" s="35">
        <v>132</v>
      </c>
      <c r="K227" s="35" t="s">
        <v>116</v>
      </c>
      <c r="L227" s="35" t="s">
        <v>45</v>
      </c>
      <c r="M227" s="36" t="s">
        <v>82</v>
      </c>
      <c r="N227" s="36"/>
      <c r="O227" s="35">
        <v>30</v>
      </c>
      <c r="P227" s="993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Q227" s="771"/>
      <c r="R227" s="771"/>
      <c r="S227" s="771"/>
      <c r="T227" s="772"/>
      <c r="U227" s="37" t="s">
        <v>45</v>
      </c>
      <c r="V227" s="37" t="s">
        <v>45</v>
      </c>
      <c r="W227" s="38" t="s">
        <v>0</v>
      </c>
      <c r="X227" s="56">
        <v>10</v>
      </c>
      <c r="Y227" s="53">
        <f t="shared" si="46"/>
        <v>12.8</v>
      </c>
      <c r="Z227" s="39">
        <f>IFERROR(IF(Y227=0,"",ROUNDUP(Y227/H227,0)*0.00902),"")</f>
        <v>3.6080000000000001E-2</v>
      </c>
      <c r="AA227" s="65" t="s">
        <v>45</v>
      </c>
      <c r="AB227" s="66" t="s">
        <v>45</v>
      </c>
      <c r="AC227" s="309" t="s">
        <v>395</v>
      </c>
      <c r="AG227" s="75"/>
      <c r="AJ227" s="79" t="s">
        <v>45</v>
      </c>
      <c r="AK227" s="79">
        <v>0</v>
      </c>
      <c r="BB227" s="310" t="s">
        <v>66</v>
      </c>
      <c r="BM227" s="75">
        <f t="shared" si="47"/>
        <v>10.831250000000001</v>
      </c>
      <c r="BN227" s="75">
        <f t="shared" si="48"/>
        <v>13.864000000000001</v>
      </c>
      <c r="BO227" s="75">
        <f t="shared" si="49"/>
        <v>2.3674242424242424E-2</v>
      </c>
      <c r="BP227" s="75">
        <f t="shared" si="50"/>
        <v>3.0303030303030304E-2</v>
      </c>
    </row>
    <row r="228" spans="1:68" ht="27" customHeight="1" x14ac:dyDescent="0.25">
      <c r="A228" s="60" t="s">
        <v>396</v>
      </c>
      <c r="B228" s="60" t="s">
        <v>397</v>
      </c>
      <c r="C228" s="34">
        <v>4301060375</v>
      </c>
      <c r="D228" s="769">
        <v>4680115880818</v>
      </c>
      <c r="E228" s="769"/>
      <c r="F228" s="59">
        <v>0.4</v>
      </c>
      <c r="G228" s="35">
        <v>6</v>
      </c>
      <c r="H228" s="59">
        <v>2.4</v>
      </c>
      <c r="I228" s="59">
        <v>2.6520000000000001</v>
      </c>
      <c r="J228" s="35">
        <v>182</v>
      </c>
      <c r="K228" s="35" t="s">
        <v>83</v>
      </c>
      <c r="L228" s="35" t="s">
        <v>45</v>
      </c>
      <c r="M228" s="36" t="s">
        <v>82</v>
      </c>
      <c r="N228" s="36"/>
      <c r="O228" s="35">
        <v>40</v>
      </c>
      <c r="P228" s="99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8" s="771"/>
      <c r="R228" s="771"/>
      <c r="S228" s="771"/>
      <c r="T228" s="772"/>
      <c r="U228" s="37" t="s">
        <v>45</v>
      </c>
      <c r="V228" s="37" t="s">
        <v>45</v>
      </c>
      <c r="W228" s="38" t="s">
        <v>0</v>
      </c>
      <c r="X228" s="56">
        <v>0</v>
      </c>
      <c r="Y228" s="53">
        <f t="shared" si="46"/>
        <v>0</v>
      </c>
      <c r="Z228" s="39" t="str">
        <f>IFERROR(IF(Y228=0,"",ROUNDUP(Y228/H228,0)*0.00651),"")</f>
        <v/>
      </c>
      <c r="AA228" s="65" t="s">
        <v>45</v>
      </c>
      <c r="AB228" s="66" t="s">
        <v>45</v>
      </c>
      <c r="AC228" s="311" t="s">
        <v>398</v>
      </c>
      <c r="AG228" s="75"/>
      <c r="AJ228" s="79" t="s">
        <v>45</v>
      </c>
      <c r="AK228" s="79">
        <v>0</v>
      </c>
      <c r="BB228" s="312" t="s">
        <v>66</v>
      </c>
      <c r="BM228" s="75">
        <f t="shared" si="47"/>
        <v>0</v>
      </c>
      <c r="BN228" s="75">
        <f t="shared" si="48"/>
        <v>0</v>
      </c>
      <c r="BO228" s="75">
        <f t="shared" si="49"/>
        <v>0</v>
      </c>
      <c r="BP228" s="75">
        <f t="shared" si="50"/>
        <v>0</v>
      </c>
    </row>
    <row r="229" spans="1:68" ht="37.5" customHeight="1" x14ac:dyDescent="0.25">
      <c r="A229" s="60" t="s">
        <v>399</v>
      </c>
      <c r="B229" s="60" t="s">
        <v>400</v>
      </c>
      <c r="C229" s="34">
        <v>4301060389</v>
      </c>
      <c r="D229" s="769">
        <v>4680115880801</v>
      </c>
      <c r="E229" s="769"/>
      <c r="F229" s="59">
        <v>0.4</v>
      </c>
      <c r="G229" s="35">
        <v>6</v>
      </c>
      <c r="H229" s="59">
        <v>2.4</v>
      </c>
      <c r="I229" s="59">
        <v>2.6520000000000001</v>
      </c>
      <c r="J229" s="35">
        <v>182</v>
      </c>
      <c r="K229" s="35" t="s">
        <v>83</v>
      </c>
      <c r="L229" s="35" t="s">
        <v>45</v>
      </c>
      <c r="M229" s="36" t="s">
        <v>106</v>
      </c>
      <c r="N229" s="36"/>
      <c r="O229" s="35">
        <v>40</v>
      </c>
      <c r="P229" s="99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9" s="771"/>
      <c r="R229" s="771"/>
      <c r="S229" s="771"/>
      <c r="T229" s="772"/>
      <c r="U229" s="37" t="s">
        <v>45</v>
      </c>
      <c r="V229" s="37" t="s">
        <v>45</v>
      </c>
      <c r="W229" s="38" t="s">
        <v>0</v>
      </c>
      <c r="X229" s="56">
        <v>0</v>
      </c>
      <c r="Y229" s="53">
        <f t="shared" si="46"/>
        <v>0</v>
      </c>
      <c r="Z229" s="39" t="str">
        <f>IFERROR(IF(Y229=0,"",ROUNDUP(Y229/H229,0)*0.00651),"")</f>
        <v/>
      </c>
      <c r="AA229" s="65" t="s">
        <v>45</v>
      </c>
      <c r="AB229" s="66" t="s">
        <v>45</v>
      </c>
      <c r="AC229" s="313" t="s">
        <v>401</v>
      </c>
      <c r="AG229" s="75"/>
      <c r="AJ229" s="79" t="s">
        <v>45</v>
      </c>
      <c r="AK229" s="79">
        <v>0</v>
      </c>
      <c r="BB229" s="314" t="s">
        <v>66</v>
      </c>
      <c r="BM229" s="75">
        <f t="shared" si="47"/>
        <v>0</v>
      </c>
      <c r="BN229" s="75">
        <f t="shared" si="48"/>
        <v>0</v>
      </c>
      <c r="BO229" s="75">
        <f t="shared" si="49"/>
        <v>0</v>
      </c>
      <c r="BP229" s="75">
        <f t="shared" si="50"/>
        <v>0</v>
      </c>
    </row>
    <row r="230" spans="1:68" x14ac:dyDescent="0.2">
      <c r="A230" s="759"/>
      <c r="B230" s="759"/>
      <c r="C230" s="759"/>
      <c r="D230" s="759"/>
      <c r="E230" s="759"/>
      <c r="F230" s="759"/>
      <c r="G230" s="759"/>
      <c r="H230" s="759"/>
      <c r="I230" s="759"/>
      <c r="J230" s="759"/>
      <c r="K230" s="759"/>
      <c r="L230" s="759"/>
      <c r="M230" s="759"/>
      <c r="N230" s="759"/>
      <c r="O230" s="767"/>
      <c r="P230" s="764" t="s">
        <v>40</v>
      </c>
      <c r="Q230" s="765"/>
      <c r="R230" s="765"/>
      <c r="S230" s="765"/>
      <c r="T230" s="765"/>
      <c r="U230" s="765"/>
      <c r="V230" s="766"/>
      <c r="W230" s="40" t="s">
        <v>39</v>
      </c>
      <c r="X230" s="41">
        <f>IFERROR(X224/H224,"0")+IFERROR(X225/H225,"0")+IFERROR(X226/H226,"0")+IFERROR(X227/H227,"0")+IFERROR(X228/H228,"0")+IFERROR(X229/H229,"0")</f>
        <v>3.125</v>
      </c>
      <c r="Y230" s="41">
        <f>IFERROR(Y224/H224,"0")+IFERROR(Y225/H225,"0")+IFERROR(Y226/H226,"0")+IFERROR(Y227/H227,"0")+IFERROR(Y228/H228,"0")+IFERROR(Y229/H229,"0")</f>
        <v>4</v>
      </c>
      <c r="Z230" s="41">
        <f>IFERROR(IF(Z224="",0,Z224),"0")+IFERROR(IF(Z225="",0,Z225),"0")+IFERROR(IF(Z226="",0,Z226),"0")+IFERROR(IF(Z227="",0,Z227),"0")+IFERROR(IF(Z228="",0,Z228),"0")+IFERROR(IF(Z229="",0,Z229),"0")</f>
        <v>3.6080000000000001E-2</v>
      </c>
      <c r="AA230" s="64"/>
      <c r="AB230" s="64"/>
      <c r="AC230" s="64"/>
    </row>
    <row r="231" spans="1:68" x14ac:dyDescent="0.2">
      <c r="A231" s="759"/>
      <c r="B231" s="759"/>
      <c r="C231" s="759"/>
      <c r="D231" s="759"/>
      <c r="E231" s="759"/>
      <c r="F231" s="759"/>
      <c r="G231" s="759"/>
      <c r="H231" s="759"/>
      <c r="I231" s="759"/>
      <c r="J231" s="759"/>
      <c r="K231" s="759"/>
      <c r="L231" s="759"/>
      <c r="M231" s="759"/>
      <c r="N231" s="759"/>
      <c r="O231" s="767"/>
      <c r="P231" s="764" t="s">
        <v>40</v>
      </c>
      <c r="Q231" s="765"/>
      <c r="R231" s="765"/>
      <c r="S231" s="765"/>
      <c r="T231" s="765"/>
      <c r="U231" s="765"/>
      <c r="V231" s="766"/>
      <c r="W231" s="40" t="s">
        <v>0</v>
      </c>
      <c r="X231" s="41">
        <f>IFERROR(SUM(X224:X229),"0")</f>
        <v>10</v>
      </c>
      <c r="Y231" s="41">
        <f>IFERROR(SUM(Y224:Y229),"0")</f>
        <v>12.8</v>
      </c>
      <c r="Z231" s="40"/>
      <c r="AA231" s="64"/>
      <c r="AB231" s="64"/>
      <c r="AC231" s="64"/>
    </row>
    <row r="232" spans="1:68" ht="16.5" customHeight="1" x14ac:dyDescent="0.25">
      <c r="A232" s="776" t="s">
        <v>402</v>
      </c>
      <c r="B232" s="776"/>
      <c r="C232" s="776"/>
      <c r="D232" s="776"/>
      <c r="E232" s="776"/>
      <c r="F232" s="776"/>
      <c r="G232" s="776"/>
      <c r="H232" s="776"/>
      <c r="I232" s="776"/>
      <c r="J232" s="776"/>
      <c r="K232" s="776"/>
      <c r="L232" s="776"/>
      <c r="M232" s="776"/>
      <c r="N232" s="776"/>
      <c r="O232" s="776"/>
      <c r="P232" s="776"/>
      <c r="Q232" s="776"/>
      <c r="R232" s="776"/>
      <c r="S232" s="776"/>
      <c r="T232" s="776"/>
      <c r="U232" s="776"/>
      <c r="V232" s="776"/>
      <c r="W232" s="776"/>
      <c r="X232" s="776"/>
      <c r="Y232" s="776"/>
      <c r="Z232" s="776"/>
      <c r="AA232" s="62"/>
      <c r="AB232" s="62"/>
      <c r="AC232" s="62"/>
    </row>
    <row r="233" spans="1:68" ht="14.25" customHeight="1" x14ac:dyDescent="0.25">
      <c r="A233" s="768" t="s">
        <v>101</v>
      </c>
      <c r="B233" s="768"/>
      <c r="C233" s="768"/>
      <c r="D233" s="768"/>
      <c r="E233" s="768"/>
      <c r="F233" s="768"/>
      <c r="G233" s="768"/>
      <c r="H233" s="768"/>
      <c r="I233" s="768"/>
      <c r="J233" s="768"/>
      <c r="K233" s="768"/>
      <c r="L233" s="768"/>
      <c r="M233" s="768"/>
      <c r="N233" s="768"/>
      <c r="O233" s="768"/>
      <c r="P233" s="768"/>
      <c r="Q233" s="768"/>
      <c r="R233" s="768"/>
      <c r="S233" s="768"/>
      <c r="T233" s="768"/>
      <c r="U233" s="768"/>
      <c r="V233" s="768"/>
      <c r="W233" s="768"/>
      <c r="X233" s="768"/>
      <c r="Y233" s="768"/>
      <c r="Z233" s="768"/>
      <c r="AA233" s="63"/>
      <c r="AB233" s="63"/>
      <c r="AC233" s="63"/>
    </row>
    <row r="234" spans="1:68" ht="27" customHeight="1" x14ac:dyDescent="0.25">
      <c r="A234" s="60" t="s">
        <v>403</v>
      </c>
      <c r="B234" s="60" t="s">
        <v>404</v>
      </c>
      <c r="C234" s="34">
        <v>4301011717</v>
      </c>
      <c r="D234" s="769">
        <v>4680115884274</v>
      </c>
      <c r="E234" s="769"/>
      <c r="F234" s="59">
        <v>1.45</v>
      </c>
      <c r="G234" s="35">
        <v>8</v>
      </c>
      <c r="H234" s="59">
        <v>11.6</v>
      </c>
      <c r="I234" s="59">
        <v>12.035</v>
      </c>
      <c r="J234" s="35">
        <v>64</v>
      </c>
      <c r="K234" s="35" t="s">
        <v>107</v>
      </c>
      <c r="L234" s="35" t="s">
        <v>45</v>
      </c>
      <c r="M234" s="36" t="s">
        <v>110</v>
      </c>
      <c r="N234" s="36"/>
      <c r="O234" s="35">
        <v>55</v>
      </c>
      <c r="P234" s="996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4" s="771"/>
      <c r="R234" s="771"/>
      <c r="S234" s="771"/>
      <c r="T234" s="772"/>
      <c r="U234" s="37" t="s">
        <v>45</v>
      </c>
      <c r="V234" s="37" t="s">
        <v>45</v>
      </c>
      <c r="W234" s="38" t="s">
        <v>0</v>
      </c>
      <c r="X234" s="56">
        <v>0</v>
      </c>
      <c r="Y234" s="53">
        <f t="shared" ref="Y234:Y241" si="51">IFERROR(IF(X234="",0,CEILING((X234/$H234),1)*$H234),"")</f>
        <v>0</v>
      </c>
      <c r="Z234" s="39" t="str">
        <f>IFERROR(IF(Y234=0,"",ROUNDUP(Y234/H234,0)*0.01898),"")</f>
        <v/>
      </c>
      <c r="AA234" s="65" t="s">
        <v>45</v>
      </c>
      <c r="AB234" s="66" t="s">
        <v>45</v>
      </c>
      <c r="AC234" s="315" t="s">
        <v>405</v>
      </c>
      <c r="AG234" s="75"/>
      <c r="AJ234" s="79" t="s">
        <v>45</v>
      </c>
      <c r="AK234" s="79">
        <v>0</v>
      </c>
      <c r="BB234" s="316" t="s">
        <v>66</v>
      </c>
      <c r="BM234" s="75">
        <f t="shared" ref="BM234:BM241" si="52">IFERROR(X234*I234/H234,"0")</f>
        <v>0</v>
      </c>
      <c r="BN234" s="75">
        <f t="shared" ref="BN234:BN241" si="53">IFERROR(Y234*I234/H234,"0")</f>
        <v>0</v>
      </c>
      <c r="BO234" s="75">
        <f t="shared" ref="BO234:BO241" si="54">IFERROR(1/J234*(X234/H234),"0")</f>
        <v>0</v>
      </c>
      <c r="BP234" s="75">
        <f t="shared" ref="BP234:BP241" si="55">IFERROR(1/J234*(Y234/H234),"0")</f>
        <v>0</v>
      </c>
    </row>
    <row r="235" spans="1:68" ht="27" customHeight="1" x14ac:dyDescent="0.25">
      <c r="A235" s="60" t="s">
        <v>403</v>
      </c>
      <c r="B235" s="60" t="s">
        <v>406</v>
      </c>
      <c r="C235" s="34">
        <v>4301011945</v>
      </c>
      <c r="D235" s="769">
        <v>4680115884274</v>
      </c>
      <c r="E235" s="769"/>
      <c r="F235" s="59">
        <v>1.45</v>
      </c>
      <c r="G235" s="35">
        <v>8</v>
      </c>
      <c r="H235" s="59">
        <v>11.6</v>
      </c>
      <c r="I235" s="59">
        <v>12.08</v>
      </c>
      <c r="J235" s="35">
        <v>48</v>
      </c>
      <c r="K235" s="35" t="s">
        <v>107</v>
      </c>
      <c r="L235" s="35" t="s">
        <v>45</v>
      </c>
      <c r="M235" s="36" t="s">
        <v>408</v>
      </c>
      <c r="N235" s="36"/>
      <c r="O235" s="35">
        <v>55</v>
      </c>
      <c r="P235" s="997" t="str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Q235" s="771"/>
      <c r="R235" s="771"/>
      <c r="S235" s="771"/>
      <c r="T235" s="772"/>
      <c r="U235" s="37" t="s">
        <v>45</v>
      </c>
      <c r="V235" s="37" t="s">
        <v>45</v>
      </c>
      <c r="W235" s="38" t="s">
        <v>0</v>
      </c>
      <c r="X235" s="56">
        <v>0</v>
      </c>
      <c r="Y235" s="53">
        <f t="shared" si="51"/>
        <v>0</v>
      </c>
      <c r="Z235" s="39" t="str">
        <f>IFERROR(IF(Y235=0,"",ROUNDUP(Y235/H235,0)*0.02039),"")</f>
        <v/>
      </c>
      <c r="AA235" s="65" t="s">
        <v>45</v>
      </c>
      <c r="AB235" s="66" t="s">
        <v>45</v>
      </c>
      <c r="AC235" s="317" t="s">
        <v>407</v>
      </c>
      <c r="AG235" s="75"/>
      <c r="AJ235" s="79" t="s">
        <v>45</v>
      </c>
      <c r="AK235" s="79">
        <v>0</v>
      </c>
      <c r="BB235" s="318" t="s">
        <v>66</v>
      </c>
      <c r="BM235" s="75">
        <f t="shared" si="52"/>
        <v>0</v>
      </c>
      <c r="BN235" s="75">
        <f t="shared" si="53"/>
        <v>0</v>
      </c>
      <c r="BO235" s="75">
        <f t="shared" si="54"/>
        <v>0</v>
      </c>
      <c r="BP235" s="75">
        <f t="shared" si="55"/>
        <v>0</v>
      </c>
    </row>
    <row r="236" spans="1:68" ht="27" customHeight="1" x14ac:dyDescent="0.25">
      <c r="A236" s="60" t="s">
        <v>409</v>
      </c>
      <c r="B236" s="60" t="s">
        <v>410</v>
      </c>
      <c r="C236" s="34">
        <v>4301011719</v>
      </c>
      <c r="D236" s="769">
        <v>4680115884298</v>
      </c>
      <c r="E236" s="769"/>
      <c r="F236" s="59">
        <v>1.45</v>
      </c>
      <c r="G236" s="35">
        <v>8</v>
      </c>
      <c r="H236" s="59">
        <v>11.6</v>
      </c>
      <c r="I236" s="59">
        <v>12.035</v>
      </c>
      <c r="J236" s="35">
        <v>64</v>
      </c>
      <c r="K236" s="35" t="s">
        <v>107</v>
      </c>
      <c r="L236" s="35" t="s">
        <v>45</v>
      </c>
      <c r="M236" s="36" t="s">
        <v>110</v>
      </c>
      <c r="N236" s="36"/>
      <c r="O236" s="35">
        <v>55</v>
      </c>
      <c r="P236" s="986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Q236" s="771"/>
      <c r="R236" s="771"/>
      <c r="S236" s="771"/>
      <c r="T236" s="772"/>
      <c r="U236" s="37" t="s">
        <v>45</v>
      </c>
      <c r="V236" s="37" t="s">
        <v>45</v>
      </c>
      <c r="W236" s="38" t="s">
        <v>0</v>
      </c>
      <c r="X236" s="56">
        <v>0</v>
      </c>
      <c r="Y236" s="53">
        <f t="shared" si="51"/>
        <v>0</v>
      </c>
      <c r="Z236" s="39" t="str">
        <f>IFERROR(IF(Y236=0,"",ROUNDUP(Y236/H236,0)*0.01898),"")</f>
        <v/>
      </c>
      <c r="AA236" s="65" t="s">
        <v>45</v>
      </c>
      <c r="AB236" s="66" t="s">
        <v>45</v>
      </c>
      <c r="AC236" s="319" t="s">
        <v>411</v>
      </c>
      <c r="AG236" s="75"/>
      <c r="AJ236" s="79" t="s">
        <v>45</v>
      </c>
      <c r="AK236" s="79">
        <v>0</v>
      </c>
      <c r="BB236" s="320" t="s">
        <v>66</v>
      </c>
      <c r="BM236" s="75">
        <f t="shared" si="52"/>
        <v>0</v>
      </c>
      <c r="BN236" s="75">
        <f t="shared" si="53"/>
        <v>0</v>
      </c>
      <c r="BO236" s="75">
        <f t="shared" si="54"/>
        <v>0</v>
      </c>
      <c r="BP236" s="75">
        <f t="shared" si="55"/>
        <v>0</v>
      </c>
    </row>
    <row r="237" spans="1:68" ht="27" customHeight="1" x14ac:dyDescent="0.25">
      <c r="A237" s="60" t="s">
        <v>412</v>
      </c>
      <c r="B237" s="60" t="s">
        <v>413</v>
      </c>
      <c r="C237" s="34">
        <v>4301011733</v>
      </c>
      <c r="D237" s="769">
        <v>4680115884250</v>
      </c>
      <c r="E237" s="769"/>
      <c r="F237" s="59">
        <v>1.45</v>
      </c>
      <c r="G237" s="35">
        <v>8</v>
      </c>
      <c r="H237" s="59">
        <v>11.6</v>
      </c>
      <c r="I237" s="59">
        <v>12.035</v>
      </c>
      <c r="J237" s="35">
        <v>64</v>
      </c>
      <c r="K237" s="35" t="s">
        <v>107</v>
      </c>
      <c r="L237" s="35" t="s">
        <v>45</v>
      </c>
      <c r="M237" s="36" t="s">
        <v>106</v>
      </c>
      <c r="N237" s="36"/>
      <c r="O237" s="35">
        <v>55</v>
      </c>
      <c r="P237" s="987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Q237" s="771"/>
      <c r="R237" s="771"/>
      <c r="S237" s="771"/>
      <c r="T237" s="772"/>
      <c r="U237" s="37" t="s">
        <v>45</v>
      </c>
      <c r="V237" s="37" t="s">
        <v>45</v>
      </c>
      <c r="W237" s="38" t="s">
        <v>0</v>
      </c>
      <c r="X237" s="56">
        <v>0</v>
      </c>
      <c r="Y237" s="53">
        <f t="shared" si="51"/>
        <v>0</v>
      </c>
      <c r="Z237" s="39" t="str">
        <f>IFERROR(IF(Y237=0,"",ROUNDUP(Y237/H237,0)*0.01898),"")</f>
        <v/>
      </c>
      <c r="AA237" s="65" t="s">
        <v>45</v>
      </c>
      <c r="AB237" s="66" t="s">
        <v>45</v>
      </c>
      <c r="AC237" s="321" t="s">
        <v>414</v>
      </c>
      <c r="AG237" s="75"/>
      <c r="AJ237" s="79" t="s">
        <v>45</v>
      </c>
      <c r="AK237" s="79">
        <v>0</v>
      </c>
      <c r="BB237" s="322" t="s">
        <v>66</v>
      </c>
      <c r="BM237" s="75">
        <f t="shared" si="52"/>
        <v>0</v>
      </c>
      <c r="BN237" s="75">
        <f t="shared" si="53"/>
        <v>0</v>
      </c>
      <c r="BO237" s="75">
        <f t="shared" si="54"/>
        <v>0</v>
      </c>
      <c r="BP237" s="75">
        <f t="shared" si="55"/>
        <v>0</v>
      </c>
    </row>
    <row r="238" spans="1:68" ht="27" customHeight="1" x14ac:dyDescent="0.25">
      <c r="A238" s="60" t="s">
        <v>412</v>
      </c>
      <c r="B238" s="60" t="s">
        <v>415</v>
      </c>
      <c r="C238" s="34">
        <v>4301011944</v>
      </c>
      <c r="D238" s="769">
        <v>4680115884250</v>
      </c>
      <c r="E238" s="769"/>
      <c r="F238" s="59">
        <v>1.45</v>
      </c>
      <c r="G238" s="35">
        <v>8</v>
      </c>
      <c r="H238" s="59">
        <v>11.6</v>
      </c>
      <c r="I238" s="59">
        <v>12.08</v>
      </c>
      <c r="J238" s="35">
        <v>48</v>
      </c>
      <c r="K238" s="35" t="s">
        <v>107</v>
      </c>
      <c r="L238" s="35" t="s">
        <v>45</v>
      </c>
      <c r="M238" s="36" t="s">
        <v>408</v>
      </c>
      <c r="N238" s="36"/>
      <c r="O238" s="35">
        <v>55</v>
      </c>
      <c r="P238" s="988" t="str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>Вареные колбасы «Филедворская» Вес п/а ТМ «Стародворье»</v>
      </c>
      <c r="Q238" s="771"/>
      <c r="R238" s="771"/>
      <c r="S238" s="771"/>
      <c r="T238" s="772"/>
      <c r="U238" s="37" t="s">
        <v>45</v>
      </c>
      <c r="V238" s="37" t="s">
        <v>45</v>
      </c>
      <c r="W238" s="38" t="s">
        <v>0</v>
      </c>
      <c r="X238" s="56">
        <v>0</v>
      </c>
      <c r="Y238" s="53">
        <f t="shared" si="51"/>
        <v>0</v>
      </c>
      <c r="Z238" s="39" t="str">
        <f>IFERROR(IF(Y238=0,"",ROUNDUP(Y238/H238,0)*0.02039),"")</f>
        <v/>
      </c>
      <c r="AA238" s="65" t="s">
        <v>45</v>
      </c>
      <c r="AB238" s="66" t="s">
        <v>45</v>
      </c>
      <c r="AC238" s="323" t="s">
        <v>407</v>
      </c>
      <c r="AG238" s="75"/>
      <c r="AJ238" s="79" t="s">
        <v>45</v>
      </c>
      <c r="AK238" s="79">
        <v>0</v>
      </c>
      <c r="BB238" s="324" t="s">
        <v>66</v>
      </c>
      <c r="BM238" s="75">
        <f t="shared" si="52"/>
        <v>0</v>
      </c>
      <c r="BN238" s="75">
        <f t="shared" si="53"/>
        <v>0</v>
      </c>
      <c r="BO238" s="75">
        <f t="shared" si="54"/>
        <v>0</v>
      </c>
      <c r="BP238" s="75">
        <f t="shared" si="55"/>
        <v>0</v>
      </c>
    </row>
    <row r="239" spans="1:68" ht="27" customHeight="1" x14ac:dyDescent="0.25">
      <c r="A239" s="60" t="s">
        <v>416</v>
      </c>
      <c r="B239" s="60" t="s">
        <v>417</v>
      </c>
      <c r="C239" s="34">
        <v>4301011718</v>
      </c>
      <c r="D239" s="769">
        <v>4680115884281</v>
      </c>
      <c r="E239" s="769"/>
      <c r="F239" s="59">
        <v>0.4</v>
      </c>
      <c r="G239" s="35">
        <v>10</v>
      </c>
      <c r="H239" s="59">
        <v>4</v>
      </c>
      <c r="I239" s="59">
        <v>4.21</v>
      </c>
      <c r="J239" s="35">
        <v>132</v>
      </c>
      <c r="K239" s="35" t="s">
        <v>116</v>
      </c>
      <c r="L239" s="35" t="s">
        <v>45</v>
      </c>
      <c r="M239" s="36" t="s">
        <v>110</v>
      </c>
      <c r="N239" s="36"/>
      <c r="O239" s="35">
        <v>55</v>
      </c>
      <c r="P239" s="989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Q239" s="771"/>
      <c r="R239" s="771"/>
      <c r="S239" s="771"/>
      <c r="T239" s="772"/>
      <c r="U239" s="37" t="s">
        <v>45</v>
      </c>
      <c r="V239" s="37" t="s">
        <v>45</v>
      </c>
      <c r="W239" s="38" t="s">
        <v>0</v>
      </c>
      <c r="X239" s="56">
        <v>0</v>
      </c>
      <c r="Y239" s="53">
        <f t="shared" si="51"/>
        <v>0</v>
      </c>
      <c r="Z239" s="39" t="str">
        <f>IFERROR(IF(Y239=0,"",ROUNDUP(Y239/H239,0)*0.00902),"")</f>
        <v/>
      </c>
      <c r="AA239" s="65" t="s">
        <v>45</v>
      </c>
      <c r="AB239" s="66" t="s">
        <v>45</v>
      </c>
      <c r="AC239" s="325" t="s">
        <v>405</v>
      </c>
      <c r="AG239" s="75"/>
      <c r="AJ239" s="79" t="s">
        <v>45</v>
      </c>
      <c r="AK239" s="79">
        <v>0</v>
      </c>
      <c r="BB239" s="326" t="s">
        <v>66</v>
      </c>
      <c r="BM239" s="75">
        <f t="shared" si="52"/>
        <v>0</v>
      </c>
      <c r="BN239" s="75">
        <f t="shared" si="53"/>
        <v>0</v>
      </c>
      <c r="BO239" s="75">
        <f t="shared" si="54"/>
        <v>0</v>
      </c>
      <c r="BP239" s="75">
        <f t="shared" si="55"/>
        <v>0</v>
      </c>
    </row>
    <row r="240" spans="1:68" ht="27" customHeight="1" x14ac:dyDescent="0.25">
      <c r="A240" s="60" t="s">
        <v>418</v>
      </c>
      <c r="B240" s="60" t="s">
        <v>419</v>
      </c>
      <c r="C240" s="34">
        <v>4301011720</v>
      </c>
      <c r="D240" s="769">
        <v>4680115884199</v>
      </c>
      <c r="E240" s="769"/>
      <c r="F240" s="59">
        <v>0.37</v>
      </c>
      <c r="G240" s="35">
        <v>10</v>
      </c>
      <c r="H240" s="59">
        <v>3.7</v>
      </c>
      <c r="I240" s="59">
        <v>3.91</v>
      </c>
      <c r="J240" s="35">
        <v>132</v>
      </c>
      <c r="K240" s="35" t="s">
        <v>116</v>
      </c>
      <c r="L240" s="35" t="s">
        <v>45</v>
      </c>
      <c r="M240" s="36" t="s">
        <v>110</v>
      </c>
      <c r="N240" s="36"/>
      <c r="O240" s="35">
        <v>55</v>
      </c>
      <c r="P240" s="990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Q240" s="771"/>
      <c r="R240" s="771"/>
      <c r="S240" s="771"/>
      <c r="T240" s="772"/>
      <c r="U240" s="37" t="s">
        <v>45</v>
      </c>
      <c r="V240" s="37" t="s">
        <v>45</v>
      </c>
      <c r="W240" s="38" t="s">
        <v>0</v>
      </c>
      <c r="X240" s="56">
        <v>0</v>
      </c>
      <c r="Y240" s="53">
        <f t="shared" si="51"/>
        <v>0</v>
      </c>
      <c r="Z240" s="39" t="str">
        <f>IFERROR(IF(Y240=0,"",ROUNDUP(Y240/H240,0)*0.00902),"")</f>
        <v/>
      </c>
      <c r="AA240" s="65" t="s">
        <v>45</v>
      </c>
      <c r="AB240" s="66" t="s">
        <v>45</v>
      </c>
      <c r="AC240" s="327" t="s">
        <v>411</v>
      </c>
      <c r="AG240" s="75"/>
      <c r="AJ240" s="79" t="s">
        <v>45</v>
      </c>
      <c r="AK240" s="79">
        <v>0</v>
      </c>
      <c r="BB240" s="328" t="s">
        <v>66</v>
      </c>
      <c r="BM240" s="75">
        <f t="shared" si="52"/>
        <v>0</v>
      </c>
      <c r="BN240" s="75">
        <f t="shared" si="53"/>
        <v>0</v>
      </c>
      <c r="BO240" s="75">
        <f t="shared" si="54"/>
        <v>0</v>
      </c>
      <c r="BP240" s="75">
        <f t="shared" si="55"/>
        <v>0</v>
      </c>
    </row>
    <row r="241" spans="1:68" ht="27" customHeight="1" x14ac:dyDescent="0.25">
      <c r="A241" s="60" t="s">
        <v>420</v>
      </c>
      <c r="B241" s="60" t="s">
        <v>421</v>
      </c>
      <c r="C241" s="34">
        <v>4301011716</v>
      </c>
      <c r="D241" s="769">
        <v>4680115884267</v>
      </c>
      <c r="E241" s="769"/>
      <c r="F241" s="59">
        <v>0.4</v>
      </c>
      <c r="G241" s="35">
        <v>10</v>
      </c>
      <c r="H241" s="59">
        <v>4</v>
      </c>
      <c r="I241" s="59">
        <v>4.21</v>
      </c>
      <c r="J241" s="35">
        <v>132</v>
      </c>
      <c r="K241" s="35" t="s">
        <v>116</v>
      </c>
      <c r="L241" s="35" t="s">
        <v>45</v>
      </c>
      <c r="M241" s="36" t="s">
        <v>110</v>
      </c>
      <c r="N241" s="36"/>
      <c r="O241" s="35">
        <v>55</v>
      </c>
      <c r="P241" s="991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Q241" s="771"/>
      <c r="R241" s="771"/>
      <c r="S241" s="771"/>
      <c r="T241" s="772"/>
      <c r="U241" s="37" t="s">
        <v>45</v>
      </c>
      <c r="V241" s="37" t="s">
        <v>45</v>
      </c>
      <c r="W241" s="38" t="s">
        <v>0</v>
      </c>
      <c r="X241" s="56">
        <v>0</v>
      </c>
      <c r="Y241" s="53">
        <f t="shared" si="51"/>
        <v>0</v>
      </c>
      <c r="Z241" s="39" t="str">
        <f>IFERROR(IF(Y241=0,"",ROUNDUP(Y241/H241,0)*0.00902),"")</f>
        <v/>
      </c>
      <c r="AA241" s="65" t="s">
        <v>45</v>
      </c>
      <c r="AB241" s="66" t="s">
        <v>45</v>
      </c>
      <c r="AC241" s="329" t="s">
        <v>414</v>
      </c>
      <c r="AG241" s="75"/>
      <c r="AJ241" s="79" t="s">
        <v>45</v>
      </c>
      <c r="AK241" s="79">
        <v>0</v>
      </c>
      <c r="BB241" s="330" t="s">
        <v>66</v>
      </c>
      <c r="BM241" s="75">
        <f t="shared" si="52"/>
        <v>0</v>
      </c>
      <c r="BN241" s="75">
        <f t="shared" si="53"/>
        <v>0</v>
      </c>
      <c r="BO241" s="75">
        <f t="shared" si="54"/>
        <v>0</v>
      </c>
      <c r="BP241" s="75">
        <f t="shared" si="55"/>
        <v>0</v>
      </c>
    </row>
    <row r="242" spans="1:68" x14ac:dyDescent="0.2">
      <c r="A242" s="759"/>
      <c r="B242" s="759"/>
      <c r="C242" s="759"/>
      <c r="D242" s="759"/>
      <c r="E242" s="759"/>
      <c r="F242" s="759"/>
      <c r="G242" s="759"/>
      <c r="H242" s="759"/>
      <c r="I242" s="759"/>
      <c r="J242" s="759"/>
      <c r="K242" s="759"/>
      <c r="L242" s="759"/>
      <c r="M242" s="759"/>
      <c r="N242" s="759"/>
      <c r="O242" s="767"/>
      <c r="P242" s="764" t="s">
        <v>40</v>
      </c>
      <c r="Q242" s="765"/>
      <c r="R242" s="765"/>
      <c r="S242" s="765"/>
      <c r="T242" s="765"/>
      <c r="U242" s="765"/>
      <c r="V242" s="766"/>
      <c r="W242" s="40" t="s">
        <v>39</v>
      </c>
      <c r="X242" s="41">
        <f>IFERROR(X234/H234,"0")+IFERROR(X235/H235,"0")+IFERROR(X236/H236,"0")+IFERROR(X237/H237,"0")+IFERROR(X238/H238,"0")+IFERROR(X239/H239,"0")+IFERROR(X240/H240,"0")+IFERROR(X241/H241,"0")</f>
        <v>0</v>
      </c>
      <c r="Y242" s="41">
        <f>IFERROR(Y234/H234,"0")+IFERROR(Y235/H235,"0")+IFERROR(Y236/H236,"0")+IFERROR(Y237/H237,"0")+IFERROR(Y238/H238,"0")+IFERROR(Y239/H239,"0")+IFERROR(Y240/H240,"0")+IFERROR(Y241/H241,"0")</f>
        <v>0</v>
      </c>
      <c r="Z242" s="41">
        <f>IFERROR(IF(Z234="",0,Z234),"0")+IFERROR(IF(Z235="",0,Z235),"0")+IFERROR(IF(Z236="",0,Z236),"0")+IFERROR(IF(Z237="",0,Z237),"0")+IFERROR(IF(Z238="",0,Z238),"0")+IFERROR(IF(Z239="",0,Z239),"0")+IFERROR(IF(Z240="",0,Z240),"0")+IFERROR(IF(Z241="",0,Z241),"0")</f>
        <v>0</v>
      </c>
      <c r="AA242" s="64"/>
      <c r="AB242" s="64"/>
      <c r="AC242" s="64"/>
    </row>
    <row r="243" spans="1:68" x14ac:dyDescent="0.2">
      <c r="A243" s="759"/>
      <c r="B243" s="759"/>
      <c r="C243" s="759"/>
      <c r="D243" s="759"/>
      <c r="E243" s="759"/>
      <c r="F243" s="759"/>
      <c r="G243" s="759"/>
      <c r="H243" s="759"/>
      <c r="I243" s="759"/>
      <c r="J243" s="759"/>
      <c r="K243" s="759"/>
      <c r="L243" s="759"/>
      <c r="M243" s="759"/>
      <c r="N243" s="759"/>
      <c r="O243" s="767"/>
      <c r="P243" s="764" t="s">
        <v>40</v>
      </c>
      <c r="Q243" s="765"/>
      <c r="R243" s="765"/>
      <c r="S243" s="765"/>
      <c r="T243" s="765"/>
      <c r="U243" s="765"/>
      <c r="V243" s="766"/>
      <c r="W243" s="40" t="s">
        <v>0</v>
      </c>
      <c r="X243" s="41">
        <f>IFERROR(SUM(X234:X241),"0")</f>
        <v>0</v>
      </c>
      <c r="Y243" s="41">
        <f>IFERROR(SUM(Y234:Y241),"0")</f>
        <v>0</v>
      </c>
      <c r="Z243" s="40"/>
      <c r="AA243" s="64"/>
      <c r="AB243" s="64"/>
      <c r="AC243" s="64"/>
    </row>
    <row r="244" spans="1:68" ht="16.5" customHeight="1" x14ac:dyDescent="0.25">
      <c r="A244" s="776" t="s">
        <v>422</v>
      </c>
      <c r="B244" s="776"/>
      <c r="C244" s="776"/>
      <c r="D244" s="776"/>
      <c r="E244" s="776"/>
      <c r="F244" s="776"/>
      <c r="G244" s="776"/>
      <c r="H244" s="776"/>
      <c r="I244" s="776"/>
      <c r="J244" s="776"/>
      <c r="K244" s="776"/>
      <c r="L244" s="776"/>
      <c r="M244" s="776"/>
      <c r="N244" s="776"/>
      <c r="O244" s="776"/>
      <c r="P244" s="776"/>
      <c r="Q244" s="776"/>
      <c r="R244" s="776"/>
      <c r="S244" s="776"/>
      <c r="T244" s="776"/>
      <c r="U244" s="776"/>
      <c r="V244" s="776"/>
      <c r="W244" s="776"/>
      <c r="X244" s="776"/>
      <c r="Y244" s="776"/>
      <c r="Z244" s="776"/>
      <c r="AA244" s="62"/>
      <c r="AB244" s="62"/>
      <c r="AC244" s="62"/>
    </row>
    <row r="245" spans="1:68" ht="14.25" customHeight="1" x14ac:dyDescent="0.25">
      <c r="A245" s="768" t="s">
        <v>101</v>
      </c>
      <c r="B245" s="768"/>
      <c r="C245" s="768"/>
      <c r="D245" s="768"/>
      <c r="E245" s="768"/>
      <c r="F245" s="768"/>
      <c r="G245" s="768"/>
      <c r="H245" s="768"/>
      <c r="I245" s="768"/>
      <c r="J245" s="768"/>
      <c r="K245" s="768"/>
      <c r="L245" s="768"/>
      <c r="M245" s="768"/>
      <c r="N245" s="768"/>
      <c r="O245" s="768"/>
      <c r="P245" s="768"/>
      <c r="Q245" s="768"/>
      <c r="R245" s="768"/>
      <c r="S245" s="768"/>
      <c r="T245" s="768"/>
      <c r="U245" s="768"/>
      <c r="V245" s="768"/>
      <c r="W245" s="768"/>
      <c r="X245" s="768"/>
      <c r="Y245" s="768"/>
      <c r="Z245" s="768"/>
      <c r="AA245" s="63"/>
      <c r="AB245" s="63"/>
      <c r="AC245" s="63"/>
    </row>
    <row r="246" spans="1:68" ht="27" customHeight="1" x14ac:dyDescent="0.25">
      <c r="A246" s="60" t="s">
        <v>423</v>
      </c>
      <c r="B246" s="60" t="s">
        <v>424</v>
      </c>
      <c r="C246" s="34">
        <v>4301011826</v>
      </c>
      <c r="D246" s="769">
        <v>4680115884137</v>
      </c>
      <c r="E246" s="769"/>
      <c r="F246" s="59">
        <v>1.45</v>
      </c>
      <c r="G246" s="35">
        <v>8</v>
      </c>
      <c r="H246" s="59">
        <v>11.6</v>
      </c>
      <c r="I246" s="59">
        <v>12.035</v>
      </c>
      <c r="J246" s="35">
        <v>64</v>
      </c>
      <c r="K246" s="35" t="s">
        <v>107</v>
      </c>
      <c r="L246" s="35" t="s">
        <v>45</v>
      </c>
      <c r="M246" s="36" t="s">
        <v>110</v>
      </c>
      <c r="N246" s="36"/>
      <c r="O246" s="35">
        <v>55</v>
      </c>
      <c r="P246" s="97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6" s="771"/>
      <c r="R246" s="771"/>
      <c r="S246" s="771"/>
      <c r="T246" s="772"/>
      <c r="U246" s="37" t="s">
        <v>45</v>
      </c>
      <c r="V246" s="37" t="s">
        <v>45</v>
      </c>
      <c r="W246" s="38" t="s">
        <v>0</v>
      </c>
      <c r="X246" s="56">
        <v>0</v>
      </c>
      <c r="Y246" s="53">
        <f t="shared" ref="Y246:Y254" si="56">IFERROR(IF(X246="",0,CEILING((X246/$H246),1)*$H246),"")</f>
        <v>0</v>
      </c>
      <c r="Z246" s="39" t="str">
        <f>IFERROR(IF(Y246=0,"",ROUNDUP(Y246/H246,0)*0.01898),"")</f>
        <v/>
      </c>
      <c r="AA246" s="65" t="s">
        <v>45</v>
      </c>
      <c r="AB246" s="66" t="s">
        <v>45</v>
      </c>
      <c r="AC246" s="331" t="s">
        <v>425</v>
      </c>
      <c r="AG246" s="75"/>
      <c r="AJ246" s="79" t="s">
        <v>45</v>
      </c>
      <c r="AK246" s="79">
        <v>0</v>
      </c>
      <c r="BB246" s="332" t="s">
        <v>66</v>
      </c>
      <c r="BM246" s="75">
        <f t="shared" ref="BM246:BM254" si="57">IFERROR(X246*I246/H246,"0")</f>
        <v>0</v>
      </c>
      <c r="BN246" s="75">
        <f t="shared" ref="BN246:BN254" si="58">IFERROR(Y246*I246/H246,"0")</f>
        <v>0</v>
      </c>
      <c r="BO246" s="75">
        <f t="shared" ref="BO246:BO254" si="59">IFERROR(1/J246*(X246/H246),"0")</f>
        <v>0</v>
      </c>
      <c r="BP246" s="75">
        <f t="shared" ref="BP246:BP254" si="60">IFERROR(1/J246*(Y246/H246),"0")</f>
        <v>0</v>
      </c>
    </row>
    <row r="247" spans="1:68" ht="27" customHeight="1" x14ac:dyDescent="0.25">
      <c r="A247" s="60" t="s">
        <v>423</v>
      </c>
      <c r="B247" s="60" t="s">
        <v>426</v>
      </c>
      <c r="C247" s="34">
        <v>4301011942</v>
      </c>
      <c r="D247" s="769">
        <v>4680115884137</v>
      </c>
      <c r="E247" s="769"/>
      <c r="F247" s="59">
        <v>1.45</v>
      </c>
      <c r="G247" s="35">
        <v>8</v>
      </c>
      <c r="H247" s="59">
        <v>11.6</v>
      </c>
      <c r="I247" s="59">
        <v>12.08</v>
      </c>
      <c r="J247" s="35">
        <v>48</v>
      </c>
      <c r="K247" s="35" t="s">
        <v>107</v>
      </c>
      <c r="L247" s="35" t="s">
        <v>45</v>
      </c>
      <c r="M247" s="36" t="s">
        <v>408</v>
      </c>
      <c r="N247" s="36"/>
      <c r="O247" s="35">
        <v>55</v>
      </c>
      <c r="P247" s="978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47" s="771"/>
      <c r="R247" s="771"/>
      <c r="S247" s="771"/>
      <c r="T247" s="772"/>
      <c r="U247" s="37" t="s">
        <v>45</v>
      </c>
      <c r="V247" s="37" t="s">
        <v>45</v>
      </c>
      <c r="W247" s="38" t="s">
        <v>0</v>
      </c>
      <c r="X247" s="56">
        <v>0</v>
      </c>
      <c r="Y247" s="53">
        <f t="shared" si="56"/>
        <v>0</v>
      </c>
      <c r="Z247" s="39" t="str">
        <f>IFERROR(IF(Y247=0,"",ROUNDUP(Y247/H247,0)*0.02039),"")</f>
        <v/>
      </c>
      <c r="AA247" s="65" t="s">
        <v>45</v>
      </c>
      <c r="AB247" s="66" t="s">
        <v>45</v>
      </c>
      <c r="AC247" s="333" t="s">
        <v>427</v>
      </c>
      <c r="AG247" s="75"/>
      <c r="AJ247" s="79" t="s">
        <v>45</v>
      </c>
      <c r="AK247" s="79">
        <v>0</v>
      </c>
      <c r="BB247" s="334" t="s">
        <v>66</v>
      </c>
      <c r="BM247" s="75">
        <f t="shared" si="57"/>
        <v>0</v>
      </c>
      <c r="BN247" s="75">
        <f t="shared" si="58"/>
        <v>0</v>
      </c>
      <c r="BO247" s="75">
        <f t="shared" si="59"/>
        <v>0</v>
      </c>
      <c r="BP247" s="75">
        <f t="shared" si="60"/>
        <v>0</v>
      </c>
    </row>
    <row r="248" spans="1:68" ht="27" customHeight="1" x14ac:dyDescent="0.25">
      <c r="A248" s="60" t="s">
        <v>428</v>
      </c>
      <c r="B248" s="60" t="s">
        <v>429</v>
      </c>
      <c r="C248" s="34">
        <v>4301011724</v>
      </c>
      <c r="D248" s="769">
        <v>4680115884236</v>
      </c>
      <c r="E248" s="769"/>
      <c r="F248" s="59">
        <v>1.45</v>
      </c>
      <c r="G248" s="35">
        <v>8</v>
      </c>
      <c r="H248" s="59">
        <v>11.6</v>
      </c>
      <c r="I248" s="59">
        <v>12.035</v>
      </c>
      <c r="J248" s="35">
        <v>64</v>
      </c>
      <c r="K248" s="35" t="s">
        <v>107</v>
      </c>
      <c r="L248" s="35" t="s">
        <v>45</v>
      </c>
      <c r="M248" s="36" t="s">
        <v>110</v>
      </c>
      <c r="N248" s="36"/>
      <c r="O248" s="35">
        <v>55</v>
      </c>
      <c r="P248" s="97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48" s="771"/>
      <c r="R248" s="771"/>
      <c r="S248" s="771"/>
      <c r="T248" s="772"/>
      <c r="U248" s="37" t="s">
        <v>45</v>
      </c>
      <c r="V248" s="37" t="s">
        <v>45</v>
      </c>
      <c r="W248" s="38" t="s">
        <v>0</v>
      </c>
      <c r="X248" s="56">
        <v>0</v>
      </c>
      <c r="Y248" s="53">
        <f t="shared" si="56"/>
        <v>0</v>
      </c>
      <c r="Z248" s="39" t="str">
        <f>IFERROR(IF(Y248=0,"",ROUNDUP(Y248/H248,0)*0.01898),"")</f>
        <v/>
      </c>
      <c r="AA248" s="65" t="s">
        <v>45</v>
      </c>
      <c r="AB248" s="66" t="s">
        <v>45</v>
      </c>
      <c r="AC248" s="335" t="s">
        <v>430</v>
      </c>
      <c r="AG248" s="75"/>
      <c r="AJ248" s="79" t="s">
        <v>45</v>
      </c>
      <c r="AK248" s="79">
        <v>0</v>
      </c>
      <c r="BB248" s="336" t="s">
        <v>66</v>
      </c>
      <c r="BM248" s="75">
        <f t="shared" si="57"/>
        <v>0</v>
      </c>
      <c r="BN248" s="75">
        <f t="shared" si="58"/>
        <v>0</v>
      </c>
      <c r="BO248" s="75">
        <f t="shared" si="59"/>
        <v>0</v>
      </c>
      <c r="BP248" s="75">
        <f t="shared" si="60"/>
        <v>0</v>
      </c>
    </row>
    <row r="249" spans="1:68" ht="27" customHeight="1" x14ac:dyDescent="0.25">
      <c r="A249" s="60" t="s">
        <v>431</v>
      </c>
      <c r="B249" s="60" t="s">
        <v>432</v>
      </c>
      <c r="C249" s="34">
        <v>4301011721</v>
      </c>
      <c r="D249" s="769">
        <v>4680115884175</v>
      </c>
      <c r="E249" s="769"/>
      <c r="F249" s="59">
        <v>1.45</v>
      </c>
      <c r="G249" s="35">
        <v>8</v>
      </c>
      <c r="H249" s="59">
        <v>11.6</v>
      </c>
      <c r="I249" s="59">
        <v>12.035</v>
      </c>
      <c r="J249" s="35">
        <v>64</v>
      </c>
      <c r="K249" s="35" t="s">
        <v>107</v>
      </c>
      <c r="L249" s="35" t="s">
        <v>45</v>
      </c>
      <c r="M249" s="36" t="s">
        <v>110</v>
      </c>
      <c r="N249" s="36"/>
      <c r="O249" s="35">
        <v>55</v>
      </c>
      <c r="P249" s="98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49" s="771"/>
      <c r="R249" s="771"/>
      <c r="S249" s="771"/>
      <c r="T249" s="772"/>
      <c r="U249" s="37" t="s">
        <v>45</v>
      </c>
      <c r="V249" s="37" t="s">
        <v>45</v>
      </c>
      <c r="W249" s="38" t="s">
        <v>0</v>
      </c>
      <c r="X249" s="56">
        <v>0</v>
      </c>
      <c r="Y249" s="53">
        <f t="shared" si="56"/>
        <v>0</v>
      </c>
      <c r="Z249" s="39" t="str">
        <f>IFERROR(IF(Y249=0,"",ROUNDUP(Y249/H249,0)*0.01898),"")</f>
        <v/>
      </c>
      <c r="AA249" s="65" t="s">
        <v>45</v>
      </c>
      <c r="AB249" s="66" t="s">
        <v>45</v>
      </c>
      <c r="AC249" s="337" t="s">
        <v>433</v>
      </c>
      <c r="AG249" s="75"/>
      <c r="AJ249" s="79" t="s">
        <v>45</v>
      </c>
      <c r="AK249" s="79">
        <v>0</v>
      </c>
      <c r="BB249" s="338" t="s">
        <v>66</v>
      </c>
      <c r="BM249" s="75">
        <f t="shared" si="57"/>
        <v>0</v>
      </c>
      <c r="BN249" s="75">
        <f t="shared" si="58"/>
        <v>0</v>
      </c>
      <c r="BO249" s="75">
        <f t="shared" si="59"/>
        <v>0</v>
      </c>
      <c r="BP249" s="75">
        <f t="shared" si="60"/>
        <v>0</v>
      </c>
    </row>
    <row r="250" spans="1:68" ht="27" customHeight="1" x14ac:dyDescent="0.25">
      <c r="A250" s="60" t="s">
        <v>431</v>
      </c>
      <c r="B250" s="60" t="s">
        <v>434</v>
      </c>
      <c r="C250" s="34">
        <v>4301011941</v>
      </c>
      <c r="D250" s="769">
        <v>4680115884175</v>
      </c>
      <c r="E250" s="769"/>
      <c r="F250" s="59">
        <v>1.45</v>
      </c>
      <c r="G250" s="35">
        <v>8</v>
      </c>
      <c r="H250" s="59">
        <v>11.6</v>
      </c>
      <c r="I250" s="59">
        <v>12.08</v>
      </c>
      <c r="J250" s="35">
        <v>48</v>
      </c>
      <c r="K250" s="35" t="s">
        <v>107</v>
      </c>
      <c r="L250" s="35" t="s">
        <v>45</v>
      </c>
      <c r="M250" s="36" t="s">
        <v>408</v>
      </c>
      <c r="N250" s="36"/>
      <c r="O250" s="35">
        <v>55</v>
      </c>
      <c r="P250" s="981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50" s="771"/>
      <c r="R250" s="771"/>
      <c r="S250" s="771"/>
      <c r="T250" s="772"/>
      <c r="U250" s="37" t="s">
        <v>45</v>
      </c>
      <c r="V250" s="37" t="s">
        <v>45</v>
      </c>
      <c r="W250" s="38" t="s">
        <v>0</v>
      </c>
      <c r="X250" s="56">
        <v>0</v>
      </c>
      <c r="Y250" s="53">
        <f t="shared" si="56"/>
        <v>0</v>
      </c>
      <c r="Z250" s="39" t="str">
        <f>IFERROR(IF(Y250=0,"",ROUNDUP(Y250/H250,0)*0.02039),"")</f>
        <v/>
      </c>
      <c r="AA250" s="65" t="s">
        <v>45</v>
      </c>
      <c r="AB250" s="66" t="s">
        <v>45</v>
      </c>
      <c r="AC250" s="339" t="s">
        <v>427</v>
      </c>
      <c r="AG250" s="75"/>
      <c r="AJ250" s="79" t="s">
        <v>45</v>
      </c>
      <c r="AK250" s="79">
        <v>0</v>
      </c>
      <c r="BB250" s="340" t="s">
        <v>66</v>
      </c>
      <c r="BM250" s="75">
        <f t="shared" si="57"/>
        <v>0</v>
      </c>
      <c r="BN250" s="75">
        <f t="shared" si="58"/>
        <v>0</v>
      </c>
      <c r="BO250" s="75">
        <f t="shared" si="59"/>
        <v>0</v>
      </c>
      <c r="BP250" s="75">
        <f t="shared" si="60"/>
        <v>0</v>
      </c>
    </row>
    <row r="251" spans="1:68" ht="27" customHeight="1" x14ac:dyDescent="0.25">
      <c r="A251" s="60" t="s">
        <v>435</v>
      </c>
      <c r="B251" s="60" t="s">
        <v>436</v>
      </c>
      <c r="C251" s="34">
        <v>4301011824</v>
      </c>
      <c r="D251" s="769">
        <v>4680115884144</v>
      </c>
      <c r="E251" s="769"/>
      <c r="F251" s="59">
        <v>0.4</v>
      </c>
      <c r="G251" s="35">
        <v>10</v>
      </c>
      <c r="H251" s="59">
        <v>4</v>
      </c>
      <c r="I251" s="59">
        <v>4.21</v>
      </c>
      <c r="J251" s="35">
        <v>132</v>
      </c>
      <c r="K251" s="35" t="s">
        <v>116</v>
      </c>
      <c r="L251" s="35" t="s">
        <v>45</v>
      </c>
      <c r="M251" s="36" t="s">
        <v>110</v>
      </c>
      <c r="N251" s="36"/>
      <c r="O251" s="35">
        <v>55</v>
      </c>
      <c r="P251" s="9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51" s="771"/>
      <c r="R251" s="771"/>
      <c r="S251" s="771"/>
      <c r="T251" s="772"/>
      <c r="U251" s="37" t="s">
        <v>45</v>
      </c>
      <c r="V251" s="37" t="s">
        <v>45</v>
      </c>
      <c r="W251" s="38" t="s">
        <v>0</v>
      </c>
      <c r="X251" s="56">
        <v>0</v>
      </c>
      <c r="Y251" s="53">
        <f t="shared" si="56"/>
        <v>0</v>
      </c>
      <c r="Z251" s="39" t="str">
        <f>IFERROR(IF(Y251=0,"",ROUNDUP(Y251/H251,0)*0.00902),"")</f>
        <v/>
      </c>
      <c r="AA251" s="65" t="s">
        <v>45</v>
      </c>
      <c r="AB251" s="66" t="s">
        <v>45</v>
      </c>
      <c r="AC251" s="341" t="s">
        <v>425</v>
      </c>
      <c r="AG251" s="75"/>
      <c r="AJ251" s="79" t="s">
        <v>45</v>
      </c>
      <c r="AK251" s="79">
        <v>0</v>
      </c>
      <c r="BB251" s="342" t="s">
        <v>66</v>
      </c>
      <c r="BM251" s="75">
        <f t="shared" si="57"/>
        <v>0</v>
      </c>
      <c r="BN251" s="75">
        <f t="shared" si="58"/>
        <v>0</v>
      </c>
      <c r="BO251" s="75">
        <f t="shared" si="59"/>
        <v>0</v>
      </c>
      <c r="BP251" s="75">
        <f t="shared" si="60"/>
        <v>0</v>
      </c>
    </row>
    <row r="252" spans="1:68" ht="27" customHeight="1" x14ac:dyDescent="0.25">
      <c r="A252" s="60" t="s">
        <v>437</v>
      </c>
      <c r="B252" s="60" t="s">
        <v>438</v>
      </c>
      <c r="C252" s="34">
        <v>4301011963</v>
      </c>
      <c r="D252" s="769">
        <v>4680115885288</v>
      </c>
      <c r="E252" s="769"/>
      <c r="F252" s="59">
        <v>0.37</v>
      </c>
      <c r="G252" s="35">
        <v>10</v>
      </c>
      <c r="H252" s="59">
        <v>3.7</v>
      </c>
      <c r="I252" s="59">
        <v>3.91</v>
      </c>
      <c r="J252" s="35">
        <v>132</v>
      </c>
      <c r="K252" s="35" t="s">
        <v>116</v>
      </c>
      <c r="L252" s="35" t="s">
        <v>45</v>
      </c>
      <c r="M252" s="36" t="s">
        <v>110</v>
      </c>
      <c r="N252" s="36"/>
      <c r="O252" s="35">
        <v>55</v>
      </c>
      <c r="P252" s="983" t="str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>Вареные колбасы «Стародворская Мясная» ф/в 0,37 п/а ТМ «Стародворье»</v>
      </c>
      <c r="Q252" s="771"/>
      <c r="R252" s="771"/>
      <c r="S252" s="771"/>
      <c r="T252" s="772"/>
      <c r="U252" s="37" t="s">
        <v>45</v>
      </c>
      <c r="V252" s="37" t="s">
        <v>45</v>
      </c>
      <c r="W252" s="38" t="s">
        <v>0</v>
      </c>
      <c r="X252" s="56">
        <v>0</v>
      </c>
      <c r="Y252" s="53">
        <f t="shared" si="56"/>
        <v>0</v>
      </c>
      <c r="Z252" s="39" t="str">
        <f>IFERROR(IF(Y252=0,"",ROUNDUP(Y252/H252,0)*0.00902),"")</f>
        <v/>
      </c>
      <c r="AA252" s="65" t="s">
        <v>45</v>
      </c>
      <c r="AB252" s="66" t="s">
        <v>45</v>
      </c>
      <c r="AC252" s="343" t="s">
        <v>439</v>
      </c>
      <c r="AG252" s="75"/>
      <c r="AJ252" s="79" t="s">
        <v>45</v>
      </c>
      <c r="AK252" s="79">
        <v>0</v>
      </c>
      <c r="BB252" s="344" t="s">
        <v>66</v>
      </c>
      <c r="BM252" s="75">
        <f t="shared" si="57"/>
        <v>0</v>
      </c>
      <c r="BN252" s="75">
        <f t="shared" si="58"/>
        <v>0</v>
      </c>
      <c r="BO252" s="75">
        <f t="shared" si="59"/>
        <v>0</v>
      </c>
      <c r="BP252" s="75">
        <f t="shared" si="60"/>
        <v>0</v>
      </c>
    </row>
    <row r="253" spans="1:68" ht="27" customHeight="1" x14ac:dyDescent="0.25">
      <c r="A253" s="60" t="s">
        <v>440</v>
      </c>
      <c r="B253" s="60" t="s">
        <v>441</v>
      </c>
      <c r="C253" s="34">
        <v>4301011726</v>
      </c>
      <c r="D253" s="769">
        <v>4680115884182</v>
      </c>
      <c r="E253" s="769"/>
      <c r="F253" s="59">
        <v>0.37</v>
      </c>
      <c r="G253" s="35">
        <v>10</v>
      </c>
      <c r="H253" s="59">
        <v>3.7</v>
      </c>
      <c r="I253" s="59">
        <v>3.91</v>
      </c>
      <c r="J253" s="35">
        <v>132</v>
      </c>
      <c r="K253" s="35" t="s">
        <v>116</v>
      </c>
      <c r="L253" s="35" t="s">
        <v>45</v>
      </c>
      <c r="M253" s="36" t="s">
        <v>110</v>
      </c>
      <c r="N253" s="36"/>
      <c r="O253" s="35">
        <v>55</v>
      </c>
      <c r="P253" s="984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53" s="771"/>
      <c r="R253" s="771"/>
      <c r="S253" s="771"/>
      <c r="T253" s="772"/>
      <c r="U253" s="37" t="s">
        <v>45</v>
      </c>
      <c r="V253" s="37" t="s">
        <v>45</v>
      </c>
      <c r="W253" s="38" t="s">
        <v>0</v>
      </c>
      <c r="X253" s="56">
        <v>0</v>
      </c>
      <c r="Y253" s="53">
        <f t="shared" si="56"/>
        <v>0</v>
      </c>
      <c r="Z253" s="39" t="str">
        <f>IFERROR(IF(Y253=0,"",ROUNDUP(Y253/H253,0)*0.00902),"")</f>
        <v/>
      </c>
      <c r="AA253" s="65" t="s">
        <v>45</v>
      </c>
      <c r="AB253" s="66" t="s">
        <v>45</v>
      </c>
      <c r="AC253" s="345" t="s">
        <v>430</v>
      </c>
      <c r="AG253" s="75"/>
      <c r="AJ253" s="79" t="s">
        <v>45</v>
      </c>
      <c r="AK253" s="79">
        <v>0</v>
      </c>
      <c r="BB253" s="346" t="s">
        <v>66</v>
      </c>
      <c r="BM253" s="75">
        <f t="shared" si="57"/>
        <v>0</v>
      </c>
      <c r="BN253" s="75">
        <f t="shared" si="58"/>
        <v>0</v>
      </c>
      <c r="BO253" s="75">
        <f t="shared" si="59"/>
        <v>0</v>
      </c>
      <c r="BP253" s="75">
        <f t="shared" si="60"/>
        <v>0</v>
      </c>
    </row>
    <row r="254" spans="1:68" ht="27" customHeight="1" x14ac:dyDescent="0.25">
      <c r="A254" s="60" t="s">
        <v>442</v>
      </c>
      <c r="B254" s="60" t="s">
        <v>443</v>
      </c>
      <c r="C254" s="34">
        <v>4301011722</v>
      </c>
      <c r="D254" s="769">
        <v>4680115884205</v>
      </c>
      <c r="E254" s="769"/>
      <c r="F254" s="59">
        <v>0.4</v>
      </c>
      <c r="G254" s="35">
        <v>10</v>
      </c>
      <c r="H254" s="59">
        <v>4</v>
      </c>
      <c r="I254" s="59">
        <v>4.21</v>
      </c>
      <c r="J254" s="35">
        <v>132</v>
      </c>
      <c r="K254" s="35" t="s">
        <v>116</v>
      </c>
      <c r="L254" s="35" t="s">
        <v>45</v>
      </c>
      <c r="M254" s="36" t="s">
        <v>110</v>
      </c>
      <c r="N254" s="36"/>
      <c r="O254" s="35">
        <v>55</v>
      </c>
      <c r="P254" s="98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54" s="771"/>
      <c r="R254" s="771"/>
      <c r="S254" s="771"/>
      <c r="T254" s="772"/>
      <c r="U254" s="37" t="s">
        <v>45</v>
      </c>
      <c r="V254" s="37" t="s">
        <v>45</v>
      </c>
      <c r="W254" s="38" t="s">
        <v>0</v>
      </c>
      <c r="X254" s="56">
        <v>0</v>
      </c>
      <c r="Y254" s="53">
        <f t="shared" si="56"/>
        <v>0</v>
      </c>
      <c r="Z254" s="39" t="str">
        <f>IFERROR(IF(Y254=0,"",ROUNDUP(Y254/H254,0)*0.00902),"")</f>
        <v/>
      </c>
      <c r="AA254" s="65" t="s">
        <v>45</v>
      </c>
      <c r="AB254" s="66" t="s">
        <v>45</v>
      </c>
      <c r="AC254" s="347" t="s">
        <v>433</v>
      </c>
      <c r="AG254" s="75"/>
      <c r="AJ254" s="79" t="s">
        <v>45</v>
      </c>
      <c r="AK254" s="79">
        <v>0</v>
      </c>
      <c r="BB254" s="348" t="s">
        <v>66</v>
      </c>
      <c r="BM254" s="75">
        <f t="shared" si="57"/>
        <v>0</v>
      </c>
      <c r="BN254" s="75">
        <f t="shared" si="58"/>
        <v>0</v>
      </c>
      <c r="BO254" s="75">
        <f t="shared" si="59"/>
        <v>0</v>
      </c>
      <c r="BP254" s="75">
        <f t="shared" si="60"/>
        <v>0</v>
      </c>
    </row>
    <row r="255" spans="1:68" x14ac:dyDescent="0.2">
      <c r="A255" s="759"/>
      <c r="B255" s="759"/>
      <c r="C255" s="759"/>
      <c r="D255" s="759"/>
      <c r="E255" s="759"/>
      <c r="F255" s="759"/>
      <c r="G255" s="759"/>
      <c r="H255" s="759"/>
      <c r="I255" s="759"/>
      <c r="J255" s="759"/>
      <c r="K255" s="759"/>
      <c r="L255" s="759"/>
      <c r="M255" s="759"/>
      <c r="N255" s="759"/>
      <c r="O255" s="767"/>
      <c r="P255" s="764" t="s">
        <v>40</v>
      </c>
      <c r="Q255" s="765"/>
      <c r="R255" s="765"/>
      <c r="S255" s="765"/>
      <c r="T255" s="765"/>
      <c r="U255" s="765"/>
      <c r="V255" s="766"/>
      <c r="W255" s="40" t="s">
        <v>39</v>
      </c>
      <c r="X255" s="41">
        <f>IFERROR(X246/H246,"0")+IFERROR(X247/H247,"0")+IFERROR(X248/H248,"0")+IFERROR(X249/H249,"0")+IFERROR(X250/H250,"0")+IFERROR(X251/H251,"0")+IFERROR(X252/H252,"0")+IFERROR(X253/H253,"0")+IFERROR(X254/H254,"0")</f>
        <v>0</v>
      </c>
      <c r="Y255" s="41">
        <f>IFERROR(Y246/H246,"0")+IFERROR(Y247/H247,"0")+IFERROR(Y248/H248,"0")+IFERROR(Y249/H249,"0")+IFERROR(Y250/H250,"0")+IFERROR(Y251/H251,"0")+IFERROR(Y252/H252,"0")+IFERROR(Y253/H253,"0")+IFERROR(Y254/H254,"0")</f>
        <v>0</v>
      </c>
      <c r="Z255" s="41">
        <f>IFERROR(IF(Z246="",0,Z246),"0")+IFERROR(IF(Z247="",0,Z247),"0")+IFERROR(IF(Z248="",0,Z248),"0")+IFERROR(IF(Z249="",0,Z249),"0")+IFERROR(IF(Z250="",0,Z250),"0")+IFERROR(IF(Z251="",0,Z251),"0")+IFERROR(IF(Z252="",0,Z252),"0")+IFERROR(IF(Z253="",0,Z253),"0")+IFERROR(IF(Z254="",0,Z254),"0")</f>
        <v>0</v>
      </c>
      <c r="AA255" s="64"/>
      <c r="AB255" s="64"/>
      <c r="AC255" s="64"/>
    </row>
    <row r="256" spans="1:68" x14ac:dyDescent="0.2">
      <c r="A256" s="759"/>
      <c r="B256" s="759"/>
      <c r="C256" s="759"/>
      <c r="D256" s="759"/>
      <c r="E256" s="759"/>
      <c r="F256" s="759"/>
      <c r="G256" s="759"/>
      <c r="H256" s="759"/>
      <c r="I256" s="759"/>
      <c r="J256" s="759"/>
      <c r="K256" s="759"/>
      <c r="L256" s="759"/>
      <c r="M256" s="759"/>
      <c r="N256" s="759"/>
      <c r="O256" s="767"/>
      <c r="P256" s="764" t="s">
        <v>40</v>
      </c>
      <c r="Q256" s="765"/>
      <c r="R256" s="765"/>
      <c r="S256" s="765"/>
      <c r="T256" s="765"/>
      <c r="U256" s="765"/>
      <c r="V256" s="766"/>
      <c r="W256" s="40" t="s">
        <v>0</v>
      </c>
      <c r="X256" s="41">
        <f>IFERROR(SUM(X246:X254),"0")</f>
        <v>0</v>
      </c>
      <c r="Y256" s="41">
        <f>IFERROR(SUM(Y246:Y254),"0")</f>
        <v>0</v>
      </c>
      <c r="Z256" s="40"/>
      <c r="AA256" s="64"/>
      <c r="AB256" s="64"/>
      <c r="AC256" s="64"/>
    </row>
    <row r="257" spans="1:68" ht="14.25" customHeight="1" x14ac:dyDescent="0.25">
      <c r="A257" s="768" t="s">
        <v>153</v>
      </c>
      <c r="B257" s="768"/>
      <c r="C257" s="768"/>
      <c r="D257" s="768"/>
      <c r="E257" s="768"/>
      <c r="F257" s="768"/>
      <c r="G257" s="768"/>
      <c r="H257" s="768"/>
      <c r="I257" s="768"/>
      <c r="J257" s="768"/>
      <c r="K257" s="768"/>
      <c r="L257" s="768"/>
      <c r="M257" s="768"/>
      <c r="N257" s="768"/>
      <c r="O257" s="768"/>
      <c r="P257" s="768"/>
      <c r="Q257" s="768"/>
      <c r="R257" s="768"/>
      <c r="S257" s="768"/>
      <c r="T257" s="768"/>
      <c r="U257" s="768"/>
      <c r="V257" s="768"/>
      <c r="W257" s="768"/>
      <c r="X257" s="768"/>
      <c r="Y257" s="768"/>
      <c r="Z257" s="768"/>
      <c r="AA257" s="63"/>
      <c r="AB257" s="63"/>
      <c r="AC257" s="63"/>
    </row>
    <row r="258" spans="1:68" ht="27" customHeight="1" x14ac:dyDescent="0.25">
      <c r="A258" s="60" t="s">
        <v>444</v>
      </c>
      <c r="B258" s="60" t="s">
        <v>445</v>
      </c>
      <c r="C258" s="34">
        <v>4301020340</v>
      </c>
      <c r="D258" s="769">
        <v>4680115885721</v>
      </c>
      <c r="E258" s="769"/>
      <c r="F258" s="59">
        <v>0.33</v>
      </c>
      <c r="G258" s="35">
        <v>6</v>
      </c>
      <c r="H258" s="59">
        <v>1.98</v>
      </c>
      <c r="I258" s="59">
        <v>2.08</v>
      </c>
      <c r="J258" s="35">
        <v>234</v>
      </c>
      <c r="K258" s="35" t="s">
        <v>126</v>
      </c>
      <c r="L258" s="35" t="s">
        <v>45</v>
      </c>
      <c r="M258" s="36" t="s">
        <v>106</v>
      </c>
      <c r="N258" s="36"/>
      <c r="O258" s="35">
        <v>50</v>
      </c>
      <c r="P258" s="97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58" s="771"/>
      <c r="R258" s="771"/>
      <c r="S258" s="771"/>
      <c r="T258" s="772"/>
      <c r="U258" s="37" t="s">
        <v>45</v>
      </c>
      <c r="V258" s="37" t="s">
        <v>45</v>
      </c>
      <c r="W258" s="38" t="s">
        <v>0</v>
      </c>
      <c r="X258" s="56">
        <v>0</v>
      </c>
      <c r="Y258" s="53">
        <f>IFERROR(IF(X258="",0,CEILING((X258/$H258),1)*$H258),"")</f>
        <v>0</v>
      </c>
      <c r="Z258" s="39" t="str">
        <f>IFERROR(IF(Y258=0,"",ROUNDUP(Y258/H258,0)*0.00502),"")</f>
        <v/>
      </c>
      <c r="AA258" s="65" t="s">
        <v>45</v>
      </c>
      <c r="AB258" s="66" t="s">
        <v>45</v>
      </c>
      <c r="AC258" s="349" t="s">
        <v>446</v>
      </c>
      <c r="AG258" s="75"/>
      <c r="AJ258" s="79" t="s">
        <v>45</v>
      </c>
      <c r="AK258" s="79">
        <v>0</v>
      </c>
      <c r="BB258" s="350" t="s">
        <v>66</v>
      </c>
      <c r="BM258" s="75">
        <f>IFERROR(X258*I258/H258,"0")</f>
        <v>0</v>
      </c>
      <c r="BN258" s="75">
        <f>IFERROR(Y258*I258/H258,"0")</f>
        <v>0</v>
      </c>
      <c r="BO258" s="75">
        <f>IFERROR(1/J258*(X258/H258),"0")</f>
        <v>0</v>
      </c>
      <c r="BP258" s="75">
        <f>IFERROR(1/J258*(Y258/H258),"0")</f>
        <v>0</v>
      </c>
    </row>
    <row r="259" spans="1:68" x14ac:dyDescent="0.2">
      <c r="A259" s="759"/>
      <c r="B259" s="759"/>
      <c r="C259" s="759"/>
      <c r="D259" s="759"/>
      <c r="E259" s="759"/>
      <c r="F259" s="759"/>
      <c r="G259" s="759"/>
      <c r="H259" s="759"/>
      <c r="I259" s="759"/>
      <c r="J259" s="759"/>
      <c r="K259" s="759"/>
      <c r="L259" s="759"/>
      <c r="M259" s="759"/>
      <c r="N259" s="759"/>
      <c r="O259" s="767"/>
      <c r="P259" s="764" t="s">
        <v>40</v>
      </c>
      <c r="Q259" s="765"/>
      <c r="R259" s="765"/>
      <c r="S259" s="765"/>
      <c r="T259" s="765"/>
      <c r="U259" s="765"/>
      <c r="V259" s="766"/>
      <c r="W259" s="40" t="s">
        <v>39</v>
      </c>
      <c r="X259" s="41">
        <f>IFERROR(X258/H258,"0")</f>
        <v>0</v>
      </c>
      <c r="Y259" s="41">
        <f>IFERROR(Y258/H258,"0")</f>
        <v>0</v>
      </c>
      <c r="Z259" s="41">
        <f>IFERROR(IF(Z258="",0,Z258),"0")</f>
        <v>0</v>
      </c>
      <c r="AA259" s="64"/>
      <c r="AB259" s="64"/>
      <c r="AC259" s="64"/>
    </row>
    <row r="260" spans="1:68" x14ac:dyDescent="0.2">
      <c r="A260" s="759"/>
      <c r="B260" s="759"/>
      <c r="C260" s="759"/>
      <c r="D260" s="759"/>
      <c r="E260" s="759"/>
      <c r="F260" s="759"/>
      <c r="G260" s="759"/>
      <c r="H260" s="759"/>
      <c r="I260" s="759"/>
      <c r="J260" s="759"/>
      <c r="K260" s="759"/>
      <c r="L260" s="759"/>
      <c r="M260" s="759"/>
      <c r="N260" s="759"/>
      <c r="O260" s="767"/>
      <c r="P260" s="764" t="s">
        <v>40</v>
      </c>
      <c r="Q260" s="765"/>
      <c r="R260" s="765"/>
      <c r="S260" s="765"/>
      <c r="T260" s="765"/>
      <c r="U260" s="765"/>
      <c r="V260" s="766"/>
      <c r="W260" s="40" t="s">
        <v>0</v>
      </c>
      <c r="X260" s="41">
        <f>IFERROR(SUM(X258:X258),"0")</f>
        <v>0</v>
      </c>
      <c r="Y260" s="41">
        <f>IFERROR(SUM(Y258:Y258),"0")</f>
        <v>0</v>
      </c>
      <c r="Z260" s="40"/>
      <c r="AA260" s="64"/>
      <c r="AB260" s="64"/>
      <c r="AC260" s="64"/>
    </row>
    <row r="261" spans="1:68" ht="16.5" customHeight="1" x14ac:dyDescent="0.25">
      <c r="A261" s="776" t="s">
        <v>447</v>
      </c>
      <c r="B261" s="776"/>
      <c r="C261" s="776"/>
      <c r="D261" s="776"/>
      <c r="E261" s="776"/>
      <c r="F261" s="776"/>
      <c r="G261" s="776"/>
      <c r="H261" s="776"/>
      <c r="I261" s="776"/>
      <c r="J261" s="776"/>
      <c r="K261" s="776"/>
      <c r="L261" s="776"/>
      <c r="M261" s="776"/>
      <c r="N261" s="776"/>
      <c r="O261" s="776"/>
      <c r="P261" s="776"/>
      <c r="Q261" s="776"/>
      <c r="R261" s="776"/>
      <c r="S261" s="776"/>
      <c r="T261" s="776"/>
      <c r="U261" s="776"/>
      <c r="V261" s="776"/>
      <c r="W261" s="776"/>
      <c r="X261" s="776"/>
      <c r="Y261" s="776"/>
      <c r="Z261" s="776"/>
      <c r="AA261" s="62"/>
      <c r="AB261" s="62"/>
      <c r="AC261" s="62"/>
    </row>
    <row r="262" spans="1:68" ht="14.25" customHeight="1" x14ac:dyDescent="0.25">
      <c r="A262" s="768" t="s">
        <v>101</v>
      </c>
      <c r="B262" s="768"/>
      <c r="C262" s="768"/>
      <c r="D262" s="768"/>
      <c r="E262" s="768"/>
      <c r="F262" s="768"/>
      <c r="G262" s="768"/>
      <c r="H262" s="768"/>
      <c r="I262" s="768"/>
      <c r="J262" s="768"/>
      <c r="K262" s="768"/>
      <c r="L262" s="768"/>
      <c r="M262" s="768"/>
      <c r="N262" s="768"/>
      <c r="O262" s="768"/>
      <c r="P262" s="768"/>
      <c r="Q262" s="768"/>
      <c r="R262" s="768"/>
      <c r="S262" s="768"/>
      <c r="T262" s="768"/>
      <c r="U262" s="768"/>
      <c r="V262" s="768"/>
      <c r="W262" s="768"/>
      <c r="X262" s="768"/>
      <c r="Y262" s="768"/>
      <c r="Z262" s="768"/>
      <c r="AA262" s="63"/>
      <c r="AB262" s="63"/>
      <c r="AC262" s="63"/>
    </row>
    <row r="263" spans="1:68" ht="27" customHeight="1" x14ac:dyDescent="0.25">
      <c r="A263" s="60" t="s">
        <v>448</v>
      </c>
      <c r="B263" s="60" t="s">
        <v>449</v>
      </c>
      <c r="C263" s="34">
        <v>4301011855</v>
      </c>
      <c r="D263" s="769">
        <v>4680115885837</v>
      </c>
      <c r="E263" s="769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107</v>
      </c>
      <c r="L263" s="35" t="s">
        <v>45</v>
      </c>
      <c r="M263" s="36" t="s">
        <v>110</v>
      </c>
      <c r="N263" s="36"/>
      <c r="O263" s="35">
        <v>55</v>
      </c>
      <c r="P263" s="9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3" s="771"/>
      <c r="R263" s="771"/>
      <c r="S263" s="771"/>
      <c r="T263" s="772"/>
      <c r="U263" s="37" t="s">
        <v>45</v>
      </c>
      <c r="V263" s="37" t="s">
        <v>45</v>
      </c>
      <c r="W263" s="38" t="s">
        <v>0</v>
      </c>
      <c r="X263" s="56">
        <v>0</v>
      </c>
      <c r="Y263" s="53">
        <f t="shared" ref="Y263:Y271" si="61">IFERROR(IF(X263="",0,CEILING((X263/$H263),1)*$H263),"")</f>
        <v>0</v>
      </c>
      <c r="Z263" s="39" t="str">
        <f>IFERROR(IF(Y263=0,"",ROUNDUP(Y263/H263,0)*0.01898),"")</f>
        <v/>
      </c>
      <c r="AA263" s="65" t="s">
        <v>45</v>
      </c>
      <c r="AB263" s="66" t="s">
        <v>45</v>
      </c>
      <c r="AC263" s="351" t="s">
        <v>450</v>
      </c>
      <c r="AG263" s="75"/>
      <c r="AJ263" s="79" t="s">
        <v>45</v>
      </c>
      <c r="AK263" s="79">
        <v>0</v>
      </c>
      <c r="BB263" s="352" t="s">
        <v>66</v>
      </c>
      <c r="BM263" s="75">
        <f t="shared" ref="BM263:BM271" si="62">IFERROR(X263*I263/H263,"0")</f>
        <v>0</v>
      </c>
      <c r="BN263" s="75">
        <f t="shared" ref="BN263:BN271" si="63">IFERROR(Y263*I263/H263,"0")</f>
        <v>0</v>
      </c>
      <c r="BO263" s="75">
        <f t="shared" ref="BO263:BO271" si="64">IFERROR(1/J263*(X263/H263),"0")</f>
        <v>0</v>
      </c>
      <c r="BP263" s="75">
        <f t="shared" ref="BP263:BP271" si="65">IFERROR(1/J263*(Y263/H263),"0")</f>
        <v>0</v>
      </c>
    </row>
    <row r="264" spans="1:68" ht="27" customHeight="1" x14ac:dyDescent="0.25">
      <c r="A264" s="60" t="s">
        <v>451</v>
      </c>
      <c r="B264" s="60" t="s">
        <v>452</v>
      </c>
      <c r="C264" s="34">
        <v>4301011850</v>
      </c>
      <c r="D264" s="769">
        <v>4680115885806</v>
      </c>
      <c r="E264" s="769"/>
      <c r="F264" s="59">
        <v>1.35</v>
      </c>
      <c r="G264" s="35">
        <v>8</v>
      </c>
      <c r="H264" s="59">
        <v>10.8</v>
      </c>
      <c r="I264" s="59">
        <v>11.234999999999999</v>
      </c>
      <c r="J264" s="35">
        <v>64</v>
      </c>
      <c r="K264" s="35" t="s">
        <v>107</v>
      </c>
      <c r="L264" s="35" t="s">
        <v>45</v>
      </c>
      <c r="M264" s="36" t="s">
        <v>110</v>
      </c>
      <c r="N264" s="36"/>
      <c r="O264" s="35">
        <v>55</v>
      </c>
      <c r="P264" s="9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4" s="771"/>
      <c r="R264" s="771"/>
      <c r="S264" s="771"/>
      <c r="T264" s="772"/>
      <c r="U264" s="37" t="s">
        <v>45</v>
      </c>
      <c r="V264" s="37" t="s">
        <v>45</v>
      </c>
      <c r="W264" s="38" t="s">
        <v>0</v>
      </c>
      <c r="X264" s="56">
        <v>0</v>
      </c>
      <c r="Y264" s="53">
        <f t="shared" si="61"/>
        <v>0</v>
      </c>
      <c r="Z264" s="39" t="str">
        <f>IFERROR(IF(Y264=0,"",ROUNDUP(Y264/H264,0)*0.01898),"")</f>
        <v/>
      </c>
      <c r="AA264" s="65" t="s">
        <v>45</v>
      </c>
      <c r="AB264" s="66" t="s">
        <v>45</v>
      </c>
      <c r="AC264" s="353" t="s">
        <v>453</v>
      </c>
      <c r="AG264" s="75"/>
      <c r="AJ264" s="79" t="s">
        <v>45</v>
      </c>
      <c r="AK264" s="79">
        <v>0</v>
      </c>
      <c r="BB264" s="354" t="s">
        <v>66</v>
      </c>
      <c r="BM264" s="75">
        <f t="shared" si="62"/>
        <v>0</v>
      </c>
      <c r="BN264" s="75">
        <f t="shared" si="63"/>
        <v>0</v>
      </c>
      <c r="BO264" s="75">
        <f t="shared" si="64"/>
        <v>0</v>
      </c>
      <c r="BP264" s="75">
        <f t="shared" si="65"/>
        <v>0</v>
      </c>
    </row>
    <row r="265" spans="1:68" ht="27" customHeight="1" x14ac:dyDescent="0.25">
      <c r="A265" s="60" t="s">
        <v>451</v>
      </c>
      <c r="B265" s="60" t="s">
        <v>454</v>
      </c>
      <c r="C265" s="34">
        <v>4301011910</v>
      </c>
      <c r="D265" s="769">
        <v>4680115885806</v>
      </c>
      <c r="E265" s="769"/>
      <c r="F265" s="59">
        <v>1.35</v>
      </c>
      <c r="G265" s="35">
        <v>8</v>
      </c>
      <c r="H265" s="59">
        <v>10.8</v>
      </c>
      <c r="I265" s="59">
        <v>11.28</v>
      </c>
      <c r="J265" s="35">
        <v>48</v>
      </c>
      <c r="K265" s="35" t="s">
        <v>107</v>
      </c>
      <c r="L265" s="35" t="s">
        <v>45</v>
      </c>
      <c r="M265" s="36" t="s">
        <v>408</v>
      </c>
      <c r="N265" s="36"/>
      <c r="O265" s="35">
        <v>55</v>
      </c>
      <c r="P265" s="9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5" s="771"/>
      <c r="R265" s="771"/>
      <c r="S265" s="771"/>
      <c r="T265" s="772"/>
      <c r="U265" s="37" t="s">
        <v>45</v>
      </c>
      <c r="V265" s="37" t="s">
        <v>45</v>
      </c>
      <c r="W265" s="38" t="s">
        <v>0</v>
      </c>
      <c r="X265" s="56">
        <v>0</v>
      </c>
      <c r="Y265" s="53">
        <f t="shared" si="61"/>
        <v>0</v>
      </c>
      <c r="Z265" s="39" t="str">
        <f>IFERROR(IF(Y265=0,"",ROUNDUP(Y265/H265,0)*0.02039),"")</f>
        <v/>
      </c>
      <c r="AA265" s="65" t="s">
        <v>45</v>
      </c>
      <c r="AB265" s="66" t="s">
        <v>45</v>
      </c>
      <c r="AC265" s="355" t="s">
        <v>455</v>
      </c>
      <c r="AG265" s="75"/>
      <c r="AJ265" s="79" t="s">
        <v>45</v>
      </c>
      <c r="AK265" s="79">
        <v>0</v>
      </c>
      <c r="BB265" s="356" t="s">
        <v>66</v>
      </c>
      <c r="BM265" s="75">
        <f t="shared" si="62"/>
        <v>0</v>
      </c>
      <c r="BN265" s="75">
        <f t="shared" si="63"/>
        <v>0</v>
      </c>
      <c r="BO265" s="75">
        <f t="shared" si="64"/>
        <v>0</v>
      </c>
      <c r="BP265" s="75">
        <f t="shared" si="65"/>
        <v>0</v>
      </c>
    </row>
    <row r="266" spans="1:68" ht="37.5" customHeight="1" x14ac:dyDescent="0.25">
      <c r="A266" s="60" t="s">
        <v>456</v>
      </c>
      <c r="B266" s="60" t="s">
        <v>457</v>
      </c>
      <c r="C266" s="34">
        <v>4301011853</v>
      </c>
      <c r="D266" s="769">
        <v>4680115885851</v>
      </c>
      <c r="E266" s="769"/>
      <c r="F266" s="59">
        <v>1.35</v>
      </c>
      <c r="G266" s="35">
        <v>8</v>
      </c>
      <c r="H266" s="59">
        <v>10.8</v>
      </c>
      <c r="I266" s="59">
        <v>11.234999999999999</v>
      </c>
      <c r="J266" s="35">
        <v>64</v>
      </c>
      <c r="K266" s="35" t="s">
        <v>107</v>
      </c>
      <c r="L266" s="35" t="s">
        <v>45</v>
      </c>
      <c r="M266" s="36" t="s">
        <v>110</v>
      </c>
      <c r="N266" s="36"/>
      <c r="O266" s="35">
        <v>55</v>
      </c>
      <c r="P266" s="96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6" s="771"/>
      <c r="R266" s="771"/>
      <c r="S266" s="771"/>
      <c r="T266" s="772"/>
      <c r="U266" s="37" t="s">
        <v>45</v>
      </c>
      <c r="V266" s="37" t="s">
        <v>45</v>
      </c>
      <c r="W266" s="38" t="s">
        <v>0</v>
      </c>
      <c r="X266" s="56">
        <v>0</v>
      </c>
      <c r="Y266" s="53">
        <f t="shared" si="61"/>
        <v>0</v>
      </c>
      <c r="Z266" s="39" t="str">
        <f>IFERROR(IF(Y266=0,"",ROUNDUP(Y266/H266,0)*0.01898),"")</f>
        <v/>
      </c>
      <c r="AA266" s="65" t="s">
        <v>45</v>
      </c>
      <c r="AB266" s="66" t="s">
        <v>45</v>
      </c>
      <c r="AC266" s="357" t="s">
        <v>458</v>
      </c>
      <c r="AG266" s="75"/>
      <c r="AJ266" s="79" t="s">
        <v>45</v>
      </c>
      <c r="AK266" s="79">
        <v>0</v>
      </c>
      <c r="BB266" s="358" t="s">
        <v>66</v>
      </c>
      <c r="BM266" s="75">
        <f t="shared" si="62"/>
        <v>0</v>
      </c>
      <c r="BN266" s="75">
        <f t="shared" si="63"/>
        <v>0</v>
      </c>
      <c r="BO266" s="75">
        <f t="shared" si="64"/>
        <v>0</v>
      </c>
      <c r="BP266" s="75">
        <f t="shared" si="65"/>
        <v>0</v>
      </c>
    </row>
    <row r="267" spans="1:68" ht="37.5" customHeight="1" x14ac:dyDescent="0.25">
      <c r="A267" s="60" t="s">
        <v>459</v>
      </c>
      <c r="B267" s="60" t="s">
        <v>460</v>
      </c>
      <c r="C267" s="34">
        <v>4301011313</v>
      </c>
      <c r="D267" s="769">
        <v>4607091385984</v>
      </c>
      <c r="E267" s="769"/>
      <c r="F267" s="59">
        <v>1.35</v>
      </c>
      <c r="G267" s="35">
        <v>8</v>
      </c>
      <c r="H267" s="59">
        <v>10.8</v>
      </c>
      <c r="I267" s="59">
        <v>11.234999999999999</v>
      </c>
      <c r="J267" s="35">
        <v>64</v>
      </c>
      <c r="K267" s="35" t="s">
        <v>107</v>
      </c>
      <c r="L267" s="35" t="s">
        <v>45</v>
      </c>
      <c r="M267" s="36" t="s">
        <v>110</v>
      </c>
      <c r="N267" s="36"/>
      <c r="O267" s="35">
        <v>55</v>
      </c>
      <c r="P267" s="968" t="str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Q267" s="771"/>
      <c r="R267" s="771"/>
      <c r="S267" s="771"/>
      <c r="T267" s="772"/>
      <c r="U267" s="37" t="s">
        <v>45</v>
      </c>
      <c r="V267" s="37" t="s">
        <v>45</v>
      </c>
      <c r="W267" s="38" t="s">
        <v>0</v>
      </c>
      <c r="X267" s="56">
        <v>0</v>
      </c>
      <c r="Y267" s="53">
        <f t="shared" si="61"/>
        <v>0</v>
      </c>
      <c r="Z267" s="39" t="str">
        <f>IFERROR(IF(Y267=0,"",ROUNDUP(Y267/H267,0)*0.01898),"")</f>
        <v/>
      </c>
      <c r="AA267" s="65" t="s">
        <v>45</v>
      </c>
      <c r="AB267" s="66" t="s">
        <v>45</v>
      </c>
      <c r="AC267" s="359" t="s">
        <v>461</v>
      </c>
      <c r="AG267" s="75"/>
      <c r="AJ267" s="79" t="s">
        <v>45</v>
      </c>
      <c r="AK267" s="79">
        <v>0</v>
      </c>
      <c r="BB267" s="360" t="s">
        <v>66</v>
      </c>
      <c r="BM267" s="75">
        <f t="shared" si="62"/>
        <v>0</v>
      </c>
      <c r="BN267" s="75">
        <f t="shared" si="63"/>
        <v>0</v>
      </c>
      <c r="BO267" s="75">
        <f t="shared" si="64"/>
        <v>0</v>
      </c>
      <c r="BP267" s="75">
        <f t="shared" si="65"/>
        <v>0</v>
      </c>
    </row>
    <row r="268" spans="1:68" ht="27" customHeight="1" x14ac:dyDescent="0.25">
      <c r="A268" s="60" t="s">
        <v>462</v>
      </c>
      <c r="B268" s="60" t="s">
        <v>463</v>
      </c>
      <c r="C268" s="34">
        <v>4301011852</v>
      </c>
      <c r="D268" s="769">
        <v>4680115885844</v>
      </c>
      <c r="E268" s="769"/>
      <c r="F268" s="59">
        <v>0.4</v>
      </c>
      <c r="G268" s="35">
        <v>10</v>
      </c>
      <c r="H268" s="59">
        <v>4</v>
      </c>
      <c r="I268" s="59">
        <v>4.21</v>
      </c>
      <c r="J268" s="35">
        <v>132</v>
      </c>
      <c r="K268" s="35" t="s">
        <v>116</v>
      </c>
      <c r="L268" s="35" t="s">
        <v>45</v>
      </c>
      <c r="M268" s="36" t="s">
        <v>110</v>
      </c>
      <c r="N268" s="36"/>
      <c r="O268" s="35">
        <v>55</v>
      </c>
      <c r="P268" s="96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8" s="771"/>
      <c r="R268" s="771"/>
      <c r="S268" s="771"/>
      <c r="T268" s="772"/>
      <c r="U268" s="37" t="s">
        <v>45</v>
      </c>
      <c r="V268" s="37" t="s">
        <v>45</v>
      </c>
      <c r="W268" s="38" t="s">
        <v>0</v>
      </c>
      <c r="X268" s="56">
        <v>0</v>
      </c>
      <c r="Y268" s="53">
        <f t="shared" si="61"/>
        <v>0</v>
      </c>
      <c r="Z268" s="39" t="str">
        <f>IFERROR(IF(Y268=0,"",ROUNDUP(Y268/H268,0)*0.00902),"")</f>
        <v/>
      </c>
      <c r="AA268" s="65" t="s">
        <v>45</v>
      </c>
      <c r="AB268" s="66" t="s">
        <v>45</v>
      </c>
      <c r="AC268" s="361" t="s">
        <v>464</v>
      </c>
      <c r="AG268" s="75"/>
      <c r="AJ268" s="79" t="s">
        <v>45</v>
      </c>
      <c r="AK268" s="79">
        <v>0</v>
      </c>
      <c r="BB268" s="362" t="s">
        <v>66</v>
      </c>
      <c r="BM268" s="75">
        <f t="shared" si="62"/>
        <v>0</v>
      </c>
      <c r="BN268" s="75">
        <f t="shared" si="63"/>
        <v>0</v>
      </c>
      <c r="BO268" s="75">
        <f t="shared" si="64"/>
        <v>0</v>
      </c>
      <c r="BP268" s="75">
        <f t="shared" si="65"/>
        <v>0</v>
      </c>
    </row>
    <row r="269" spans="1:68" ht="27" customHeight="1" x14ac:dyDescent="0.25">
      <c r="A269" s="60" t="s">
        <v>465</v>
      </c>
      <c r="B269" s="60" t="s">
        <v>466</v>
      </c>
      <c r="C269" s="34">
        <v>4301011319</v>
      </c>
      <c r="D269" s="769">
        <v>4607091387469</v>
      </c>
      <c r="E269" s="769"/>
      <c r="F269" s="59">
        <v>0.5</v>
      </c>
      <c r="G269" s="35">
        <v>10</v>
      </c>
      <c r="H269" s="59">
        <v>5</v>
      </c>
      <c r="I269" s="59">
        <v>5.21</v>
      </c>
      <c r="J269" s="35">
        <v>132</v>
      </c>
      <c r="K269" s="35" t="s">
        <v>116</v>
      </c>
      <c r="L269" s="35" t="s">
        <v>45</v>
      </c>
      <c r="M269" s="36" t="s">
        <v>110</v>
      </c>
      <c r="N269" s="36"/>
      <c r="O269" s="35">
        <v>55</v>
      </c>
      <c r="P269" s="970" t="str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Q269" s="771"/>
      <c r="R269" s="771"/>
      <c r="S269" s="771"/>
      <c r="T269" s="772"/>
      <c r="U269" s="37" t="s">
        <v>45</v>
      </c>
      <c r="V269" s="37" t="s">
        <v>45</v>
      </c>
      <c r="W269" s="38" t="s">
        <v>0</v>
      </c>
      <c r="X269" s="56">
        <v>0</v>
      </c>
      <c r="Y269" s="53">
        <f t="shared" si="61"/>
        <v>0</v>
      </c>
      <c r="Z269" s="39" t="str">
        <f>IFERROR(IF(Y269=0,"",ROUNDUP(Y269/H269,0)*0.00902),"")</f>
        <v/>
      </c>
      <c r="AA269" s="65" t="s">
        <v>45</v>
      </c>
      <c r="AB269" s="66" t="s">
        <v>45</v>
      </c>
      <c r="AC269" s="363" t="s">
        <v>467</v>
      </c>
      <c r="AG269" s="75"/>
      <c r="AJ269" s="79" t="s">
        <v>45</v>
      </c>
      <c r="AK269" s="79">
        <v>0</v>
      </c>
      <c r="BB269" s="364" t="s">
        <v>66</v>
      </c>
      <c r="BM269" s="75">
        <f t="shared" si="62"/>
        <v>0</v>
      </c>
      <c r="BN269" s="75">
        <f t="shared" si="63"/>
        <v>0</v>
      </c>
      <c r="BO269" s="75">
        <f t="shared" si="64"/>
        <v>0</v>
      </c>
      <c r="BP269" s="75">
        <f t="shared" si="65"/>
        <v>0</v>
      </c>
    </row>
    <row r="270" spans="1:68" ht="27" customHeight="1" x14ac:dyDescent="0.25">
      <c r="A270" s="60" t="s">
        <v>468</v>
      </c>
      <c r="B270" s="60" t="s">
        <v>469</v>
      </c>
      <c r="C270" s="34">
        <v>4301011851</v>
      </c>
      <c r="D270" s="769">
        <v>4680115885820</v>
      </c>
      <c r="E270" s="769"/>
      <c r="F270" s="59">
        <v>0.4</v>
      </c>
      <c r="G270" s="35">
        <v>10</v>
      </c>
      <c r="H270" s="59">
        <v>4</v>
      </c>
      <c r="I270" s="59">
        <v>4.21</v>
      </c>
      <c r="J270" s="35">
        <v>132</v>
      </c>
      <c r="K270" s="35" t="s">
        <v>116</v>
      </c>
      <c r="L270" s="35" t="s">
        <v>45</v>
      </c>
      <c r="M270" s="36" t="s">
        <v>110</v>
      </c>
      <c r="N270" s="36"/>
      <c r="O270" s="35">
        <v>55</v>
      </c>
      <c r="P270" s="971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70" s="771"/>
      <c r="R270" s="771"/>
      <c r="S270" s="771"/>
      <c r="T270" s="772"/>
      <c r="U270" s="37" t="s">
        <v>45</v>
      </c>
      <c r="V270" s="37" t="s">
        <v>45</v>
      </c>
      <c r="W270" s="38" t="s">
        <v>0</v>
      </c>
      <c r="X270" s="56">
        <v>0</v>
      </c>
      <c r="Y270" s="53">
        <f t="shared" si="61"/>
        <v>0</v>
      </c>
      <c r="Z270" s="39" t="str">
        <f>IFERROR(IF(Y270=0,"",ROUNDUP(Y270/H270,0)*0.00902),"")</f>
        <v/>
      </c>
      <c r="AA270" s="65" t="s">
        <v>45</v>
      </c>
      <c r="AB270" s="66" t="s">
        <v>45</v>
      </c>
      <c r="AC270" s="365" t="s">
        <v>470</v>
      </c>
      <c r="AG270" s="75"/>
      <c r="AJ270" s="79" t="s">
        <v>45</v>
      </c>
      <c r="AK270" s="79">
        <v>0</v>
      </c>
      <c r="BB270" s="366" t="s">
        <v>66</v>
      </c>
      <c r="BM270" s="75">
        <f t="shared" si="62"/>
        <v>0</v>
      </c>
      <c r="BN270" s="75">
        <f t="shared" si="63"/>
        <v>0</v>
      </c>
      <c r="BO270" s="75">
        <f t="shared" si="64"/>
        <v>0</v>
      </c>
      <c r="BP270" s="75">
        <f t="shared" si="65"/>
        <v>0</v>
      </c>
    </row>
    <row r="271" spans="1:68" ht="27" customHeight="1" x14ac:dyDescent="0.25">
      <c r="A271" s="60" t="s">
        <v>471</v>
      </c>
      <c r="B271" s="60" t="s">
        <v>472</v>
      </c>
      <c r="C271" s="34">
        <v>4301011316</v>
      </c>
      <c r="D271" s="769">
        <v>4607091387438</v>
      </c>
      <c r="E271" s="769"/>
      <c r="F271" s="59">
        <v>0.5</v>
      </c>
      <c r="G271" s="35">
        <v>10</v>
      </c>
      <c r="H271" s="59">
        <v>5</v>
      </c>
      <c r="I271" s="59">
        <v>5.21</v>
      </c>
      <c r="J271" s="35">
        <v>132</v>
      </c>
      <c r="K271" s="35" t="s">
        <v>116</v>
      </c>
      <c r="L271" s="35" t="s">
        <v>45</v>
      </c>
      <c r="M271" s="36" t="s">
        <v>110</v>
      </c>
      <c r="N271" s="36"/>
      <c r="O271" s="35">
        <v>55</v>
      </c>
      <c r="P271" s="972" t="str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Q271" s="771"/>
      <c r="R271" s="771"/>
      <c r="S271" s="771"/>
      <c r="T271" s="772"/>
      <c r="U271" s="37" t="s">
        <v>45</v>
      </c>
      <c r="V271" s="37" t="s">
        <v>45</v>
      </c>
      <c r="W271" s="38" t="s">
        <v>0</v>
      </c>
      <c r="X271" s="56">
        <v>0</v>
      </c>
      <c r="Y271" s="53">
        <f t="shared" si="61"/>
        <v>0</v>
      </c>
      <c r="Z271" s="39" t="str">
        <f>IFERROR(IF(Y271=0,"",ROUNDUP(Y271/H271,0)*0.00902),"")</f>
        <v/>
      </c>
      <c r="AA271" s="65" t="s">
        <v>45</v>
      </c>
      <c r="AB271" s="66" t="s">
        <v>45</v>
      </c>
      <c r="AC271" s="367" t="s">
        <v>473</v>
      </c>
      <c r="AG271" s="75"/>
      <c r="AJ271" s="79" t="s">
        <v>45</v>
      </c>
      <c r="AK271" s="79">
        <v>0</v>
      </c>
      <c r="BB271" s="368" t="s">
        <v>66</v>
      </c>
      <c r="BM271" s="75">
        <f t="shared" si="62"/>
        <v>0</v>
      </c>
      <c r="BN271" s="75">
        <f t="shared" si="63"/>
        <v>0</v>
      </c>
      <c r="BO271" s="75">
        <f t="shared" si="64"/>
        <v>0</v>
      </c>
      <c r="BP271" s="75">
        <f t="shared" si="65"/>
        <v>0</v>
      </c>
    </row>
    <row r="272" spans="1:68" x14ac:dyDescent="0.2">
      <c r="A272" s="759"/>
      <c r="B272" s="759"/>
      <c r="C272" s="759"/>
      <c r="D272" s="759"/>
      <c r="E272" s="759"/>
      <c r="F272" s="759"/>
      <c r="G272" s="759"/>
      <c r="H272" s="759"/>
      <c r="I272" s="759"/>
      <c r="J272" s="759"/>
      <c r="K272" s="759"/>
      <c r="L272" s="759"/>
      <c r="M272" s="759"/>
      <c r="N272" s="759"/>
      <c r="O272" s="767"/>
      <c r="P272" s="764" t="s">
        <v>40</v>
      </c>
      <c r="Q272" s="765"/>
      <c r="R272" s="765"/>
      <c r="S272" s="765"/>
      <c r="T272" s="765"/>
      <c r="U272" s="765"/>
      <c r="V272" s="766"/>
      <c r="W272" s="40" t="s">
        <v>39</v>
      </c>
      <c r="X272" s="41">
        <f>IFERROR(X263/H263,"0")+IFERROR(X264/H264,"0")+IFERROR(X265/H265,"0")+IFERROR(X266/H266,"0")+IFERROR(X267/H267,"0")+IFERROR(X268/H268,"0")+IFERROR(X269/H269,"0")+IFERROR(X270/H270,"0")+IFERROR(X271/H271,"0")</f>
        <v>0</v>
      </c>
      <c r="Y272" s="41">
        <f>IFERROR(Y263/H263,"0")+IFERROR(Y264/H264,"0")+IFERROR(Y265/H265,"0")+IFERROR(Y266/H266,"0")+IFERROR(Y267/H267,"0")+IFERROR(Y268/H268,"0")+IFERROR(Y269/H269,"0")+IFERROR(Y270/H270,"0")+IFERROR(Y271/H271,"0")</f>
        <v>0</v>
      </c>
      <c r="Z272" s="41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>0</v>
      </c>
      <c r="AA272" s="64"/>
      <c r="AB272" s="64"/>
      <c r="AC272" s="64"/>
    </row>
    <row r="273" spans="1:68" x14ac:dyDescent="0.2">
      <c r="A273" s="759"/>
      <c r="B273" s="759"/>
      <c r="C273" s="759"/>
      <c r="D273" s="759"/>
      <c r="E273" s="759"/>
      <c r="F273" s="759"/>
      <c r="G273" s="759"/>
      <c r="H273" s="759"/>
      <c r="I273" s="759"/>
      <c r="J273" s="759"/>
      <c r="K273" s="759"/>
      <c r="L273" s="759"/>
      <c r="M273" s="759"/>
      <c r="N273" s="759"/>
      <c r="O273" s="767"/>
      <c r="P273" s="764" t="s">
        <v>40</v>
      </c>
      <c r="Q273" s="765"/>
      <c r="R273" s="765"/>
      <c r="S273" s="765"/>
      <c r="T273" s="765"/>
      <c r="U273" s="765"/>
      <c r="V273" s="766"/>
      <c r="W273" s="40" t="s">
        <v>0</v>
      </c>
      <c r="X273" s="41">
        <f>IFERROR(SUM(X263:X271),"0")</f>
        <v>0</v>
      </c>
      <c r="Y273" s="41">
        <f>IFERROR(SUM(Y263:Y271),"0")</f>
        <v>0</v>
      </c>
      <c r="Z273" s="40"/>
      <c r="AA273" s="64"/>
      <c r="AB273" s="64"/>
      <c r="AC273" s="64"/>
    </row>
    <row r="274" spans="1:68" ht="16.5" customHeight="1" x14ac:dyDescent="0.25">
      <c r="A274" s="776" t="s">
        <v>474</v>
      </c>
      <c r="B274" s="776"/>
      <c r="C274" s="776"/>
      <c r="D274" s="776"/>
      <c r="E274" s="776"/>
      <c r="F274" s="776"/>
      <c r="G274" s="776"/>
      <c r="H274" s="776"/>
      <c r="I274" s="776"/>
      <c r="J274" s="776"/>
      <c r="K274" s="776"/>
      <c r="L274" s="776"/>
      <c r="M274" s="776"/>
      <c r="N274" s="776"/>
      <c r="O274" s="776"/>
      <c r="P274" s="776"/>
      <c r="Q274" s="776"/>
      <c r="R274" s="776"/>
      <c r="S274" s="776"/>
      <c r="T274" s="776"/>
      <c r="U274" s="776"/>
      <c r="V274" s="776"/>
      <c r="W274" s="776"/>
      <c r="X274" s="776"/>
      <c r="Y274" s="776"/>
      <c r="Z274" s="776"/>
      <c r="AA274" s="62"/>
      <c r="AB274" s="62"/>
      <c r="AC274" s="62"/>
    </row>
    <row r="275" spans="1:68" ht="14.25" customHeight="1" x14ac:dyDescent="0.25">
      <c r="A275" s="768" t="s">
        <v>101</v>
      </c>
      <c r="B275" s="768"/>
      <c r="C275" s="768"/>
      <c r="D275" s="768"/>
      <c r="E275" s="768"/>
      <c r="F275" s="768"/>
      <c r="G275" s="768"/>
      <c r="H275" s="768"/>
      <c r="I275" s="768"/>
      <c r="J275" s="768"/>
      <c r="K275" s="768"/>
      <c r="L275" s="768"/>
      <c r="M275" s="768"/>
      <c r="N275" s="768"/>
      <c r="O275" s="768"/>
      <c r="P275" s="768"/>
      <c r="Q275" s="768"/>
      <c r="R275" s="768"/>
      <c r="S275" s="768"/>
      <c r="T275" s="768"/>
      <c r="U275" s="768"/>
      <c r="V275" s="768"/>
      <c r="W275" s="768"/>
      <c r="X275" s="768"/>
      <c r="Y275" s="768"/>
      <c r="Z275" s="768"/>
      <c r="AA275" s="63"/>
      <c r="AB275" s="63"/>
      <c r="AC275" s="63"/>
    </row>
    <row r="276" spans="1:68" ht="27" customHeight="1" x14ac:dyDescent="0.25">
      <c r="A276" s="60" t="s">
        <v>475</v>
      </c>
      <c r="B276" s="60" t="s">
        <v>476</v>
      </c>
      <c r="C276" s="34">
        <v>4301011876</v>
      </c>
      <c r="D276" s="769">
        <v>4680115885707</v>
      </c>
      <c r="E276" s="769"/>
      <c r="F276" s="59">
        <v>0.9</v>
      </c>
      <c r="G276" s="35">
        <v>10</v>
      </c>
      <c r="H276" s="59">
        <v>9</v>
      </c>
      <c r="I276" s="59">
        <v>9.4350000000000005</v>
      </c>
      <c r="J276" s="35">
        <v>64</v>
      </c>
      <c r="K276" s="35" t="s">
        <v>107</v>
      </c>
      <c r="L276" s="35" t="s">
        <v>45</v>
      </c>
      <c r="M276" s="36" t="s">
        <v>110</v>
      </c>
      <c r="N276" s="36"/>
      <c r="O276" s="35">
        <v>31</v>
      </c>
      <c r="P276" s="963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76" s="771"/>
      <c r="R276" s="771"/>
      <c r="S276" s="771"/>
      <c r="T276" s="772"/>
      <c r="U276" s="37" t="s">
        <v>45</v>
      </c>
      <c r="V276" s="37" t="s">
        <v>45</v>
      </c>
      <c r="W276" s="38" t="s">
        <v>0</v>
      </c>
      <c r="X276" s="56">
        <v>0</v>
      </c>
      <c r="Y276" s="53">
        <f>IFERROR(IF(X276="",0,CEILING((X276/$H276),1)*$H276),"")</f>
        <v>0</v>
      </c>
      <c r="Z276" s="39" t="str">
        <f>IFERROR(IF(Y276=0,"",ROUNDUP(Y276/H276,0)*0.01898),"")</f>
        <v/>
      </c>
      <c r="AA276" s="65" t="s">
        <v>45</v>
      </c>
      <c r="AB276" s="66" t="s">
        <v>45</v>
      </c>
      <c r="AC276" s="369" t="s">
        <v>414</v>
      </c>
      <c r="AG276" s="75"/>
      <c r="AJ276" s="79" t="s">
        <v>45</v>
      </c>
      <c r="AK276" s="79">
        <v>0</v>
      </c>
      <c r="BB276" s="370" t="s">
        <v>66</v>
      </c>
      <c r="BM276" s="75">
        <f>IFERROR(X276*I276/H276,"0")</f>
        <v>0</v>
      </c>
      <c r="BN276" s="75">
        <f>IFERROR(Y276*I276/H276,"0")</f>
        <v>0</v>
      </c>
      <c r="BO276" s="75">
        <f>IFERROR(1/J276*(X276/H276),"0")</f>
        <v>0</v>
      </c>
      <c r="BP276" s="75">
        <f>IFERROR(1/J276*(Y276/H276),"0")</f>
        <v>0</v>
      </c>
    </row>
    <row r="277" spans="1:68" x14ac:dyDescent="0.2">
      <c r="A277" s="759"/>
      <c r="B277" s="759"/>
      <c r="C277" s="759"/>
      <c r="D277" s="759"/>
      <c r="E277" s="759"/>
      <c r="F277" s="759"/>
      <c r="G277" s="759"/>
      <c r="H277" s="759"/>
      <c r="I277" s="759"/>
      <c r="J277" s="759"/>
      <c r="K277" s="759"/>
      <c r="L277" s="759"/>
      <c r="M277" s="759"/>
      <c r="N277" s="759"/>
      <c r="O277" s="767"/>
      <c r="P277" s="764" t="s">
        <v>40</v>
      </c>
      <c r="Q277" s="765"/>
      <c r="R277" s="765"/>
      <c r="S277" s="765"/>
      <c r="T277" s="765"/>
      <c r="U277" s="765"/>
      <c r="V277" s="766"/>
      <c r="W277" s="40" t="s">
        <v>39</v>
      </c>
      <c r="X277" s="41">
        <f>IFERROR(X276/H276,"0")</f>
        <v>0</v>
      </c>
      <c r="Y277" s="41">
        <f>IFERROR(Y276/H276,"0")</f>
        <v>0</v>
      </c>
      <c r="Z277" s="41">
        <f>IFERROR(IF(Z276="",0,Z276),"0")</f>
        <v>0</v>
      </c>
      <c r="AA277" s="64"/>
      <c r="AB277" s="64"/>
      <c r="AC277" s="64"/>
    </row>
    <row r="278" spans="1:68" x14ac:dyDescent="0.2">
      <c r="A278" s="759"/>
      <c r="B278" s="759"/>
      <c r="C278" s="759"/>
      <c r="D278" s="759"/>
      <c r="E278" s="759"/>
      <c r="F278" s="759"/>
      <c r="G278" s="759"/>
      <c r="H278" s="759"/>
      <c r="I278" s="759"/>
      <c r="J278" s="759"/>
      <c r="K278" s="759"/>
      <c r="L278" s="759"/>
      <c r="M278" s="759"/>
      <c r="N278" s="759"/>
      <c r="O278" s="767"/>
      <c r="P278" s="764" t="s">
        <v>40</v>
      </c>
      <c r="Q278" s="765"/>
      <c r="R278" s="765"/>
      <c r="S278" s="765"/>
      <c r="T278" s="765"/>
      <c r="U278" s="765"/>
      <c r="V278" s="766"/>
      <c r="W278" s="40" t="s">
        <v>0</v>
      </c>
      <c r="X278" s="41">
        <f>IFERROR(SUM(X276:X276),"0")</f>
        <v>0</v>
      </c>
      <c r="Y278" s="41">
        <f>IFERROR(SUM(Y276:Y276),"0")</f>
        <v>0</v>
      </c>
      <c r="Z278" s="40"/>
      <c r="AA278" s="64"/>
      <c r="AB278" s="64"/>
      <c r="AC278" s="64"/>
    </row>
    <row r="279" spans="1:68" ht="16.5" customHeight="1" x14ac:dyDescent="0.25">
      <c r="A279" s="776" t="s">
        <v>477</v>
      </c>
      <c r="B279" s="776"/>
      <c r="C279" s="776"/>
      <c r="D279" s="776"/>
      <c r="E279" s="776"/>
      <c r="F279" s="776"/>
      <c r="G279" s="776"/>
      <c r="H279" s="776"/>
      <c r="I279" s="776"/>
      <c r="J279" s="776"/>
      <c r="K279" s="776"/>
      <c r="L279" s="776"/>
      <c r="M279" s="776"/>
      <c r="N279" s="776"/>
      <c r="O279" s="776"/>
      <c r="P279" s="776"/>
      <c r="Q279" s="776"/>
      <c r="R279" s="776"/>
      <c r="S279" s="776"/>
      <c r="T279" s="776"/>
      <c r="U279" s="776"/>
      <c r="V279" s="776"/>
      <c r="W279" s="776"/>
      <c r="X279" s="776"/>
      <c r="Y279" s="776"/>
      <c r="Z279" s="776"/>
      <c r="AA279" s="62"/>
      <c r="AB279" s="62"/>
      <c r="AC279" s="62"/>
    </row>
    <row r="280" spans="1:68" ht="14.25" customHeight="1" x14ac:dyDescent="0.25">
      <c r="A280" s="768" t="s">
        <v>101</v>
      </c>
      <c r="B280" s="768"/>
      <c r="C280" s="768"/>
      <c r="D280" s="768"/>
      <c r="E280" s="768"/>
      <c r="F280" s="768"/>
      <c r="G280" s="768"/>
      <c r="H280" s="768"/>
      <c r="I280" s="768"/>
      <c r="J280" s="768"/>
      <c r="K280" s="768"/>
      <c r="L280" s="768"/>
      <c r="M280" s="768"/>
      <c r="N280" s="768"/>
      <c r="O280" s="768"/>
      <c r="P280" s="768"/>
      <c r="Q280" s="768"/>
      <c r="R280" s="768"/>
      <c r="S280" s="768"/>
      <c r="T280" s="768"/>
      <c r="U280" s="768"/>
      <c r="V280" s="768"/>
      <c r="W280" s="768"/>
      <c r="X280" s="768"/>
      <c r="Y280" s="768"/>
      <c r="Z280" s="768"/>
      <c r="AA280" s="63"/>
      <c r="AB280" s="63"/>
      <c r="AC280" s="63"/>
    </row>
    <row r="281" spans="1:68" ht="27" customHeight="1" x14ac:dyDescent="0.25">
      <c r="A281" s="60" t="s">
        <v>478</v>
      </c>
      <c r="B281" s="60" t="s">
        <v>479</v>
      </c>
      <c r="C281" s="34">
        <v>4301011223</v>
      </c>
      <c r="D281" s="769">
        <v>4607091383423</v>
      </c>
      <c r="E281" s="769"/>
      <c r="F281" s="59">
        <v>1.35</v>
      </c>
      <c r="G281" s="35">
        <v>8</v>
      </c>
      <c r="H281" s="59">
        <v>10.8</v>
      </c>
      <c r="I281" s="59">
        <v>11.331</v>
      </c>
      <c r="J281" s="35">
        <v>64</v>
      </c>
      <c r="K281" s="35" t="s">
        <v>107</v>
      </c>
      <c r="L281" s="35" t="s">
        <v>45</v>
      </c>
      <c r="M281" s="36" t="s">
        <v>106</v>
      </c>
      <c r="N281" s="36"/>
      <c r="O281" s="35">
        <v>35</v>
      </c>
      <c r="P281" s="9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81" s="771"/>
      <c r="R281" s="771"/>
      <c r="S281" s="771"/>
      <c r="T281" s="772"/>
      <c r="U281" s="37" t="s">
        <v>45</v>
      </c>
      <c r="V281" s="37" t="s">
        <v>45</v>
      </c>
      <c r="W281" s="38" t="s">
        <v>0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IFERROR(IF(Y281=0,"",ROUNDUP(Y281/H281,0)*0.01898),"")</f>
        <v/>
      </c>
      <c r="AA281" s="65" t="s">
        <v>45</v>
      </c>
      <c r="AB281" s="66" t="s">
        <v>45</v>
      </c>
      <c r="AC281" s="371" t="s">
        <v>109</v>
      </c>
      <c r="AG281" s="75"/>
      <c r="AJ281" s="79" t="s">
        <v>45</v>
      </c>
      <c r="AK281" s="79">
        <v>0</v>
      </c>
      <c r="BB281" s="372" t="s">
        <v>66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t="37.5" customHeight="1" x14ac:dyDescent="0.25">
      <c r="A282" s="60" t="s">
        <v>480</v>
      </c>
      <c r="B282" s="60" t="s">
        <v>481</v>
      </c>
      <c r="C282" s="34">
        <v>4301012099</v>
      </c>
      <c r="D282" s="769">
        <v>4680115885691</v>
      </c>
      <c r="E282" s="769"/>
      <c r="F282" s="59">
        <v>1.35</v>
      </c>
      <c r="G282" s="35">
        <v>8</v>
      </c>
      <c r="H282" s="59">
        <v>10.8</v>
      </c>
      <c r="I282" s="59">
        <v>11.234999999999999</v>
      </c>
      <c r="J282" s="35">
        <v>64</v>
      </c>
      <c r="K282" s="35" t="s">
        <v>107</v>
      </c>
      <c r="L282" s="35" t="s">
        <v>45</v>
      </c>
      <c r="M282" s="36" t="s">
        <v>106</v>
      </c>
      <c r="N282" s="36"/>
      <c r="O282" s="35">
        <v>30</v>
      </c>
      <c r="P282" s="965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82" s="771"/>
      <c r="R282" s="771"/>
      <c r="S282" s="771"/>
      <c r="T282" s="772"/>
      <c r="U282" s="37" t="s">
        <v>45</v>
      </c>
      <c r="V282" s="37" t="s">
        <v>45</v>
      </c>
      <c r="W282" s="38" t="s">
        <v>0</v>
      </c>
      <c r="X282" s="56">
        <v>0</v>
      </c>
      <c r="Y282" s="53">
        <f>IFERROR(IF(X282="",0,CEILING((X282/$H282),1)*$H282),"")</f>
        <v>0</v>
      </c>
      <c r="Z282" s="39" t="str">
        <f>IFERROR(IF(Y282=0,"",ROUNDUP(Y282/H282,0)*0.01898),"")</f>
        <v/>
      </c>
      <c r="AA282" s="65" t="s">
        <v>45</v>
      </c>
      <c r="AB282" s="66" t="s">
        <v>45</v>
      </c>
      <c r="AC282" s="373" t="s">
        <v>482</v>
      </c>
      <c r="AG282" s="75"/>
      <c r="AJ282" s="79" t="s">
        <v>45</v>
      </c>
      <c r="AK282" s="79">
        <v>0</v>
      </c>
      <c r="BB282" s="374" t="s">
        <v>66</v>
      </c>
      <c r="BM282" s="75">
        <f>IFERROR(X282*I282/H282,"0")</f>
        <v>0</v>
      </c>
      <c r="BN282" s="75">
        <f>IFERROR(Y282*I282/H282,"0")</f>
        <v>0</v>
      </c>
      <c r="BO282" s="75">
        <f>IFERROR(1/J282*(X282/H282),"0")</f>
        <v>0</v>
      </c>
      <c r="BP282" s="75">
        <f>IFERROR(1/J282*(Y282/H282),"0")</f>
        <v>0</v>
      </c>
    </row>
    <row r="283" spans="1:68" ht="27" customHeight="1" x14ac:dyDescent="0.25">
      <c r="A283" s="60" t="s">
        <v>483</v>
      </c>
      <c r="B283" s="60" t="s">
        <v>484</v>
      </c>
      <c r="C283" s="34">
        <v>4301012098</v>
      </c>
      <c r="D283" s="769">
        <v>4680115885660</v>
      </c>
      <c r="E283" s="769"/>
      <c r="F283" s="59">
        <v>1.35</v>
      </c>
      <c r="G283" s="35">
        <v>8</v>
      </c>
      <c r="H283" s="59">
        <v>10.8</v>
      </c>
      <c r="I283" s="59">
        <v>11.234999999999999</v>
      </c>
      <c r="J283" s="35">
        <v>64</v>
      </c>
      <c r="K283" s="35" t="s">
        <v>107</v>
      </c>
      <c r="L283" s="35" t="s">
        <v>45</v>
      </c>
      <c r="M283" s="36" t="s">
        <v>106</v>
      </c>
      <c r="N283" s="36"/>
      <c r="O283" s="35">
        <v>35</v>
      </c>
      <c r="P283" s="96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83" s="771"/>
      <c r="R283" s="771"/>
      <c r="S283" s="771"/>
      <c r="T283" s="772"/>
      <c r="U283" s="37" t="s">
        <v>45</v>
      </c>
      <c r="V283" s="37" t="s">
        <v>45</v>
      </c>
      <c r="W283" s="38" t="s">
        <v>0</v>
      </c>
      <c r="X283" s="56">
        <v>0</v>
      </c>
      <c r="Y283" s="53">
        <f>IFERROR(IF(X283="",0,CEILING((X283/$H283),1)*$H283),"")</f>
        <v>0</v>
      </c>
      <c r="Z283" s="39" t="str">
        <f>IFERROR(IF(Y283=0,"",ROUNDUP(Y283/H283,0)*0.01898),"")</f>
        <v/>
      </c>
      <c r="AA283" s="65" t="s">
        <v>45</v>
      </c>
      <c r="AB283" s="66" t="s">
        <v>45</v>
      </c>
      <c r="AC283" s="375" t="s">
        <v>485</v>
      </c>
      <c r="AG283" s="75"/>
      <c r="AJ283" s="79" t="s">
        <v>45</v>
      </c>
      <c r="AK283" s="79">
        <v>0</v>
      </c>
      <c r="BB283" s="376" t="s">
        <v>66</v>
      </c>
      <c r="BM283" s="75">
        <f>IFERROR(X283*I283/H283,"0")</f>
        <v>0</v>
      </c>
      <c r="BN283" s="75">
        <f>IFERROR(Y283*I283/H283,"0")</f>
        <v>0</v>
      </c>
      <c r="BO283" s="75">
        <f>IFERROR(1/J283*(X283/H283),"0")</f>
        <v>0</v>
      </c>
      <c r="BP283" s="75">
        <f>IFERROR(1/J283*(Y283/H283),"0")</f>
        <v>0</v>
      </c>
    </row>
    <row r="284" spans="1:68" x14ac:dyDescent="0.2">
      <c r="A284" s="759"/>
      <c r="B284" s="759"/>
      <c r="C284" s="759"/>
      <c r="D284" s="759"/>
      <c r="E284" s="759"/>
      <c r="F284" s="759"/>
      <c r="G284" s="759"/>
      <c r="H284" s="759"/>
      <c r="I284" s="759"/>
      <c r="J284" s="759"/>
      <c r="K284" s="759"/>
      <c r="L284" s="759"/>
      <c r="M284" s="759"/>
      <c r="N284" s="759"/>
      <c r="O284" s="767"/>
      <c r="P284" s="764" t="s">
        <v>40</v>
      </c>
      <c r="Q284" s="765"/>
      <c r="R284" s="765"/>
      <c r="S284" s="765"/>
      <c r="T284" s="765"/>
      <c r="U284" s="765"/>
      <c r="V284" s="766"/>
      <c r="W284" s="40" t="s">
        <v>39</v>
      </c>
      <c r="X284" s="41">
        <f>IFERROR(X281/H281,"0")+IFERROR(X282/H282,"0")+IFERROR(X283/H283,"0")</f>
        <v>0</v>
      </c>
      <c r="Y284" s="41">
        <f>IFERROR(Y281/H281,"0")+IFERROR(Y282/H282,"0")+IFERROR(Y283/H283,"0")</f>
        <v>0</v>
      </c>
      <c r="Z284" s="41">
        <f>IFERROR(IF(Z281="",0,Z281),"0")+IFERROR(IF(Z282="",0,Z282),"0")+IFERROR(IF(Z283="",0,Z283),"0")</f>
        <v>0</v>
      </c>
      <c r="AA284" s="64"/>
      <c r="AB284" s="64"/>
      <c r="AC284" s="64"/>
    </row>
    <row r="285" spans="1:68" x14ac:dyDescent="0.2">
      <c r="A285" s="759"/>
      <c r="B285" s="759"/>
      <c r="C285" s="759"/>
      <c r="D285" s="759"/>
      <c r="E285" s="759"/>
      <c r="F285" s="759"/>
      <c r="G285" s="759"/>
      <c r="H285" s="759"/>
      <c r="I285" s="759"/>
      <c r="J285" s="759"/>
      <c r="K285" s="759"/>
      <c r="L285" s="759"/>
      <c r="M285" s="759"/>
      <c r="N285" s="759"/>
      <c r="O285" s="767"/>
      <c r="P285" s="764" t="s">
        <v>40</v>
      </c>
      <c r="Q285" s="765"/>
      <c r="R285" s="765"/>
      <c r="S285" s="765"/>
      <c r="T285" s="765"/>
      <c r="U285" s="765"/>
      <c r="V285" s="766"/>
      <c r="W285" s="40" t="s">
        <v>0</v>
      </c>
      <c r="X285" s="41">
        <f>IFERROR(SUM(X281:X283),"0")</f>
        <v>0</v>
      </c>
      <c r="Y285" s="41">
        <f>IFERROR(SUM(Y281:Y283),"0")</f>
        <v>0</v>
      </c>
      <c r="Z285" s="40"/>
      <c r="AA285" s="64"/>
      <c r="AB285" s="64"/>
      <c r="AC285" s="64"/>
    </row>
    <row r="286" spans="1:68" ht="16.5" customHeight="1" x14ac:dyDescent="0.25">
      <c r="A286" s="776" t="s">
        <v>486</v>
      </c>
      <c r="B286" s="776"/>
      <c r="C286" s="776"/>
      <c r="D286" s="776"/>
      <c r="E286" s="776"/>
      <c r="F286" s="776"/>
      <c r="G286" s="776"/>
      <c r="H286" s="776"/>
      <c r="I286" s="776"/>
      <c r="J286" s="776"/>
      <c r="K286" s="776"/>
      <c r="L286" s="776"/>
      <c r="M286" s="776"/>
      <c r="N286" s="776"/>
      <c r="O286" s="776"/>
      <c r="P286" s="776"/>
      <c r="Q286" s="776"/>
      <c r="R286" s="776"/>
      <c r="S286" s="776"/>
      <c r="T286" s="776"/>
      <c r="U286" s="776"/>
      <c r="V286" s="776"/>
      <c r="W286" s="776"/>
      <c r="X286" s="776"/>
      <c r="Y286" s="776"/>
      <c r="Z286" s="776"/>
      <c r="AA286" s="62"/>
      <c r="AB286" s="62"/>
      <c r="AC286" s="62"/>
    </row>
    <row r="287" spans="1:68" ht="14.25" customHeight="1" x14ac:dyDescent="0.25">
      <c r="A287" s="768" t="s">
        <v>78</v>
      </c>
      <c r="B287" s="768"/>
      <c r="C287" s="768"/>
      <c r="D287" s="768"/>
      <c r="E287" s="768"/>
      <c r="F287" s="768"/>
      <c r="G287" s="768"/>
      <c r="H287" s="768"/>
      <c r="I287" s="768"/>
      <c r="J287" s="768"/>
      <c r="K287" s="768"/>
      <c r="L287" s="768"/>
      <c r="M287" s="768"/>
      <c r="N287" s="768"/>
      <c r="O287" s="768"/>
      <c r="P287" s="768"/>
      <c r="Q287" s="768"/>
      <c r="R287" s="768"/>
      <c r="S287" s="768"/>
      <c r="T287" s="768"/>
      <c r="U287" s="768"/>
      <c r="V287" s="768"/>
      <c r="W287" s="768"/>
      <c r="X287" s="768"/>
      <c r="Y287" s="768"/>
      <c r="Z287" s="768"/>
      <c r="AA287" s="63"/>
      <c r="AB287" s="63"/>
      <c r="AC287" s="63"/>
    </row>
    <row r="288" spans="1:68" ht="37.5" customHeight="1" x14ac:dyDescent="0.25">
      <c r="A288" s="60" t="s">
        <v>487</v>
      </c>
      <c r="B288" s="60" t="s">
        <v>488</v>
      </c>
      <c r="C288" s="34">
        <v>4301051409</v>
      </c>
      <c r="D288" s="769">
        <v>4680115881556</v>
      </c>
      <c r="E288" s="769"/>
      <c r="F288" s="59">
        <v>1</v>
      </c>
      <c r="G288" s="35">
        <v>4</v>
      </c>
      <c r="H288" s="59">
        <v>4</v>
      </c>
      <c r="I288" s="59">
        <v>4.4080000000000004</v>
      </c>
      <c r="J288" s="35">
        <v>104</v>
      </c>
      <c r="K288" s="35" t="s">
        <v>107</v>
      </c>
      <c r="L288" s="35" t="s">
        <v>45</v>
      </c>
      <c r="M288" s="36" t="s">
        <v>106</v>
      </c>
      <c r="N288" s="36"/>
      <c r="O288" s="35">
        <v>45</v>
      </c>
      <c r="P288" s="957" t="str">
        <f>HYPERLINK("https://abi.ru/products/Охлажденные/Стародворье/Сочинка по-баварски/Сосиски/P003264/","Сосиски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Q288" s="771"/>
      <c r="R288" s="771"/>
      <c r="S288" s="771"/>
      <c r="T288" s="772"/>
      <c r="U288" s="37" t="s">
        <v>45</v>
      </c>
      <c r="V288" s="37" t="s">
        <v>45</v>
      </c>
      <c r="W288" s="38" t="s">
        <v>0</v>
      </c>
      <c r="X288" s="56">
        <v>0</v>
      </c>
      <c r="Y288" s="53">
        <f t="shared" ref="Y288:Y293" si="66">IFERROR(IF(X288="",0,CEILING((X288/$H288),1)*$H288),"")</f>
        <v>0</v>
      </c>
      <c r="Z288" s="39" t="str">
        <f>IFERROR(IF(Y288=0,"",ROUNDUP(Y288/H288,0)*0.01196),"")</f>
        <v/>
      </c>
      <c r="AA288" s="65" t="s">
        <v>45</v>
      </c>
      <c r="AB288" s="66" t="s">
        <v>45</v>
      </c>
      <c r="AC288" s="377" t="s">
        <v>489</v>
      </c>
      <c r="AG288" s="75"/>
      <c r="AJ288" s="79" t="s">
        <v>45</v>
      </c>
      <c r="AK288" s="79">
        <v>0</v>
      </c>
      <c r="BB288" s="378" t="s">
        <v>66</v>
      </c>
      <c r="BM288" s="75">
        <f t="shared" ref="BM288:BM293" si="67">IFERROR(X288*I288/H288,"0")</f>
        <v>0</v>
      </c>
      <c r="BN288" s="75">
        <f t="shared" ref="BN288:BN293" si="68">IFERROR(Y288*I288/H288,"0")</f>
        <v>0</v>
      </c>
      <c r="BO288" s="75">
        <f t="shared" ref="BO288:BO293" si="69">IFERROR(1/J288*(X288/H288),"0")</f>
        <v>0</v>
      </c>
      <c r="BP288" s="75">
        <f t="shared" ref="BP288:BP293" si="70">IFERROR(1/J288*(Y288/H288),"0")</f>
        <v>0</v>
      </c>
    </row>
    <row r="289" spans="1:68" ht="37.5" customHeight="1" x14ac:dyDescent="0.25">
      <c r="A289" s="60" t="s">
        <v>490</v>
      </c>
      <c r="B289" s="60" t="s">
        <v>491</v>
      </c>
      <c r="C289" s="34">
        <v>4301051506</v>
      </c>
      <c r="D289" s="769">
        <v>4680115881037</v>
      </c>
      <c r="E289" s="769"/>
      <c r="F289" s="59">
        <v>0.84</v>
      </c>
      <c r="G289" s="35">
        <v>4</v>
      </c>
      <c r="H289" s="59">
        <v>3.36</v>
      </c>
      <c r="I289" s="59">
        <v>3.6179999999999999</v>
      </c>
      <c r="J289" s="35">
        <v>132</v>
      </c>
      <c r="K289" s="35" t="s">
        <v>116</v>
      </c>
      <c r="L289" s="35" t="s">
        <v>45</v>
      </c>
      <c r="M289" s="36" t="s">
        <v>82</v>
      </c>
      <c r="N289" s="36"/>
      <c r="O289" s="35">
        <v>40</v>
      </c>
      <c r="P289" s="958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89" s="771"/>
      <c r="R289" s="771"/>
      <c r="S289" s="771"/>
      <c r="T289" s="772"/>
      <c r="U289" s="37" t="s">
        <v>45</v>
      </c>
      <c r="V289" s="37" t="s">
        <v>45</v>
      </c>
      <c r="W289" s="38" t="s">
        <v>0</v>
      </c>
      <c r="X289" s="56">
        <v>0</v>
      </c>
      <c r="Y289" s="53">
        <f t="shared" si="66"/>
        <v>0</v>
      </c>
      <c r="Z289" s="39" t="str">
        <f>IFERROR(IF(Y289=0,"",ROUNDUP(Y289/H289,0)*0.00902),"")</f>
        <v/>
      </c>
      <c r="AA289" s="65" t="s">
        <v>45</v>
      </c>
      <c r="AB289" s="66" t="s">
        <v>45</v>
      </c>
      <c r="AC289" s="379" t="s">
        <v>492</v>
      </c>
      <c r="AG289" s="75"/>
      <c r="AJ289" s="79" t="s">
        <v>45</v>
      </c>
      <c r="AK289" s="79">
        <v>0</v>
      </c>
      <c r="BB289" s="380" t="s">
        <v>66</v>
      </c>
      <c r="BM289" s="75">
        <f t="shared" si="67"/>
        <v>0</v>
      </c>
      <c r="BN289" s="75">
        <f t="shared" si="68"/>
        <v>0</v>
      </c>
      <c r="BO289" s="75">
        <f t="shared" si="69"/>
        <v>0</v>
      </c>
      <c r="BP289" s="75">
        <f t="shared" si="70"/>
        <v>0</v>
      </c>
    </row>
    <row r="290" spans="1:68" ht="37.5" customHeight="1" x14ac:dyDescent="0.25">
      <c r="A290" s="60" t="s">
        <v>493</v>
      </c>
      <c r="B290" s="60" t="s">
        <v>494</v>
      </c>
      <c r="C290" s="34">
        <v>4301051893</v>
      </c>
      <c r="D290" s="769">
        <v>4680115886186</v>
      </c>
      <c r="E290" s="769"/>
      <c r="F290" s="59">
        <v>0.3</v>
      </c>
      <c r="G290" s="35">
        <v>6</v>
      </c>
      <c r="H290" s="59">
        <v>1.8</v>
      </c>
      <c r="I290" s="59">
        <v>1.98</v>
      </c>
      <c r="J290" s="35">
        <v>182</v>
      </c>
      <c r="K290" s="35" t="s">
        <v>83</v>
      </c>
      <c r="L290" s="35" t="s">
        <v>45</v>
      </c>
      <c r="M290" s="36" t="s">
        <v>106</v>
      </c>
      <c r="N290" s="36"/>
      <c r="O290" s="35">
        <v>45</v>
      </c>
      <c r="P290" s="95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90" s="771"/>
      <c r="R290" s="771"/>
      <c r="S290" s="771"/>
      <c r="T290" s="772"/>
      <c r="U290" s="37" t="s">
        <v>45</v>
      </c>
      <c r="V290" s="37" t="s">
        <v>45</v>
      </c>
      <c r="W290" s="38" t="s">
        <v>0</v>
      </c>
      <c r="X290" s="56">
        <v>0</v>
      </c>
      <c r="Y290" s="53">
        <f t="shared" si="66"/>
        <v>0</v>
      </c>
      <c r="Z290" s="39" t="str">
        <f>IFERROR(IF(Y290=0,"",ROUNDUP(Y290/H290,0)*0.00651),"")</f>
        <v/>
      </c>
      <c r="AA290" s="65" t="s">
        <v>45</v>
      </c>
      <c r="AB290" s="66" t="s">
        <v>45</v>
      </c>
      <c r="AC290" s="381" t="s">
        <v>489</v>
      </c>
      <c r="AG290" s="75"/>
      <c r="AJ290" s="79" t="s">
        <v>45</v>
      </c>
      <c r="AK290" s="79">
        <v>0</v>
      </c>
      <c r="BB290" s="382" t="s">
        <v>66</v>
      </c>
      <c r="BM290" s="75">
        <f t="shared" si="67"/>
        <v>0</v>
      </c>
      <c r="BN290" s="75">
        <f t="shared" si="68"/>
        <v>0</v>
      </c>
      <c r="BO290" s="75">
        <f t="shared" si="69"/>
        <v>0</v>
      </c>
      <c r="BP290" s="75">
        <f t="shared" si="70"/>
        <v>0</v>
      </c>
    </row>
    <row r="291" spans="1:68" ht="27" customHeight="1" x14ac:dyDescent="0.25">
      <c r="A291" s="60" t="s">
        <v>495</v>
      </c>
      <c r="B291" s="60" t="s">
        <v>496</v>
      </c>
      <c r="C291" s="34">
        <v>4301051487</v>
      </c>
      <c r="D291" s="769">
        <v>4680115881228</v>
      </c>
      <c r="E291" s="769"/>
      <c r="F291" s="59">
        <v>0.4</v>
      </c>
      <c r="G291" s="35">
        <v>6</v>
      </c>
      <c r="H291" s="59">
        <v>2.4</v>
      </c>
      <c r="I291" s="59">
        <v>2.6520000000000001</v>
      </c>
      <c r="J291" s="35">
        <v>182</v>
      </c>
      <c r="K291" s="35" t="s">
        <v>83</v>
      </c>
      <c r="L291" s="35" t="s">
        <v>45</v>
      </c>
      <c r="M291" s="36" t="s">
        <v>82</v>
      </c>
      <c r="N291" s="36"/>
      <c r="O291" s="35">
        <v>40</v>
      </c>
      <c r="P291" s="9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91" s="771"/>
      <c r="R291" s="771"/>
      <c r="S291" s="771"/>
      <c r="T291" s="772"/>
      <c r="U291" s="37" t="s">
        <v>45</v>
      </c>
      <c r="V291" s="37" t="s">
        <v>45</v>
      </c>
      <c r="W291" s="38" t="s">
        <v>0</v>
      </c>
      <c r="X291" s="56">
        <v>0</v>
      </c>
      <c r="Y291" s="53">
        <f t="shared" si="66"/>
        <v>0</v>
      </c>
      <c r="Z291" s="39" t="str">
        <f>IFERROR(IF(Y291=0,"",ROUNDUP(Y291/H291,0)*0.00651),"")</f>
        <v/>
      </c>
      <c r="AA291" s="65" t="s">
        <v>45</v>
      </c>
      <c r="AB291" s="66" t="s">
        <v>45</v>
      </c>
      <c r="AC291" s="383" t="s">
        <v>492</v>
      </c>
      <c r="AG291" s="75"/>
      <c r="AJ291" s="79" t="s">
        <v>45</v>
      </c>
      <c r="AK291" s="79">
        <v>0</v>
      </c>
      <c r="BB291" s="384" t="s">
        <v>66</v>
      </c>
      <c r="BM291" s="75">
        <f t="shared" si="67"/>
        <v>0</v>
      </c>
      <c r="BN291" s="75">
        <f t="shared" si="68"/>
        <v>0</v>
      </c>
      <c r="BO291" s="75">
        <f t="shared" si="69"/>
        <v>0</v>
      </c>
      <c r="BP291" s="75">
        <f t="shared" si="70"/>
        <v>0</v>
      </c>
    </row>
    <row r="292" spans="1:68" ht="37.5" customHeight="1" x14ac:dyDescent="0.25">
      <c r="A292" s="60" t="s">
        <v>497</v>
      </c>
      <c r="B292" s="60" t="s">
        <v>498</v>
      </c>
      <c r="C292" s="34">
        <v>4301051384</v>
      </c>
      <c r="D292" s="769">
        <v>4680115881211</v>
      </c>
      <c r="E292" s="769"/>
      <c r="F292" s="59">
        <v>0.4</v>
      </c>
      <c r="G292" s="35">
        <v>6</v>
      </c>
      <c r="H292" s="59">
        <v>2.4</v>
      </c>
      <c r="I292" s="59">
        <v>2.58</v>
      </c>
      <c r="J292" s="35">
        <v>182</v>
      </c>
      <c r="K292" s="35" t="s">
        <v>83</v>
      </c>
      <c r="L292" s="35" t="s">
        <v>119</v>
      </c>
      <c r="M292" s="36" t="s">
        <v>82</v>
      </c>
      <c r="N292" s="36"/>
      <c r="O292" s="35">
        <v>45</v>
      </c>
      <c r="P292" s="96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92" s="771"/>
      <c r="R292" s="771"/>
      <c r="S292" s="771"/>
      <c r="T292" s="772"/>
      <c r="U292" s="37" t="s">
        <v>45</v>
      </c>
      <c r="V292" s="37" t="s">
        <v>45</v>
      </c>
      <c r="W292" s="38" t="s">
        <v>0</v>
      </c>
      <c r="X292" s="56">
        <v>0</v>
      </c>
      <c r="Y292" s="53">
        <f t="shared" si="66"/>
        <v>0</v>
      </c>
      <c r="Z292" s="39" t="str">
        <f>IFERROR(IF(Y292=0,"",ROUNDUP(Y292/H292,0)*0.00651),"")</f>
        <v/>
      </c>
      <c r="AA292" s="65" t="s">
        <v>45</v>
      </c>
      <c r="AB292" s="66" t="s">
        <v>45</v>
      </c>
      <c r="AC292" s="385" t="s">
        <v>489</v>
      </c>
      <c r="AG292" s="75"/>
      <c r="AJ292" s="79" t="s">
        <v>120</v>
      </c>
      <c r="AK292" s="79">
        <v>33.6</v>
      </c>
      <c r="BB292" s="386" t="s">
        <v>66</v>
      </c>
      <c r="BM292" s="75">
        <f t="shared" si="67"/>
        <v>0</v>
      </c>
      <c r="BN292" s="75">
        <f t="shared" si="68"/>
        <v>0</v>
      </c>
      <c r="BO292" s="75">
        <f t="shared" si="69"/>
        <v>0</v>
      </c>
      <c r="BP292" s="75">
        <f t="shared" si="70"/>
        <v>0</v>
      </c>
    </row>
    <row r="293" spans="1:68" ht="37.5" customHeight="1" x14ac:dyDescent="0.25">
      <c r="A293" s="60" t="s">
        <v>499</v>
      </c>
      <c r="B293" s="60" t="s">
        <v>500</v>
      </c>
      <c r="C293" s="34">
        <v>4301051378</v>
      </c>
      <c r="D293" s="769">
        <v>4680115881020</v>
      </c>
      <c r="E293" s="769"/>
      <c r="F293" s="59">
        <v>0.84</v>
      </c>
      <c r="G293" s="35">
        <v>4</v>
      </c>
      <c r="H293" s="59">
        <v>3.36</v>
      </c>
      <c r="I293" s="59">
        <v>3.57</v>
      </c>
      <c r="J293" s="35">
        <v>120</v>
      </c>
      <c r="K293" s="35" t="s">
        <v>116</v>
      </c>
      <c r="L293" s="35" t="s">
        <v>45</v>
      </c>
      <c r="M293" s="36" t="s">
        <v>82</v>
      </c>
      <c r="N293" s="36"/>
      <c r="O293" s="35">
        <v>45</v>
      </c>
      <c r="P293" s="962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93" s="771"/>
      <c r="R293" s="771"/>
      <c r="S293" s="771"/>
      <c r="T293" s="772"/>
      <c r="U293" s="37" t="s">
        <v>45</v>
      </c>
      <c r="V293" s="37" t="s">
        <v>45</v>
      </c>
      <c r="W293" s="38" t="s">
        <v>0</v>
      </c>
      <c r="X293" s="56">
        <v>0</v>
      </c>
      <c r="Y293" s="53">
        <f t="shared" si="66"/>
        <v>0</v>
      </c>
      <c r="Z293" s="39" t="str">
        <f>IFERROR(IF(Y293=0,"",ROUNDUP(Y293/H293,0)*0.00937),"")</f>
        <v/>
      </c>
      <c r="AA293" s="65" t="s">
        <v>45</v>
      </c>
      <c r="AB293" s="66" t="s">
        <v>45</v>
      </c>
      <c r="AC293" s="387" t="s">
        <v>501</v>
      </c>
      <c r="AG293" s="75"/>
      <c r="AJ293" s="79" t="s">
        <v>45</v>
      </c>
      <c r="AK293" s="79">
        <v>0</v>
      </c>
      <c r="BB293" s="388" t="s">
        <v>66</v>
      </c>
      <c r="BM293" s="75">
        <f t="shared" si="67"/>
        <v>0</v>
      </c>
      <c r="BN293" s="75">
        <f t="shared" si="68"/>
        <v>0</v>
      </c>
      <c r="BO293" s="75">
        <f t="shared" si="69"/>
        <v>0</v>
      </c>
      <c r="BP293" s="75">
        <f t="shared" si="70"/>
        <v>0</v>
      </c>
    </row>
    <row r="294" spans="1:68" x14ac:dyDescent="0.2">
      <c r="A294" s="759"/>
      <c r="B294" s="759"/>
      <c r="C294" s="759"/>
      <c r="D294" s="759"/>
      <c r="E294" s="759"/>
      <c r="F294" s="759"/>
      <c r="G294" s="759"/>
      <c r="H294" s="759"/>
      <c r="I294" s="759"/>
      <c r="J294" s="759"/>
      <c r="K294" s="759"/>
      <c r="L294" s="759"/>
      <c r="M294" s="759"/>
      <c r="N294" s="759"/>
      <c r="O294" s="767"/>
      <c r="P294" s="764" t="s">
        <v>40</v>
      </c>
      <c r="Q294" s="765"/>
      <c r="R294" s="765"/>
      <c r="S294" s="765"/>
      <c r="T294" s="765"/>
      <c r="U294" s="765"/>
      <c r="V294" s="766"/>
      <c r="W294" s="40" t="s">
        <v>39</v>
      </c>
      <c r="X294" s="41">
        <f>IFERROR(X288/H288,"0")+IFERROR(X289/H289,"0")+IFERROR(X290/H290,"0")+IFERROR(X291/H291,"0")+IFERROR(X292/H292,"0")+IFERROR(X293/H293,"0")</f>
        <v>0</v>
      </c>
      <c r="Y294" s="41">
        <f>IFERROR(Y288/H288,"0")+IFERROR(Y289/H289,"0")+IFERROR(Y290/H290,"0")+IFERROR(Y291/H291,"0")+IFERROR(Y292/H292,"0")+IFERROR(Y293/H293,"0")</f>
        <v>0</v>
      </c>
      <c r="Z294" s="41">
        <f>IFERROR(IF(Z288="",0,Z288),"0")+IFERROR(IF(Z289="",0,Z289),"0")+IFERROR(IF(Z290="",0,Z290),"0")+IFERROR(IF(Z291="",0,Z291),"0")+IFERROR(IF(Z292="",0,Z292),"0")+IFERROR(IF(Z293="",0,Z293),"0")</f>
        <v>0</v>
      </c>
      <c r="AA294" s="64"/>
      <c r="AB294" s="64"/>
      <c r="AC294" s="64"/>
    </row>
    <row r="295" spans="1:68" x14ac:dyDescent="0.2">
      <c r="A295" s="759"/>
      <c r="B295" s="759"/>
      <c r="C295" s="759"/>
      <c r="D295" s="759"/>
      <c r="E295" s="759"/>
      <c r="F295" s="759"/>
      <c r="G295" s="759"/>
      <c r="H295" s="759"/>
      <c r="I295" s="759"/>
      <c r="J295" s="759"/>
      <c r="K295" s="759"/>
      <c r="L295" s="759"/>
      <c r="M295" s="759"/>
      <c r="N295" s="759"/>
      <c r="O295" s="767"/>
      <c r="P295" s="764" t="s">
        <v>40</v>
      </c>
      <c r="Q295" s="765"/>
      <c r="R295" s="765"/>
      <c r="S295" s="765"/>
      <c r="T295" s="765"/>
      <c r="U295" s="765"/>
      <c r="V295" s="766"/>
      <c r="W295" s="40" t="s">
        <v>0</v>
      </c>
      <c r="X295" s="41">
        <f>IFERROR(SUM(X288:X293),"0")</f>
        <v>0</v>
      </c>
      <c r="Y295" s="41">
        <f>IFERROR(SUM(Y288:Y293),"0")</f>
        <v>0</v>
      </c>
      <c r="Z295" s="40"/>
      <c r="AA295" s="64"/>
      <c r="AB295" s="64"/>
      <c r="AC295" s="64"/>
    </row>
    <row r="296" spans="1:68" ht="16.5" customHeight="1" x14ac:dyDescent="0.25">
      <c r="A296" s="776" t="s">
        <v>502</v>
      </c>
      <c r="B296" s="776"/>
      <c r="C296" s="776"/>
      <c r="D296" s="776"/>
      <c r="E296" s="776"/>
      <c r="F296" s="776"/>
      <c r="G296" s="776"/>
      <c r="H296" s="776"/>
      <c r="I296" s="776"/>
      <c r="J296" s="776"/>
      <c r="K296" s="776"/>
      <c r="L296" s="776"/>
      <c r="M296" s="776"/>
      <c r="N296" s="776"/>
      <c r="O296" s="776"/>
      <c r="P296" s="776"/>
      <c r="Q296" s="776"/>
      <c r="R296" s="776"/>
      <c r="S296" s="776"/>
      <c r="T296" s="776"/>
      <c r="U296" s="776"/>
      <c r="V296" s="776"/>
      <c r="W296" s="776"/>
      <c r="X296" s="776"/>
      <c r="Y296" s="776"/>
      <c r="Z296" s="776"/>
      <c r="AA296" s="62"/>
      <c r="AB296" s="62"/>
      <c r="AC296" s="62"/>
    </row>
    <row r="297" spans="1:68" ht="14.25" customHeight="1" x14ac:dyDescent="0.25">
      <c r="A297" s="768" t="s">
        <v>101</v>
      </c>
      <c r="B297" s="768"/>
      <c r="C297" s="768"/>
      <c r="D297" s="768"/>
      <c r="E297" s="768"/>
      <c r="F297" s="768"/>
      <c r="G297" s="768"/>
      <c r="H297" s="768"/>
      <c r="I297" s="768"/>
      <c r="J297" s="768"/>
      <c r="K297" s="768"/>
      <c r="L297" s="768"/>
      <c r="M297" s="768"/>
      <c r="N297" s="768"/>
      <c r="O297" s="768"/>
      <c r="P297" s="768"/>
      <c r="Q297" s="768"/>
      <c r="R297" s="768"/>
      <c r="S297" s="768"/>
      <c r="T297" s="768"/>
      <c r="U297" s="768"/>
      <c r="V297" s="768"/>
      <c r="W297" s="768"/>
      <c r="X297" s="768"/>
      <c r="Y297" s="768"/>
      <c r="Z297" s="768"/>
      <c r="AA297" s="63"/>
      <c r="AB297" s="63"/>
      <c r="AC297" s="63"/>
    </row>
    <row r="298" spans="1:68" ht="27" customHeight="1" x14ac:dyDescent="0.25">
      <c r="A298" s="60" t="s">
        <v>503</v>
      </c>
      <c r="B298" s="60" t="s">
        <v>504</v>
      </c>
      <c r="C298" s="34">
        <v>4301011306</v>
      </c>
      <c r="D298" s="769">
        <v>4607091389296</v>
      </c>
      <c r="E298" s="769"/>
      <c r="F298" s="59">
        <v>0.4</v>
      </c>
      <c r="G298" s="35">
        <v>10</v>
      </c>
      <c r="H298" s="59">
        <v>4</v>
      </c>
      <c r="I298" s="59">
        <v>4.21</v>
      </c>
      <c r="J298" s="35">
        <v>132</v>
      </c>
      <c r="K298" s="35" t="s">
        <v>116</v>
      </c>
      <c r="L298" s="35" t="s">
        <v>45</v>
      </c>
      <c r="M298" s="36" t="s">
        <v>106</v>
      </c>
      <c r="N298" s="36"/>
      <c r="O298" s="35">
        <v>45</v>
      </c>
      <c r="P298" s="953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98" s="771"/>
      <c r="R298" s="771"/>
      <c r="S298" s="771"/>
      <c r="T298" s="772"/>
      <c r="U298" s="37" t="s">
        <v>45</v>
      </c>
      <c r="V298" s="37" t="s">
        <v>45</v>
      </c>
      <c r="W298" s="38" t="s">
        <v>0</v>
      </c>
      <c r="X298" s="56">
        <v>0</v>
      </c>
      <c r="Y298" s="53">
        <f>IFERROR(IF(X298="",0,CEILING((X298/$H298),1)*$H298),"")</f>
        <v>0</v>
      </c>
      <c r="Z298" s="39" t="str">
        <f>IFERROR(IF(Y298=0,"",ROUNDUP(Y298/H298,0)*0.00902),"")</f>
        <v/>
      </c>
      <c r="AA298" s="65" t="s">
        <v>45</v>
      </c>
      <c r="AB298" s="66" t="s">
        <v>45</v>
      </c>
      <c r="AC298" s="389" t="s">
        <v>505</v>
      </c>
      <c r="AG298" s="75"/>
      <c r="AJ298" s="79" t="s">
        <v>45</v>
      </c>
      <c r="AK298" s="79">
        <v>0</v>
      </c>
      <c r="BB298" s="390" t="s">
        <v>66</v>
      </c>
      <c r="BM298" s="75">
        <f>IFERROR(X298*I298/H298,"0")</f>
        <v>0</v>
      </c>
      <c r="BN298" s="75">
        <f>IFERROR(Y298*I298/H298,"0")</f>
        <v>0</v>
      </c>
      <c r="BO298" s="75">
        <f>IFERROR(1/J298*(X298/H298),"0")</f>
        <v>0</v>
      </c>
      <c r="BP298" s="75">
        <f>IFERROR(1/J298*(Y298/H298),"0")</f>
        <v>0</v>
      </c>
    </row>
    <row r="299" spans="1:68" x14ac:dyDescent="0.2">
      <c r="A299" s="759"/>
      <c r="B299" s="759"/>
      <c r="C299" s="759"/>
      <c r="D299" s="759"/>
      <c r="E299" s="759"/>
      <c r="F299" s="759"/>
      <c r="G299" s="759"/>
      <c r="H299" s="759"/>
      <c r="I299" s="759"/>
      <c r="J299" s="759"/>
      <c r="K299" s="759"/>
      <c r="L299" s="759"/>
      <c r="M299" s="759"/>
      <c r="N299" s="759"/>
      <c r="O299" s="767"/>
      <c r="P299" s="764" t="s">
        <v>40</v>
      </c>
      <c r="Q299" s="765"/>
      <c r="R299" s="765"/>
      <c r="S299" s="765"/>
      <c r="T299" s="765"/>
      <c r="U299" s="765"/>
      <c r="V299" s="766"/>
      <c r="W299" s="40" t="s">
        <v>39</v>
      </c>
      <c r="X299" s="41">
        <f>IFERROR(X298/H298,"0")</f>
        <v>0</v>
      </c>
      <c r="Y299" s="41">
        <f>IFERROR(Y298/H298,"0")</f>
        <v>0</v>
      </c>
      <c r="Z299" s="41">
        <f>IFERROR(IF(Z298="",0,Z298),"0")</f>
        <v>0</v>
      </c>
      <c r="AA299" s="64"/>
      <c r="AB299" s="64"/>
      <c r="AC299" s="64"/>
    </row>
    <row r="300" spans="1:68" x14ac:dyDescent="0.2">
      <c r="A300" s="759"/>
      <c r="B300" s="759"/>
      <c r="C300" s="759"/>
      <c r="D300" s="759"/>
      <c r="E300" s="759"/>
      <c r="F300" s="759"/>
      <c r="G300" s="759"/>
      <c r="H300" s="759"/>
      <c r="I300" s="759"/>
      <c r="J300" s="759"/>
      <c r="K300" s="759"/>
      <c r="L300" s="759"/>
      <c r="M300" s="759"/>
      <c r="N300" s="759"/>
      <c r="O300" s="767"/>
      <c r="P300" s="764" t="s">
        <v>40</v>
      </c>
      <c r="Q300" s="765"/>
      <c r="R300" s="765"/>
      <c r="S300" s="765"/>
      <c r="T300" s="765"/>
      <c r="U300" s="765"/>
      <c r="V300" s="766"/>
      <c r="W300" s="40" t="s">
        <v>0</v>
      </c>
      <c r="X300" s="41">
        <f>IFERROR(SUM(X298:X298),"0")</f>
        <v>0</v>
      </c>
      <c r="Y300" s="41">
        <f>IFERROR(SUM(Y298:Y298),"0")</f>
        <v>0</v>
      </c>
      <c r="Z300" s="40"/>
      <c r="AA300" s="64"/>
      <c r="AB300" s="64"/>
      <c r="AC300" s="64"/>
    </row>
    <row r="301" spans="1:68" ht="14.25" customHeight="1" x14ac:dyDescent="0.25">
      <c r="A301" s="768" t="s">
        <v>164</v>
      </c>
      <c r="B301" s="768"/>
      <c r="C301" s="768"/>
      <c r="D301" s="768"/>
      <c r="E301" s="768"/>
      <c r="F301" s="768"/>
      <c r="G301" s="768"/>
      <c r="H301" s="768"/>
      <c r="I301" s="768"/>
      <c r="J301" s="768"/>
      <c r="K301" s="768"/>
      <c r="L301" s="768"/>
      <c r="M301" s="768"/>
      <c r="N301" s="768"/>
      <c r="O301" s="768"/>
      <c r="P301" s="768"/>
      <c r="Q301" s="768"/>
      <c r="R301" s="768"/>
      <c r="S301" s="768"/>
      <c r="T301" s="768"/>
      <c r="U301" s="768"/>
      <c r="V301" s="768"/>
      <c r="W301" s="768"/>
      <c r="X301" s="768"/>
      <c r="Y301" s="768"/>
      <c r="Z301" s="768"/>
      <c r="AA301" s="63"/>
      <c r="AB301" s="63"/>
      <c r="AC301" s="63"/>
    </row>
    <row r="302" spans="1:68" ht="27" customHeight="1" x14ac:dyDescent="0.25">
      <c r="A302" s="60" t="s">
        <v>506</v>
      </c>
      <c r="B302" s="60" t="s">
        <v>507</v>
      </c>
      <c r="C302" s="34">
        <v>4301031307</v>
      </c>
      <c r="D302" s="769">
        <v>4680115880344</v>
      </c>
      <c r="E302" s="769"/>
      <c r="F302" s="59">
        <v>0.28000000000000003</v>
      </c>
      <c r="G302" s="35">
        <v>6</v>
      </c>
      <c r="H302" s="59">
        <v>1.68</v>
      </c>
      <c r="I302" s="59">
        <v>1.78</v>
      </c>
      <c r="J302" s="35">
        <v>234</v>
      </c>
      <c r="K302" s="35" t="s">
        <v>126</v>
      </c>
      <c r="L302" s="35" t="s">
        <v>45</v>
      </c>
      <c r="M302" s="36" t="s">
        <v>82</v>
      </c>
      <c r="N302" s="36"/>
      <c r="O302" s="35">
        <v>40</v>
      </c>
      <c r="P302" s="954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302" s="771"/>
      <c r="R302" s="771"/>
      <c r="S302" s="771"/>
      <c r="T302" s="772"/>
      <c r="U302" s="37" t="s">
        <v>45</v>
      </c>
      <c r="V302" s="37" t="s">
        <v>45</v>
      </c>
      <c r="W302" s="38" t="s">
        <v>0</v>
      </c>
      <c r="X302" s="56">
        <v>0</v>
      </c>
      <c r="Y302" s="53">
        <f>IFERROR(IF(X302="",0,CEILING((X302/$H302),1)*$H302),"")</f>
        <v>0</v>
      </c>
      <c r="Z302" s="39" t="str">
        <f>IFERROR(IF(Y302=0,"",ROUNDUP(Y302/H302,0)*0.00502),"")</f>
        <v/>
      </c>
      <c r="AA302" s="65" t="s">
        <v>45</v>
      </c>
      <c r="AB302" s="66" t="s">
        <v>45</v>
      </c>
      <c r="AC302" s="391" t="s">
        <v>508</v>
      </c>
      <c r="AG302" s="75"/>
      <c r="AJ302" s="79" t="s">
        <v>45</v>
      </c>
      <c r="AK302" s="79">
        <v>0</v>
      </c>
      <c r="BB302" s="392" t="s">
        <v>66</v>
      </c>
      <c r="BM302" s="75">
        <f>IFERROR(X302*I302/H302,"0")</f>
        <v>0</v>
      </c>
      <c r="BN302" s="75">
        <f>IFERROR(Y302*I302/H302,"0")</f>
        <v>0</v>
      </c>
      <c r="BO302" s="75">
        <f>IFERROR(1/J302*(X302/H302),"0")</f>
        <v>0</v>
      </c>
      <c r="BP302" s="75">
        <f>IFERROR(1/J302*(Y302/H302),"0")</f>
        <v>0</v>
      </c>
    </row>
    <row r="303" spans="1:68" x14ac:dyDescent="0.2">
      <c r="A303" s="759"/>
      <c r="B303" s="759"/>
      <c r="C303" s="759"/>
      <c r="D303" s="759"/>
      <c r="E303" s="759"/>
      <c r="F303" s="759"/>
      <c r="G303" s="759"/>
      <c r="H303" s="759"/>
      <c r="I303" s="759"/>
      <c r="J303" s="759"/>
      <c r="K303" s="759"/>
      <c r="L303" s="759"/>
      <c r="M303" s="759"/>
      <c r="N303" s="759"/>
      <c r="O303" s="767"/>
      <c r="P303" s="764" t="s">
        <v>40</v>
      </c>
      <c r="Q303" s="765"/>
      <c r="R303" s="765"/>
      <c r="S303" s="765"/>
      <c r="T303" s="765"/>
      <c r="U303" s="765"/>
      <c r="V303" s="766"/>
      <c r="W303" s="40" t="s">
        <v>39</v>
      </c>
      <c r="X303" s="41">
        <f>IFERROR(X302/H302,"0")</f>
        <v>0</v>
      </c>
      <c r="Y303" s="41">
        <f>IFERROR(Y302/H302,"0")</f>
        <v>0</v>
      </c>
      <c r="Z303" s="41">
        <f>IFERROR(IF(Z302="",0,Z302),"0")</f>
        <v>0</v>
      </c>
      <c r="AA303" s="64"/>
      <c r="AB303" s="64"/>
      <c r="AC303" s="64"/>
    </row>
    <row r="304" spans="1:68" x14ac:dyDescent="0.2">
      <c r="A304" s="759"/>
      <c r="B304" s="759"/>
      <c r="C304" s="759"/>
      <c r="D304" s="759"/>
      <c r="E304" s="759"/>
      <c r="F304" s="759"/>
      <c r="G304" s="759"/>
      <c r="H304" s="759"/>
      <c r="I304" s="759"/>
      <c r="J304" s="759"/>
      <c r="K304" s="759"/>
      <c r="L304" s="759"/>
      <c r="M304" s="759"/>
      <c r="N304" s="759"/>
      <c r="O304" s="767"/>
      <c r="P304" s="764" t="s">
        <v>40</v>
      </c>
      <c r="Q304" s="765"/>
      <c r="R304" s="765"/>
      <c r="S304" s="765"/>
      <c r="T304" s="765"/>
      <c r="U304" s="765"/>
      <c r="V304" s="766"/>
      <c r="W304" s="40" t="s">
        <v>0</v>
      </c>
      <c r="X304" s="41">
        <f>IFERROR(SUM(X302:X302),"0")</f>
        <v>0</v>
      </c>
      <c r="Y304" s="41">
        <f>IFERROR(SUM(Y302:Y302),"0")</f>
        <v>0</v>
      </c>
      <c r="Z304" s="40"/>
      <c r="AA304" s="64"/>
      <c r="AB304" s="64"/>
      <c r="AC304" s="64"/>
    </row>
    <row r="305" spans="1:68" ht="14.25" customHeight="1" x14ac:dyDescent="0.25">
      <c r="A305" s="768" t="s">
        <v>78</v>
      </c>
      <c r="B305" s="768"/>
      <c r="C305" s="768"/>
      <c r="D305" s="768"/>
      <c r="E305" s="768"/>
      <c r="F305" s="768"/>
      <c r="G305" s="768"/>
      <c r="H305" s="768"/>
      <c r="I305" s="768"/>
      <c r="J305" s="768"/>
      <c r="K305" s="768"/>
      <c r="L305" s="768"/>
      <c r="M305" s="768"/>
      <c r="N305" s="768"/>
      <c r="O305" s="768"/>
      <c r="P305" s="768"/>
      <c r="Q305" s="768"/>
      <c r="R305" s="768"/>
      <c r="S305" s="768"/>
      <c r="T305" s="768"/>
      <c r="U305" s="768"/>
      <c r="V305" s="768"/>
      <c r="W305" s="768"/>
      <c r="X305" s="768"/>
      <c r="Y305" s="768"/>
      <c r="Z305" s="768"/>
      <c r="AA305" s="63"/>
      <c r="AB305" s="63"/>
      <c r="AC305" s="63"/>
    </row>
    <row r="306" spans="1:68" ht="27" customHeight="1" x14ac:dyDescent="0.25">
      <c r="A306" s="60" t="s">
        <v>509</v>
      </c>
      <c r="B306" s="60" t="s">
        <v>510</v>
      </c>
      <c r="C306" s="34">
        <v>4301051524</v>
      </c>
      <c r="D306" s="769">
        <v>4680115883062</v>
      </c>
      <c r="E306" s="769"/>
      <c r="F306" s="59">
        <v>0.4</v>
      </c>
      <c r="G306" s="35">
        <v>6</v>
      </c>
      <c r="H306" s="59">
        <v>2.4</v>
      </c>
      <c r="I306" s="59">
        <v>2.6520000000000001</v>
      </c>
      <c r="J306" s="35">
        <v>182</v>
      </c>
      <c r="K306" s="35" t="s">
        <v>83</v>
      </c>
      <c r="L306" s="35" t="s">
        <v>45</v>
      </c>
      <c r="M306" s="36" t="s">
        <v>150</v>
      </c>
      <c r="N306" s="36"/>
      <c r="O306" s="35">
        <v>45</v>
      </c>
      <c r="P306" s="955" t="str">
        <f>HYPERLINK("https://abi.ru/products/Охлажденные/Стародворье/Стародворская EDLP/EDPP/Сосиски/P002965/","Сосиски «Баварские» Фикс.вес 0,4 П/а мгс ТМ «Стародворье» НТУ")</f>
        <v>Сосиски «Баварские» Фикс.вес 0,4 П/а мгс ТМ «Стародворье» НТУ</v>
      </c>
      <c r="Q306" s="771"/>
      <c r="R306" s="771"/>
      <c r="S306" s="771"/>
      <c r="T306" s="772"/>
      <c r="U306" s="37" t="s">
        <v>45</v>
      </c>
      <c r="V306" s="37" t="s">
        <v>45</v>
      </c>
      <c r="W306" s="38" t="s">
        <v>0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IFERROR(IF(Y306=0,"",ROUNDUP(Y306/H306,0)*0.00651),"")</f>
        <v/>
      </c>
      <c r="AA306" s="65" t="s">
        <v>45</v>
      </c>
      <c r="AB306" s="66" t="s">
        <v>45</v>
      </c>
      <c r="AC306" s="393" t="s">
        <v>511</v>
      </c>
      <c r="AG306" s="75"/>
      <c r="AJ306" s="79" t="s">
        <v>45</v>
      </c>
      <c r="AK306" s="79">
        <v>0</v>
      </c>
      <c r="BB306" s="394" t="s">
        <v>66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t="37.5" customHeight="1" x14ac:dyDescent="0.25">
      <c r="A307" s="60" t="s">
        <v>512</v>
      </c>
      <c r="B307" s="60" t="s">
        <v>513</v>
      </c>
      <c r="C307" s="34">
        <v>4301051731</v>
      </c>
      <c r="D307" s="769">
        <v>4680115884618</v>
      </c>
      <c r="E307" s="769"/>
      <c r="F307" s="59">
        <v>0.6</v>
      </c>
      <c r="G307" s="35">
        <v>6</v>
      </c>
      <c r="H307" s="59">
        <v>3.6</v>
      </c>
      <c r="I307" s="59">
        <v>3.81</v>
      </c>
      <c r="J307" s="35">
        <v>132</v>
      </c>
      <c r="K307" s="35" t="s">
        <v>116</v>
      </c>
      <c r="L307" s="35" t="s">
        <v>45</v>
      </c>
      <c r="M307" s="36" t="s">
        <v>82</v>
      </c>
      <c r="N307" s="36"/>
      <c r="O307" s="35">
        <v>45</v>
      </c>
      <c r="P307" s="956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307" s="771"/>
      <c r="R307" s="771"/>
      <c r="S307" s="771"/>
      <c r="T307" s="772"/>
      <c r="U307" s="37" t="s">
        <v>45</v>
      </c>
      <c r="V307" s="37" t="s">
        <v>45</v>
      </c>
      <c r="W307" s="38" t="s">
        <v>0</v>
      </c>
      <c r="X307" s="56">
        <v>0</v>
      </c>
      <c r="Y307" s="53">
        <f>IFERROR(IF(X307="",0,CEILING((X307/$H307),1)*$H307),"")</f>
        <v>0</v>
      </c>
      <c r="Z307" s="39" t="str">
        <f>IFERROR(IF(Y307=0,"",ROUNDUP(Y307/H307,0)*0.00902),"")</f>
        <v/>
      </c>
      <c r="AA307" s="65" t="s">
        <v>45</v>
      </c>
      <c r="AB307" s="66" t="s">
        <v>45</v>
      </c>
      <c r="AC307" s="395" t="s">
        <v>514</v>
      </c>
      <c r="AG307" s="75"/>
      <c r="AJ307" s="79" t="s">
        <v>45</v>
      </c>
      <c r="AK307" s="79">
        <v>0</v>
      </c>
      <c r="BB307" s="396" t="s">
        <v>66</v>
      </c>
      <c r="BM307" s="75">
        <f>IFERROR(X307*I307/H307,"0")</f>
        <v>0</v>
      </c>
      <c r="BN307" s="75">
        <f>IFERROR(Y307*I307/H307,"0")</f>
        <v>0</v>
      </c>
      <c r="BO307" s="75">
        <f>IFERROR(1/J307*(X307/H307),"0")</f>
        <v>0</v>
      </c>
      <c r="BP307" s="75">
        <f>IFERROR(1/J307*(Y307/H307),"0")</f>
        <v>0</v>
      </c>
    </row>
    <row r="308" spans="1:68" x14ac:dyDescent="0.2">
      <c r="A308" s="759"/>
      <c r="B308" s="759"/>
      <c r="C308" s="759"/>
      <c r="D308" s="759"/>
      <c r="E308" s="759"/>
      <c r="F308" s="759"/>
      <c r="G308" s="759"/>
      <c r="H308" s="759"/>
      <c r="I308" s="759"/>
      <c r="J308" s="759"/>
      <c r="K308" s="759"/>
      <c r="L308" s="759"/>
      <c r="M308" s="759"/>
      <c r="N308" s="759"/>
      <c r="O308" s="767"/>
      <c r="P308" s="764" t="s">
        <v>40</v>
      </c>
      <c r="Q308" s="765"/>
      <c r="R308" s="765"/>
      <c r="S308" s="765"/>
      <c r="T308" s="765"/>
      <c r="U308" s="765"/>
      <c r="V308" s="766"/>
      <c r="W308" s="40" t="s">
        <v>39</v>
      </c>
      <c r="X308" s="41">
        <f>IFERROR(X306/H306,"0")+IFERROR(X307/H307,"0")</f>
        <v>0</v>
      </c>
      <c r="Y308" s="41">
        <f>IFERROR(Y306/H306,"0")+IFERROR(Y307/H307,"0")</f>
        <v>0</v>
      </c>
      <c r="Z308" s="41">
        <f>IFERROR(IF(Z306="",0,Z306),"0")+IFERROR(IF(Z307="",0,Z307),"0")</f>
        <v>0</v>
      </c>
      <c r="AA308" s="64"/>
      <c r="AB308" s="64"/>
      <c r="AC308" s="64"/>
    </row>
    <row r="309" spans="1:68" x14ac:dyDescent="0.2">
      <c r="A309" s="759"/>
      <c r="B309" s="759"/>
      <c r="C309" s="759"/>
      <c r="D309" s="759"/>
      <c r="E309" s="759"/>
      <c r="F309" s="759"/>
      <c r="G309" s="759"/>
      <c r="H309" s="759"/>
      <c r="I309" s="759"/>
      <c r="J309" s="759"/>
      <c r="K309" s="759"/>
      <c r="L309" s="759"/>
      <c r="M309" s="759"/>
      <c r="N309" s="759"/>
      <c r="O309" s="767"/>
      <c r="P309" s="764" t="s">
        <v>40</v>
      </c>
      <c r="Q309" s="765"/>
      <c r="R309" s="765"/>
      <c r="S309" s="765"/>
      <c r="T309" s="765"/>
      <c r="U309" s="765"/>
      <c r="V309" s="766"/>
      <c r="W309" s="40" t="s">
        <v>0</v>
      </c>
      <c r="X309" s="41">
        <f>IFERROR(SUM(X306:X307),"0")</f>
        <v>0</v>
      </c>
      <c r="Y309" s="41">
        <f>IFERROR(SUM(Y306:Y307),"0")</f>
        <v>0</v>
      </c>
      <c r="Z309" s="40"/>
      <c r="AA309" s="64"/>
      <c r="AB309" s="64"/>
      <c r="AC309" s="64"/>
    </row>
    <row r="310" spans="1:68" ht="16.5" customHeight="1" x14ac:dyDescent="0.25">
      <c r="A310" s="776" t="s">
        <v>515</v>
      </c>
      <c r="B310" s="776"/>
      <c r="C310" s="776"/>
      <c r="D310" s="776"/>
      <c r="E310" s="776"/>
      <c r="F310" s="776"/>
      <c r="G310" s="776"/>
      <c r="H310" s="776"/>
      <c r="I310" s="776"/>
      <c r="J310" s="776"/>
      <c r="K310" s="776"/>
      <c r="L310" s="776"/>
      <c r="M310" s="776"/>
      <c r="N310" s="776"/>
      <c r="O310" s="776"/>
      <c r="P310" s="776"/>
      <c r="Q310" s="776"/>
      <c r="R310" s="776"/>
      <c r="S310" s="776"/>
      <c r="T310" s="776"/>
      <c r="U310" s="776"/>
      <c r="V310" s="776"/>
      <c r="W310" s="776"/>
      <c r="X310" s="776"/>
      <c r="Y310" s="776"/>
      <c r="Z310" s="776"/>
      <c r="AA310" s="62"/>
      <c r="AB310" s="62"/>
      <c r="AC310" s="62"/>
    </row>
    <row r="311" spans="1:68" ht="14.25" customHeight="1" x14ac:dyDescent="0.25">
      <c r="A311" s="768" t="s">
        <v>101</v>
      </c>
      <c r="B311" s="768"/>
      <c r="C311" s="768"/>
      <c r="D311" s="768"/>
      <c r="E311" s="768"/>
      <c r="F311" s="768"/>
      <c r="G311" s="768"/>
      <c r="H311" s="768"/>
      <c r="I311" s="768"/>
      <c r="J311" s="768"/>
      <c r="K311" s="768"/>
      <c r="L311" s="768"/>
      <c r="M311" s="768"/>
      <c r="N311" s="768"/>
      <c r="O311" s="768"/>
      <c r="P311" s="768"/>
      <c r="Q311" s="768"/>
      <c r="R311" s="768"/>
      <c r="S311" s="768"/>
      <c r="T311" s="768"/>
      <c r="U311" s="768"/>
      <c r="V311" s="768"/>
      <c r="W311" s="768"/>
      <c r="X311" s="768"/>
      <c r="Y311" s="768"/>
      <c r="Z311" s="768"/>
      <c r="AA311" s="63"/>
      <c r="AB311" s="63"/>
      <c r="AC311" s="63"/>
    </row>
    <row r="312" spans="1:68" ht="27" customHeight="1" x14ac:dyDescent="0.25">
      <c r="A312" s="60" t="s">
        <v>516</v>
      </c>
      <c r="B312" s="60" t="s">
        <v>517</v>
      </c>
      <c r="C312" s="34">
        <v>4301011353</v>
      </c>
      <c r="D312" s="769">
        <v>4607091389807</v>
      </c>
      <c r="E312" s="769"/>
      <c r="F312" s="59">
        <v>0.4</v>
      </c>
      <c r="G312" s="35">
        <v>10</v>
      </c>
      <c r="H312" s="59">
        <v>4</v>
      </c>
      <c r="I312" s="59">
        <v>4.21</v>
      </c>
      <c r="J312" s="35">
        <v>132</v>
      </c>
      <c r="K312" s="35" t="s">
        <v>116</v>
      </c>
      <c r="L312" s="35" t="s">
        <v>45</v>
      </c>
      <c r="M312" s="36" t="s">
        <v>110</v>
      </c>
      <c r="N312" s="36"/>
      <c r="O312" s="35">
        <v>55</v>
      </c>
      <c r="P312" s="951" t="str">
        <f>HYPERLINK("https://abi.ru/products/Охлажденные/Стародворье/Царедворская EDLP/EDPP/Вареные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Q312" s="771"/>
      <c r="R312" s="771"/>
      <c r="S312" s="771"/>
      <c r="T312" s="772"/>
      <c r="U312" s="37" t="s">
        <v>45</v>
      </c>
      <c r="V312" s="37" t="s">
        <v>45</v>
      </c>
      <c r="W312" s="38" t="s">
        <v>0</v>
      </c>
      <c r="X312" s="56">
        <v>0</v>
      </c>
      <c r="Y312" s="53">
        <f>IFERROR(IF(X312="",0,CEILING((X312/$H312),1)*$H312),"")</f>
        <v>0</v>
      </c>
      <c r="Z312" s="39" t="str">
        <f>IFERROR(IF(Y312=0,"",ROUNDUP(Y312/H312,0)*0.00902),"")</f>
        <v/>
      </c>
      <c r="AA312" s="65" t="s">
        <v>45</v>
      </c>
      <c r="AB312" s="66" t="s">
        <v>45</v>
      </c>
      <c r="AC312" s="397" t="s">
        <v>518</v>
      </c>
      <c r="AG312" s="75"/>
      <c r="AJ312" s="79" t="s">
        <v>45</v>
      </c>
      <c r="AK312" s="79">
        <v>0</v>
      </c>
      <c r="BB312" s="398" t="s">
        <v>66</v>
      </c>
      <c r="BM312" s="75">
        <f>IFERROR(X312*I312/H312,"0")</f>
        <v>0</v>
      </c>
      <c r="BN312" s="75">
        <f>IFERROR(Y312*I312/H312,"0")</f>
        <v>0</v>
      </c>
      <c r="BO312" s="75">
        <f>IFERROR(1/J312*(X312/H312),"0")</f>
        <v>0</v>
      </c>
      <c r="BP312" s="75">
        <f>IFERROR(1/J312*(Y312/H312),"0")</f>
        <v>0</v>
      </c>
    </row>
    <row r="313" spans="1:68" x14ac:dyDescent="0.2">
      <c r="A313" s="759"/>
      <c r="B313" s="759"/>
      <c r="C313" s="759"/>
      <c r="D313" s="759"/>
      <c r="E313" s="759"/>
      <c r="F313" s="759"/>
      <c r="G313" s="759"/>
      <c r="H313" s="759"/>
      <c r="I313" s="759"/>
      <c r="J313" s="759"/>
      <c r="K313" s="759"/>
      <c r="L313" s="759"/>
      <c r="M313" s="759"/>
      <c r="N313" s="759"/>
      <c r="O313" s="767"/>
      <c r="P313" s="764" t="s">
        <v>40</v>
      </c>
      <c r="Q313" s="765"/>
      <c r="R313" s="765"/>
      <c r="S313" s="765"/>
      <c r="T313" s="765"/>
      <c r="U313" s="765"/>
      <c r="V313" s="766"/>
      <c r="W313" s="40" t="s">
        <v>39</v>
      </c>
      <c r="X313" s="41">
        <f>IFERROR(X312/H312,"0")</f>
        <v>0</v>
      </c>
      <c r="Y313" s="41">
        <f>IFERROR(Y312/H312,"0")</f>
        <v>0</v>
      </c>
      <c r="Z313" s="41">
        <f>IFERROR(IF(Z312="",0,Z312),"0")</f>
        <v>0</v>
      </c>
      <c r="AA313" s="64"/>
      <c r="AB313" s="64"/>
      <c r="AC313" s="64"/>
    </row>
    <row r="314" spans="1:68" x14ac:dyDescent="0.2">
      <c r="A314" s="759"/>
      <c r="B314" s="759"/>
      <c r="C314" s="759"/>
      <c r="D314" s="759"/>
      <c r="E314" s="759"/>
      <c r="F314" s="759"/>
      <c r="G314" s="759"/>
      <c r="H314" s="759"/>
      <c r="I314" s="759"/>
      <c r="J314" s="759"/>
      <c r="K314" s="759"/>
      <c r="L314" s="759"/>
      <c r="M314" s="759"/>
      <c r="N314" s="759"/>
      <c r="O314" s="767"/>
      <c r="P314" s="764" t="s">
        <v>40</v>
      </c>
      <c r="Q314" s="765"/>
      <c r="R314" s="765"/>
      <c r="S314" s="765"/>
      <c r="T314" s="765"/>
      <c r="U314" s="765"/>
      <c r="V314" s="766"/>
      <c r="W314" s="40" t="s">
        <v>0</v>
      </c>
      <c r="X314" s="41">
        <f>IFERROR(SUM(X312:X312),"0")</f>
        <v>0</v>
      </c>
      <c r="Y314" s="41">
        <f>IFERROR(SUM(Y312:Y312),"0")</f>
        <v>0</v>
      </c>
      <c r="Z314" s="40"/>
      <c r="AA314" s="64"/>
      <c r="AB314" s="64"/>
      <c r="AC314" s="64"/>
    </row>
    <row r="315" spans="1:68" ht="14.25" customHeight="1" x14ac:dyDescent="0.25">
      <c r="A315" s="768" t="s">
        <v>164</v>
      </c>
      <c r="B315" s="768"/>
      <c r="C315" s="768"/>
      <c r="D315" s="768"/>
      <c r="E315" s="768"/>
      <c r="F315" s="768"/>
      <c r="G315" s="768"/>
      <c r="H315" s="768"/>
      <c r="I315" s="768"/>
      <c r="J315" s="768"/>
      <c r="K315" s="768"/>
      <c r="L315" s="768"/>
      <c r="M315" s="768"/>
      <c r="N315" s="768"/>
      <c r="O315" s="768"/>
      <c r="P315" s="768"/>
      <c r="Q315" s="768"/>
      <c r="R315" s="768"/>
      <c r="S315" s="768"/>
      <c r="T315" s="768"/>
      <c r="U315" s="768"/>
      <c r="V315" s="768"/>
      <c r="W315" s="768"/>
      <c r="X315" s="768"/>
      <c r="Y315" s="768"/>
      <c r="Z315" s="768"/>
      <c r="AA315" s="63"/>
      <c r="AB315" s="63"/>
      <c r="AC315" s="63"/>
    </row>
    <row r="316" spans="1:68" ht="27" customHeight="1" x14ac:dyDescent="0.25">
      <c r="A316" s="60" t="s">
        <v>519</v>
      </c>
      <c r="B316" s="60" t="s">
        <v>520</v>
      </c>
      <c r="C316" s="34">
        <v>4301031164</v>
      </c>
      <c r="D316" s="769">
        <v>4680115880481</v>
      </c>
      <c r="E316" s="769"/>
      <c r="F316" s="59">
        <v>0.28000000000000003</v>
      </c>
      <c r="G316" s="35">
        <v>6</v>
      </c>
      <c r="H316" s="59">
        <v>1.68</v>
      </c>
      <c r="I316" s="59">
        <v>1.78</v>
      </c>
      <c r="J316" s="35">
        <v>234</v>
      </c>
      <c r="K316" s="35" t="s">
        <v>126</v>
      </c>
      <c r="L316" s="35" t="s">
        <v>45</v>
      </c>
      <c r="M316" s="36" t="s">
        <v>82</v>
      </c>
      <c r="N316" s="36"/>
      <c r="O316" s="35">
        <v>40</v>
      </c>
      <c r="P316" s="952" t="str">
        <f>HYPERLINK("https://abi.ru/products/Охлажденные/Стародворье/Царедворская EDLP/EDPP/Копченые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Q316" s="771"/>
      <c r="R316" s="771"/>
      <c r="S316" s="771"/>
      <c r="T316" s="772"/>
      <c r="U316" s="37" t="s">
        <v>45</v>
      </c>
      <c r="V316" s="37" t="s">
        <v>45</v>
      </c>
      <c r="W316" s="38" t="s">
        <v>0</v>
      </c>
      <c r="X316" s="56">
        <v>0</v>
      </c>
      <c r="Y316" s="53">
        <f>IFERROR(IF(X316="",0,CEILING((X316/$H316),1)*$H316),"")</f>
        <v>0</v>
      </c>
      <c r="Z316" s="39" t="str">
        <f>IFERROR(IF(Y316=0,"",ROUNDUP(Y316/H316,0)*0.00502),"")</f>
        <v/>
      </c>
      <c r="AA316" s="65" t="s">
        <v>45</v>
      </c>
      <c r="AB316" s="66" t="s">
        <v>45</v>
      </c>
      <c r="AC316" s="399" t="s">
        <v>521</v>
      </c>
      <c r="AG316" s="75"/>
      <c r="AJ316" s="79" t="s">
        <v>45</v>
      </c>
      <c r="AK316" s="79">
        <v>0</v>
      </c>
      <c r="BB316" s="400" t="s">
        <v>66</v>
      </c>
      <c r="BM316" s="75">
        <f>IFERROR(X316*I316/H316,"0")</f>
        <v>0</v>
      </c>
      <c r="BN316" s="75">
        <f>IFERROR(Y316*I316/H316,"0")</f>
        <v>0</v>
      </c>
      <c r="BO316" s="75">
        <f>IFERROR(1/J316*(X316/H316),"0")</f>
        <v>0</v>
      </c>
      <c r="BP316" s="75">
        <f>IFERROR(1/J316*(Y316/H316),"0")</f>
        <v>0</v>
      </c>
    </row>
    <row r="317" spans="1:68" x14ac:dyDescent="0.2">
      <c r="A317" s="759"/>
      <c r="B317" s="759"/>
      <c r="C317" s="759"/>
      <c r="D317" s="759"/>
      <c r="E317" s="759"/>
      <c r="F317" s="759"/>
      <c r="G317" s="759"/>
      <c r="H317" s="759"/>
      <c r="I317" s="759"/>
      <c r="J317" s="759"/>
      <c r="K317" s="759"/>
      <c r="L317" s="759"/>
      <c r="M317" s="759"/>
      <c r="N317" s="759"/>
      <c r="O317" s="767"/>
      <c r="P317" s="764" t="s">
        <v>40</v>
      </c>
      <c r="Q317" s="765"/>
      <c r="R317" s="765"/>
      <c r="S317" s="765"/>
      <c r="T317" s="765"/>
      <c r="U317" s="765"/>
      <c r="V317" s="766"/>
      <c r="W317" s="40" t="s">
        <v>39</v>
      </c>
      <c r="X317" s="41">
        <f>IFERROR(X316/H316,"0")</f>
        <v>0</v>
      </c>
      <c r="Y317" s="41">
        <f>IFERROR(Y316/H316,"0")</f>
        <v>0</v>
      </c>
      <c r="Z317" s="41">
        <f>IFERROR(IF(Z316="",0,Z316),"0")</f>
        <v>0</v>
      </c>
      <c r="AA317" s="64"/>
      <c r="AB317" s="64"/>
      <c r="AC317" s="64"/>
    </row>
    <row r="318" spans="1:68" x14ac:dyDescent="0.2">
      <c r="A318" s="759"/>
      <c r="B318" s="759"/>
      <c r="C318" s="759"/>
      <c r="D318" s="759"/>
      <c r="E318" s="759"/>
      <c r="F318" s="759"/>
      <c r="G318" s="759"/>
      <c r="H318" s="759"/>
      <c r="I318" s="759"/>
      <c r="J318" s="759"/>
      <c r="K318" s="759"/>
      <c r="L318" s="759"/>
      <c r="M318" s="759"/>
      <c r="N318" s="759"/>
      <c r="O318" s="767"/>
      <c r="P318" s="764" t="s">
        <v>40</v>
      </c>
      <c r="Q318" s="765"/>
      <c r="R318" s="765"/>
      <c r="S318" s="765"/>
      <c r="T318" s="765"/>
      <c r="U318" s="765"/>
      <c r="V318" s="766"/>
      <c r="W318" s="40" t="s">
        <v>0</v>
      </c>
      <c r="X318" s="41">
        <f>IFERROR(SUM(X316:X316),"0")</f>
        <v>0</v>
      </c>
      <c r="Y318" s="41">
        <f>IFERROR(SUM(Y316:Y316),"0")</f>
        <v>0</v>
      </c>
      <c r="Z318" s="40"/>
      <c r="AA318" s="64"/>
      <c r="AB318" s="64"/>
      <c r="AC318" s="64"/>
    </row>
    <row r="319" spans="1:68" ht="14.25" customHeight="1" x14ac:dyDescent="0.25">
      <c r="A319" s="768" t="s">
        <v>78</v>
      </c>
      <c r="B319" s="768"/>
      <c r="C319" s="768"/>
      <c r="D319" s="768"/>
      <c r="E319" s="768"/>
      <c r="F319" s="768"/>
      <c r="G319" s="768"/>
      <c r="H319" s="768"/>
      <c r="I319" s="768"/>
      <c r="J319" s="768"/>
      <c r="K319" s="768"/>
      <c r="L319" s="768"/>
      <c r="M319" s="768"/>
      <c r="N319" s="768"/>
      <c r="O319" s="768"/>
      <c r="P319" s="768"/>
      <c r="Q319" s="768"/>
      <c r="R319" s="768"/>
      <c r="S319" s="768"/>
      <c r="T319" s="768"/>
      <c r="U319" s="768"/>
      <c r="V319" s="768"/>
      <c r="W319" s="768"/>
      <c r="X319" s="768"/>
      <c r="Y319" s="768"/>
      <c r="Z319" s="768"/>
      <c r="AA319" s="63"/>
      <c r="AB319" s="63"/>
      <c r="AC319" s="63"/>
    </row>
    <row r="320" spans="1:68" ht="27" customHeight="1" x14ac:dyDescent="0.25">
      <c r="A320" s="60" t="s">
        <v>522</v>
      </c>
      <c r="B320" s="60" t="s">
        <v>523</v>
      </c>
      <c r="C320" s="34">
        <v>4301051344</v>
      </c>
      <c r="D320" s="769">
        <v>4680115880412</v>
      </c>
      <c r="E320" s="769"/>
      <c r="F320" s="59">
        <v>0.33</v>
      </c>
      <c r="G320" s="35">
        <v>6</v>
      </c>
      <c r="H320" s="59">
        <v>1.98</v>
      </c>
      <c r="I320" s="59">
        <v>2.226</v>
      </c>
      <c r="J320" s="35">
        <v>182</v>
      </c>
      <c r="K320" s="35" t="s">
        <v>83</v>
      </c>
      <c r="L320" s="35" t="s">
        <v>45</v>
      </c>
      <c r="M320" s="36" t="s">
        <v>106</v>
      </c>
      <c r="N320" s="36"/>
      <c r="O320" s="35">
        <v>45</v>
      </c>
      <c r="P320" s="947" t="str">
        <f>HYPERLINK("https://abi.ru/products/Охлажденные/Стародворье/Царедворская EDLP/EDPP/Сосиски/P003124/","Сосиски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Q320" s="771"/>
      <c r="R320" s="771"/>
      <c r="S320" s="771"/>
      <c r="T320" s="772"/>
      <c r="U320" s="37" t="s">
        <v>45</v>
      </c>
      <c r="V320" s="37" t="s">
        <v>45</v>
      </c>
      <c r="W320" s="38" t="s">
        <v>0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IFERROR(IF(Y320=0,"",ROUNDUP(Y320/H320,0)*0.00651),"")</f>
        <v/>
      </c>
      <c r="AA320" s="65" t="s">
        <v>45</v>
      </c>
      <c r="AB320" s="66" t="s">
        <v>45</v>
      </c>
      <c r="AC320" s="401" t="s">
        <v>524</v>
      </c>
      <c r="AG320" s="75"/>
      <c r="AJ320" s="79" t="s">
        <v>45</v>
      </c>
      <c r="AK320" s="79">
        <v>0</v>
      </c>
      <c r="BB320" s="402" t="s">
        <v>66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customHeight="1" x14ac:dyDescent="0.25">
      <c r="A321" s="60" t="s">
        <v>525</v>
      </c>
      <c r="B321" s="60" t="s">
        <v>526</v>
      </c>
      <c r="C321" s="34">
        <v>4301051277</v>
      </c>
      <c r="D321" s="769">
        <v>4680115880511</v>
      </c>
      <c r="E321" s="769"/>
      <c r="F321" s="59">
        <v>0.33</v>
      </c>
      <c r="G321" s="35">
        <v>6</v>
      </c>
      <c r="H321" s="59">
        <v>1.98</v>
      </c>
      <c r="I321" s="59">
        <v>2.16</v>
      </c>
      <c r="J321" s="35">
        <v>182</v>
      </c>
      <c r="K321" s="35" t="s">
        <v>83</v>
      </c>
      <c r="L321" s="35" t="s">
        <v>45</v>
      </c>
      <c r="M321" s="36" t="s">
        <v>106</v>
      </c>
      <c r="N321" s="36"/>
      <c r="O321" s="35">
        <v>40</v>
      </c>
      <c r="P321" s="948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321" s="771"/>
      <c r="R321" s="771"/>
      <c r="S321" s="771"/>
      <c r="T321" s="772"/>
      <c r="U321" s="37" t="s">
        <v>45</v>
      </c>
      <c r="V321" s="37" t="s">
        <v>45</v>
      </c>
      <c r="W321" s="38" t="s">
        <v>0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IFERROR(IF(Y321=0,"",ROUNDUP(Y321/H321,0)*0.00651),"")</f>
        <v/>
      </c>
      <c r="AA321" s="65" t="s">
        <v>45</v>
      </c>
      <c r="AB321" s="66" t="s">
        <v>45</v>
      </c>
      <c r="AC321" s="403" t="s">
        <v>527</v>
      </c>
      <c r="AG321" s="75"/>
      <c r="AJ321" s="79" t="s">
        <v>45</v>
      </c>
      <c r="AK321" s="79">
        <v>0</v>
      </c>
      <c r="BB321" s="404" t="s">
        <v>66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x14ac:dyDescent="0.2">
      <c r="A322" s="759"/>
      <c r="B322" s="759"/>
      <c r="C322" s="759"/>
      <c r="D322" s="759"/>
      <c r="E322" s="759"/>
      <c r="F322" s="759"/>
      <c r="G322" s="759"/>
      <c r="H322" s="759"/>
      <c r="I322" s="759"/>
      <c r="J322" s="759"/>
      <c r="K322" s="759"/>
      <c r="L322" s="759"/>
      <c r="M322" s="759"/>
      <c r="N322" s="759"/>
      <c r="O322" s="767"/>
      <c r="P322" s="764" t="s">
        <v>40</v>
      </c>
      <c r="Q322" s="765"/>
      <c r="R322" s="765"/>
      <c r="S322" s="765"/>
      <c r="T322" s="765"/>
      <c r="U322" s="765"/>
      <c r="V322" s="766"/>
      <c r="W322" s="40" t="s">
        <v>39</v>
      </c>
      <c r="X322" s="41">
        <f>IFERROR(X320/H320,"0")+IFERROR(X321/H321,"0")</f>
        <v>0</v>
      </c>
      <c r="Y322" s="41">
        <f>IFERROR(Y320/H320,"0")+IFERROR(Y321/H321,"0")</f>
        <v>0</v>
      </c>
      <c r="Z322" s="41">
        <f>IFERROR(IF(Z320="",0,Z320),"0")+IFERROR(IF(Z321="",0,Z321),"0")</f>
        <v>0</v>
      </c>
      <c r="AA322" s="64"/>
      <c r="AB322" s="64"/>
      <c r="AC322" s="64"/>
    </row>
    <row r="323" spans="1:68" x14ac:dyDescent="0.2">
      <c r="A323" s="759"/>
      <c r="B323" s="759"/>
      <c r="C323" s="759"/>
      <c r="D323" s="759"/>
      <c r="E323" s="759"/>
      <c r="F323" s="759"/>
      <c r="G323" s="759"/>
      <c r="H323" s="759"/>
      <c r="I323" s="759"/>
      <c r="J323" s="759"/>
      <c r="K323" s="759"/>
      <c r="L323" s="759"/>
      <c r="M323" s="759"/>
      <c r="N323" s="759"/>
      <c r="O323" s="767"/>
      <c r="P323" s="764" t="s">
        <v>40</v>
      </c>
      <c r="Q323" s="765"/>
      <c r="R323" s="765"/>
      <c r="S323" s="765"/>
      <c r="T323" s="765"/>
      <c r="U323" s="765"/>
      <c r="V323" s="766"/>
      <c r="W323" s="40" t="s">
        <v>0</v>
      </c>
      <c r="X323" s="41">
        <f>IFERROR(SUM(X320:X321),"0")</f>
        <v>0</v>
      </c>
      <c r="Y323" s="41">
        <f>IFERROR(SUM(Y320:Y321),"0")</f>
        <v>0</v>
      </c>
      <c r="Z323" s="40"/>
      <c r="AA323" s="64"/>
      <c r="AB323" s="64"/>
      <c r="AC323" s="64"/>
    </row>
    <row r="324" spans="1:68" ht="16.5" customHeight="1" x14ac:dyDescent="0.25">
      <c r="A324" s="776" t="s">
        <v>528</v>
      </c>
      <c r="B324" s="776"/>
      <c r="C324" s="776"/>
      <c r="D324" s="776"/>
      <c r="E324" s="776"/>
      <c r="F324" s="776"/>
      <c r="G324" s="776"/>
      <c r="H324" s="776"/>
      <c r="I324" s="776"/>
      <c r="J324" s="776"/>
      <c r="K324" s="776"/>
      <c r="L324" s="776"/>
      <c r="M324" s="776"/>
      <c r="N324" s="776"/>
      <c r="O324" s="776"/>
      <c r="P324" s="776"/>
      <c r="Q324" s="776"/>
      <c r="R324" s="776"/>
      <c r="S324" s="776"/>
      <c r="T324" s="776"/>
      <c r="U324" s="776"/>
      <c r="V324" s="776"/>
      <c r="W324" s="776"/>
      <c r="X324" s="776"/>
      <c r="Y324" s="776"/>
      <c r="Z324" s="776"/>
      <c r="AA324" s="62"/>
      <c r="AB324" s="62"/>
      <c r="AC324" s="62"/>
    </row>
    <row r="325" spans="1:68" ht="14.25" customHeight="1" x14ac:dyDescent="0.25">
      <c r="A325" s="768" t="s">
        <v>101</v>
      </c>
      <c r="B325" s="768"/>
      <c r="C325" s="768"/>
      <c r="D325" s="768"/>
      <c r="E325" s="768"/>
      <c r="F325" s="768"/>
      <c r="G325" s="768"/>
      <c r="H325" s="768"/>
      <c r="I325" s="768"/>
      <c r="J325" s="768"/>
      <c r="K325" s="768"/>
      <c r="L325" s="768"/>
      <c r="M325" s="768"/>
      <c r="N325" s="768"/>
      <c r="O325" s="768"/>
      <c r="P325" s="768"/>
      <c r="Q325" s="768"/>
      <c r="R325" s="768"/>
      <c r="S325" s="768"/>
      <c r="T325" s="768"/>
      <c r="U325" s="768"/>
      <c r="V325" s="768"/>
      <c r="W325" s="768"/>
      <c r="X325" s="768"/>
      <c r="Y325" s="768"/>
      <c r="Z325" s="768"/>
      <c r="AA325" s="63"/>
      <c r="AB325" s="63"/>
      <c r="AC325" s="63"/>
    </row>
    <row r="326" spans="1:68" ht="27" customHeight="1" x14ac:dyDescent="0.25">
      <c r="A326" s="60" t="s">
        <v>529</v>
      </c>
      <c r="B326" s="60" t="s">
        <v>530</v>
      </c>
      <c r="C326" s="34">
        <v>4301011593</v>
      </c>
      <c r="D326" s="769">
        <v>4680115882973</v>
      </c>
      <c r="E326" s="769"/>
      <c r="F326" s="59">
        <v>0.7</v>
      </c>
      <c r="G326" s="35">
        <v>6</v>
      </c>
      <c r="H326" s="59">
        <v>4.2</v>
      </c>
      <c r="I326" s="59">
        <v>4.5599999999999996</v>
      </c>
      <c r="J326" s="35">
        <v>104</v>
      </c>
      <c r="K326" s="35" t="s">
        <v>107</v>
      </c>
      <c r="L326" s="35" t="s">
        <v>45</v>
      </c>
      <c r="M326" s="36" t="s">
        <v>110</v>
      </c>
      <c r="N326" s="36"/>
      <c r="O326" s="35">
        <v>55</v>
      </c>
      <c r="P326" s="949" t="str">
        <f>HYPERLINK("https://abi.ru/products/Охлажденные/Стародворье/Филедворская EDLP/EDPP/Вареные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Q326" s="771"/>
      <c r="R326" s="771"/>
      <c r="S326" s="771"/>
      <c r="T326" s="772"/>
      <c r="U326" s="37" t="s">
        <v>45</v>
      </c>
      <c r="V326" s="37" t="s">
        <v>45</v>
      </c>
      <c r="W326" s="38" t="s">
        <v>0</v>
      </c>
      <c r="X326" s="56">
        <v>0</v>
      </c>
      <c r="Y326" s="53">
        <f>IFERROR(IF(X326="",0,CEILING((X326/$H326),1)*$H326),"")</f>
        <v>0</v>
      </c>
      <c r="Z326" s="39" t="str">
        <f>IFERROR(IF(Y326=0,"",ROUNDUP(Y326/H326,0)*0.01196),"")</f>
        <v/>
      </c>
      <c r="AA326" s="65" t="s">
        <v>45</v>
      </c>
      <c r="AB326" s="66" t="s">
        <v>45</v>
      </c>
      <c r="AC326" s="405" t="s">
        <v>414</v>
      </c>
      <c r="AG326" s="75"/>
      <c r="AJ326" s="79" t="s">
        <v>45</v>
      </c>
      <c r="AK326" s="79">
        <v>0</v>
      </c>
      <c r="BB326" s="406" t="s">
        <v>66</v>
      </c>
      <c r="BM326" s="75">
        <f>IFERROR(X326*I326/H326,"0")</f>
        <v>0</v>
      </c>
      <c r="BN326" s="75">
        <f>IFERROR(Y326*I326/H326,"0")</f>
        <v>0</v>
      </c>
      <c r="BO326" s="75">
        <f>IFERROR(1/J326*(X326/H326),"0")</f>
        <v>0</v>
      </c>
      <c r="BP326" s="75">
        <f>IFERROR(1/J326*(Y326/H326),"0")</f>
        <v>0</v>
      </c>
    </row>
    <row r="327" spans="1:68" ht="27" customHeight="1" x14ac:dyDescent="0.25">
      <c r="A327" s="60" t="s">
        <v>531</v>
      </c>
      <c r="B327" s="60" t="s">
        <v>532</v>
      </c>
      <c r="C327" s="34">
        <v>4301011594</v>
      </c>
      <c r="D327" s="769">
        <v>4680115883413</v>
      </c>
      <c r="E327" s="769"/>
      <c r="F327" s="59">
        <v>0.37</v>
      </c>
      <c r="G327" s="35">
        <v>10</v>
      </c>
      <c r="H327" s="59">
        <v>3.7</v>
      </c>
      <c r="I327" s="59">
        <v>3.91</v>
      </c>
      <c r="J327" s="35">
        <v>132</v>
      </c>
      <c r="K327" s="35" t="s">
        <v>116</v>
      </c>
      <c r="L327" s="35" t="s">
        <v>45</v>
      </c>
      <c r="M327" s="36" t="s">
        <v>110</v>
      </c>
      <c r="N327" s="36"/>
      <c r="O327" s="35">
        <v>55</v>
      </c>
      <c r="P327" s="950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27" s="771"/>
      <c r="R327" s="771"/>
      <c r="S327" s="771"/>
      <c r="T327" s="772"/>
      <c r="U327" s="37" t="s">
        <v>45</v>
      </c>
      <c r="V327" s="37" t="s">
        <v>45</v>
      </c>
      <c r="W327" s="38" t="s">
        <v>0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IFERROR(IF(Y327=0,"",ROUNDUP(Y327/H327,0)*0.00902),"")</f>
        <v/>
      </c>
      <c r="AA327" s="65" t="s">
        <v>45</v>
      </c>
      <c r="AB327" s="66" t="s">
        <v>45</v>
      </c>
      <c r="AC327" s="407" t="s">
        <v>414</v>
      </c>
      <c r="AG327" s="75"/>
      <c r="AJ327" s="79" t="s">
        <v>45</v>
      </c>
      <c r="AK327" s="79">
        <v>0</v>
      </c>
      <c r="BB327" s="408" t="s">
        <v>66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x14ac:dyDescent="0.2">
      <c r="A328" s="759"/>
      <c r="B328" s="759"/>
      <c r="C328" s="759"/>
      <c r="D328" s="759"/>
      <c r="E328" s="759"/>
      <c r="F328" s="759"/>
      <c r="G328" s="759"/>
      <c r="H328" s="759"/>
      <c r="I328" s="759"/>
      <c r="J328" s="759"/>
      <c r="K328" s="759"/>
      <c r="L328" s="759"/>
      <c r="M328" s="759"/>
      <c r="N328" s="759"/>
      <c r="O328" s="767"/>
      <c r="P328" s="764" t="s">
        <v>40</v>
      </c>
      <c r="Q328" s="765"/>
      <c r="R328" s="765"/>
      <c r="S328" s="765"/>
      <c r="T328" s="765"/>
      <c r="U328" s="765"/>
      <c r="V328" s="766"/>
      <c r="W328" s="40" t="s">
        <v>39</v>
      </c>
      <c r="X328" s="41">
        <f>IFERROR(X326/H326,"0")+IFERROR(X327/H327,"0")</f>
        <v>0</v>
      </c>
      <c r="Y328" s="41">
        <f>IFERROR(Y326/H326,"0")+IFERROR(Y327/H327,"0")</f>
        <v>0</v>
      </c>
      <c r="Z328" s="41">
        <f>IFERROR(IF(Z326="",0,Z326),"0")+IFERROR(IF(Z327="",0,Z327),"0")</f>
        <v>0</v>
      </c>
      <c r="AA328" s="64"/>
      <c r="AB328" s="64"/>
      <c r="AC328" s="64"/>
    </row>
    <row r="329" spans="1:68" x14ac:dyDescent="0.2">
      <c r="A329" s="759"/>
      <c r="B329" s="759"/>
      <c r="C329" s="759"/>
      <c r="D329" s="759"/>
      <c r="E329" s="759"/>
      <c r="F329" s="759"/>
      <c r="G329" s="759"/>
      <c r="H329" s="759"/>
      <c r="I329" s="759"/>
      <c r="J329" s="759"/>
      <c r="K329" s="759"/>
      <c r="L329" s="759"/>
      <c r="M329" s="759"/>
      <c r="N329" s="759"/>
      <c r="O329" s="767"/>
      <c r="P329" s="764" t="s">
        <v>40</v>
      </c>
      <c r="Q329" s="765"/>
      <c r="R329" s="765"/>
      <c r="S329" s="765"/>
      <c r="T329" s="765"/>
      <c r="U329" s="765"/>
      <c r="V329" s="766"/>
      <c r="W329" s="40" t="s">
        <v>0</v>
      </c>
      <c r="X329" s="41">
        <f>IFERROR(SUM(X326:X327),"0")</f>
        <v>0</v>
      </c>
      <c r="Y329" s="41">
        <f>IFERROR(SUM(Y326:Y327),"0")</f>
        <v>0</v>
      </c>
      <c r="Z329" s="40"/>
      <c r="AA329" s="64"/>
      <c r="AB329" s="64"/>
      <c r="AC329" s="64"/>
    </row>
    <row r="330" spans="1:68" ht="14.25" customHeight="1" x14ac:dyDescent="0.25">
      <c r="A330" s="768" t="s">
        <v>164</v>
      </c>
      <c r="B330" s="768"/>
      <c r="C330" s="768"/>
      <c r="D330" s="768"/>
      <c r="E330" s="768"/>
      <c r="F330" s="768"/>
      <c r="G330" s="768"/>
      <c r="H330" s="768"/>
      <c r="I330" s="768"/>
      <c r="J330" s="768"/>
      <c r="K330" s="768"/>
      <c r="L330" s="768"/>
      <c r="M330" s="768"/>
      <c r="N330" s="768"/>
      <c r="O330" s="768"/>
      <c r="P330" s="768"/>
      <c r="Q330" s="768"/>
      <c r="R330" s="768"/>
      <c r="S330" s="768"/>
      <c r="T330" s="768"/>
      <c r="U330" s="768"/>
      <c r="V330" s="768"/>
      <c r="W330" s="768"/>
      <c r="X330" s="768"/>
      <c r="Y330" s="768"/>
      <c r="Z330" s="768"/>
      <c r="AA330" s="63"/>
      <c r="AB330" s="63"/>
      <c r="AC330" s="63"/>
    </row>
    <row r="331" spans="1:68" ht="27" customHeight="1" x14ac:dyDescent="0.25">
      <c r="A331" s="60" t="s">
        <v>533</v>
      </c>
      <c r="B331" s="60" t="s">
        <v>534</v>
      </c>
      <c r="C331" s="34">
        <v>4301031305</v>
      </c>
      <c r="D331" s="769">
        <v>4607091389845</v>
      </c>
      <c r="E331" s="769"/>
      <c r="F331" s="59">
        <v>0.35</v>
      </c>
      <c r="G331" s="35">
        <v>6</v>
      </c>
      <c r="H331" s="59">
        <v>2.1</v>
      </c>
      <c r="I331" s="59">
        <v>2.2000000000000002</v>
      </c>
      <c r="J331" s="35">
        <v>234</v>
      </c>
      <c r="K331" s="35" t="s">
        <v>126</v>
      </c>
      <c r="L331" s="35" t="s">
        <v>45</v>
      </c>
      <c r="M331" s="36" t="s">
        <v>82</v>
      </c>
      <c r="N331" s="36"/>
      <c r="O331" s="35">
        <v>40</v>
      </c>
      <c r="P331" s="943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31" s="771"/>
      <c r="R331" s="771"/>
      <c r="S331" s="771"/>
      <c r="T331" s="772"/>
      <c r="U331" s="37" t="s">
        <v>45</v>
      </c>
      <c r="V331" s="37" t="s">
        <v>45</v>
      </c>
      <c r="W331" s="38" t="s">
        <v>0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IFERROR(IF(Y331=0,"",ROUNDUP(Y331/H331,0)*0.00502),"")</f>
        <v/>
      </c>
      <c r="AA331" s="65" t="s">
        <v>45</v>
      </c>
      <c r="AB331" s="66" t="s">
        <v>45</v>
      </c>
      <c r="AC331" s="409" t="s">
        <v>535</v>
      </c>
      <c r="AG331" s="75"/>
      <c r="AJ331" s="79" t="s">
        <v>45</v>
      </c>
      <c r="AK331" s="79">
        <v>0</v>
      </c>
      <c r="BB331" s="410" t="s">
        <v>66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t="27" customHeight="1" x14ac:dyDescent="0.25">
      <c r="A332" s="60" t="s">
        <v>536</v>
      </c>
      <c r="B332" s="60" t="s">
        <v>537</v>
      </c>
      <c r="C332" s="34">
        <v>4301031306</v>
      </c>
      <c r="D332" s="769">
        <v>4680115882881</v>
      </c>
      <c r="E332" s="769"/>
      <c r="F332" s="59">
        <v>0.28000000000000003</v>
      </c>
      <c r="G332" s="35">
        <v>6</v>
      </c>
      <c r="H332" s="59">
        <v>1.68</v>
      </c>
      <c r="I332" s="59">
        <v>1.81</v>
      </c>
      <c r="J332" s="35">
        <v>234</v>
      </c>
      <c r="K332" s="35" t="s">
        <v>126</v>
      </c>
      <c r="L332" s="35" t="s">
        <v>45</v>
      </c>
      <c r="M332" s="36" t="s">
        <v>82</v>
      </c>
      <c r="N332" s="36"/>
      <c r="O332" s="35">
        <v>40</v>
      </c>
      <c r="P332" s="944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32" s="771"/>
      <c r="R332" s="771"/>
      <c r="S332" s="771"/>
      <c r="T332" s="772"/>
      <c r="U332" s="37" t="s">
        <v>45</v>
      </c>
      <c r="V332" s="37" t="s">
        <v>45</v>
      </c>
      <c r="W332" s="38" t="s">
        <v>0</v>
      </c>
      <c r="X332" s="56">
        <v>0</v>
      </c>
      <c r="Y332" s="53">
        <f>IFERROR(IF(X332="",0,CEILING((X332/$H332),1)*$H332),"")</f>
        <v>0</v>
      </c>
      <c r="Z332" s="39" t="str">
        <f>IFERROR(IF(Y332=0,"",ROUNDUP(Y332/H332,0)*0.00502),"")</f>
        <v/>
      </c>
      <c r="AA332" s="65" t="s">
        <v>45</v>
      </c>
      <c r="AB332" s="66" t="s">
        <v>45</v>
      </c>
      <c r="AC332" s="411" t="s">
        <v>535</v>
      </c>
      <c r="AG332" s="75"/>
      <c r="AJ332" s="79" t="s">
        <v>45</v>
      </c>
      <c r="AK332" s="79">
        <v>0</v>
      </c>
      <c r="BB332" s="412" t="s">
        <v>66</v>
      </c>
      <c r="BM332" s="75">
        <f>IFERROR(X332*I332/H332,"0")</f>
        <v>0</v>
      </c>
      <c r="BN332" s="75">
        <f>IFERROR(Y332*I332/H332,"0")</f>
        <v>0</v>
      </c>
      <c r="BO332" s="75">
        <f>IFERROR(1/J332*(X332/H332),"0")</f>
        <v>0</v>
      </c>
      <c r="BP332" s="75">
        <f>IFERROR(1/J332*(Y332/H332),"0")</f>
        <v>0</v>
      </c>
    </row>
    <row r="333" spans="1:68" x14ac:dyDescent="0.2">
      <c r="A333" s="759"/>
      <c r="B333" s="759"/>
      <c r="C333" s="759"/>
      <c r="D333" s="759"/>
      <c r="E333" s="759"/>
      <c r="F333" s="759"/>
      <c r="G333" s="759"/>
      <c r="H333" s="759"/>
      <c r="I333" s="759"/>
      <c r="J333" s="759"/>
      <c r="K333" s="759"/>
      <c r="L333" s="759"/>
      <c r="M333" s="759"/>
      <c r="N333" s="759"/>
      <c r="O333" s="767"/>
      <c r="P333" s="764" t="s">
        <v>40</v>
      </c>
      <c r="Q333" s="765"/>
      <c r="R333" s="765"/>
      <c r="S333" s="765"/>
      <c r="T333" s="765"/>
      <c r="U333" s="765"/>
      <c r="V333" s="766"/>
      <c r="W333" s="40" t="s">
        <v>39</v>
      </c>
      <c r="X333" s="41">
        <f>IFERROR(X331/H331,"0")+IFERROR(X332/H332,"0")</f>
        <v>0</v>
      </c>
      <c r="Y333" s="41">
        <f>IFERROR(Y331/H331,"0")+IFERROR(Y332/H332,"0")</f>
        <v>0</v>
      </c>
      <c r="Z333" s="41">
        <f>IFERROR(IF(Z331="",0,Z331),"0")+IFERROR(IF(Z332="",0,Z332),"0")</f>
        <v>0</v>
      </c>
      <c r="AA333" s="64"/>
      <c r="AB333" s="64"/>
      <c r="AC333" s="64"/>
    </row>
    <row r="334" spans="1:68" x14ac:dyDescent="0.2">
      <c r="A334" s="759"/>
      <c r="B334" s="759"/>
      <c r="C334" s="759"/>
      <c r="D334" s="759"/>
      <c r="E334" s="759"/>
      <c r="F334" s="759"/>
      <c r="G334" s="759"/>
      <c r="H334" s="759"/>
      <c r="I334" s="759"/>
      <c r="J334" s="759"/>
      <c r="K334" s="759"/>
      <c r="L334" s="759"/>
      <c r="M334" s="759"/>
      <c r="N334" s="759"/>
      <c r="O334" s="767"/>
      <c r="P334" s="764" t="s">
        <v>40</v>
      </c>
      <c r="Q334" s="765"/>
      <c r="R334" s="765"/>
      <c r="S334" s="765"/>
      <c r="T334" s="765"/>
      <c r="U334" s="765"/>
      <c r="V334" s="766"/>
      <c r="W334" s="40" t="s">
        <v>0</v>
      </c>
      <c r="X334" s="41">
        <f>IFERROR(SUM(X331:X332),"0")</f>
        <v>0</v>
      </c>
      <c r="Y334" s="41">
        <f>IFERROR(SUM(Y331:Y332),"0")</f>
        <v>0</v>
      </c>
      <c r="Z334" s="40"/>
      <c r="AA334" s="64"/>
      <c r="AB334" s="64"/>
      <c r="AC334" s="64"/>
    </row>
    <row r="335" spans="1:68" ht="14.25" customHeight="1" x14ac:dyDescent="0.25">
      <c r="A335" s="768" t="s">
        <v>78</v>
      </c>
      <c r="B335" s="768"/>
      <c r="C335" s="768"/>
      <c r="D335" s="768"/>
      <c r="E335" s="768"/>
      <c r="F335" s="768"/>
      <c r="G335" s="768"/>
      <c r="H335" s="768"/>
      <c r="I335" s="768"/>
      <c r="J335" s="768"/>
      <c r="K335" s="768"/>
      <c r="L335" s="768"/>
      <c r="M335" s="768"/>
      <c r="N335" s="768"/>
      <c r="O335" s="768"/>
      <c r="P335" s="768"/>
      <c r="Q335" s="768"/>
      <c r="R335" s="768"/>
      <c r="S335" s="768"/>
      <c r="T335" s="768"/>
      <c r="U335" s="768"/>
      <c r="V335" s="768"/>
      <c r="W335" s="768"/>
      <c r="X335" s="768"/>
      <c r="Y335" s="768"/>
      <c r="Z335" s="768"/>
      <c r="AA335" s="63"/>
      <c r="AB335" s="63"/>
      <c r="AC335" s="63"/>
    </row>
    <row r="336" spans="1:68" ht="37.5" customHeight="1" x14ac:dyDescent="0.25">
      <c r="A336" s="60" t="s">
        <v>538</v>
      </c>
      <c r="B336" s="60" t="s">
        <v>539</v>
      </c>
      <c r="C336" s="34">
        <v>4301051517</v>
      </c>
      <c r="D336" s="769">
        <v>4680115883390</v>
      </c>
      <c r="E336" s="769"/>
      <c r="F336" s="59">
        <v>0.3</v>
      </c>
      <c r="G336" s="35">
        <v>6</v>
      </c>
      <c r="H336" s="59">
        <v>1.8</v>
      </c>
      <c r="I336" s="59">
        <v>1.98</v>
      </c>
      <c r="J336" s="35">
        <v>182</v>
      </c>
      <c r="K336" s="35" t="s">
        <v>83</v>
      </c>
      <c r="L336" s="35" t="s">
        <v>45</v>
      </c>
      <c r="M336" s="36" t="s">
        <v>82</v>
      </c>
      <c r="N336" s="36"/>
      <c r="O336" s="35">
        <v>40</v>
      </c>
      <c r="P336" s="945" t="str">
        <f>HYPERLINK("https://abi.ru/products/Охлажденные/Стародворье/Филедворская EDLP/EDPP/Сосиски/P003606/","Сосиски «Филедворские по-баварски» ф/в 0,3 п/а ТМ «Стародворье»")</f>
        <v>Сосиски «Филедворские по-баварски» ф/в 0,3 п/а ТМ «Стародворье»</v>
      </c>
      <c r="Q336" s="771"/>
      <c r="R336" s="771"/>
      <c r="S336" s="771"/>
      <c r="T336" s="772"/>
      <c r="U336" s="37" t="s">
        <v>45</v>
      </c>
      <c r="V336" s="37" t="s">
        <v>45</v>
      </c>
      <c r="W336" s="38" t="s">
        <v>0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IFERROR(IF(Y336=0,"",ROUNDUP(Y336/H336,0)*0.00651),"")</f>
        <v/>
      </c>
      <c r="AA336" s="65" t="s">
        <v>45</v>
      </c>
      <c r="AB336" s="66" t="s">
        <v>45</v>
      </c>
      <c r="AC336" s="413" t="s">
        <v>540</v>
      </c>
      <c r="AG336" s="75"/>
      <c r="AJ336" s="79" t="s">
        <v>45</v>
      </c>
      <c r="AK336" s="79">
        <v>0</v>
      </c>
      <c r="BB336" s="414" t="s">
        <v>66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x14ac:dyDescent="0.2">
      <c r="A337" s="759"/>
      <c r="B337" s="759"/>
      <c r="C337" s="759"/>
      <c r="D337" s="759"/>
      <c r="E337" s="759"/>
      <c r="F337" s="759"/>
      <c r="G337" s="759"/>
      <c r="H337" s="759"/>
      <c r="I337" s="759"/>
      <c r="J337" s="759"/>
      <c r="K337" s="759"/>
      <c r="L337" s="759"/>
      <c r="M337" s="759"/>
      <c r="N337" s="759"/>
      <c r="O337" s="767"/>
      <c r="P337" s="764" t="s">
        <v>40</v>
      </c>
      <c r="Q337" s="765"/>
      <c r="R337" s="765"/>
      <c r="S337" s="765"/>
      <c r="T337" s="765"/>
      <c r="U337" s="765"/>
      <c r="V337" s="766"/>
      <c r="W337" s="40" t="s">
        <v>39</v>
      </c>
      <c r="X337" s="41">
        <f>IFERROR(X336/H336,"0")</f>
        <v>0</v>
      </c>
      <c r="Y337" s="41">
        <f>IFERROR(Y336/H336,"0")</f>
        <v>0</v>
      </c>
      <c r="Z337" s="41">
        <f>IFERROR(IF(Z336="",0,Z336),"0")</f>
        <v>0</v>
      </c>
      <c r="AA337" s="64"/>
      <c r="AB337" s="64"/>
      <c r="AC337" s="64"/>
    </row>
    <row r="338" spans="1:68" x14ac:dyDescent="0.2">
      <c r="A338" s="759"/>
      <c r="B338" s="759"/>
      <c r="C338" s="759"/>
      <c r="D338" s="759"/>
      <c r="E338" s="759"/>
      <c r="F338" s="759"/>
      <c r="G338" s="759"/>
      <c r="H338" s="759"/>
      <c r="I338" s="759"/>
      <c r="J338" s="759"/>
      <c r="K338" s="759"/>
      <c r="L338" s="759"/>
      <c r="M338" s="759"/>
      <c r="N338" s="759"/>
      <c r="O338" s="767"/>
      <c r="P338" s="764" t="s">
        <v>40</v>
      </c>
      <c r="Q338" s="765"/>
      <c r="R338" s="765"/>
      <c r="S338" s="765"/>
      <c r="T338" s="765"/>
      <c r="U338" s="765"/>
      <c r="V338" s="766"/>
      <c r="W338" s="40" t="s">
        <v>0</v>
      </c>
      <c r="X338" s="41">
        <f>IFERROR(SUM(X336:X336),"0")</f>
        <v>0</v>
      </c>
      <c r="Y338" s="41">
        <f>IFERROR(SUM(Y336:Y336),"0")</f>
        <v>0</v>
      </c>
      <c r="Z338" s="40"/>
      <c r="AA338" s="64"/>
      <c r="AB338" s="64"/>
      <c r="AC338" s="64"/>
    </row>
    <row r="339" spans="1:68" ht="16.5" customHeight="1" x14ac:dyDescent="0.25">
      <c r="A339" s="776" t="s">
        <v>541</v>
      </c>
      <c r="B339" s="776"/>
      <c r="C339" s="776"/>
      <c r="D339" s="776"/>
      <c r="E339" s="776"/>
      <c r="F339" s="776"/>
      <c r="G339" s="776"/>
      <c r="H339" s="776"/>
      <c r="I339" s="776"/>
      <c r="J339" s="776"/>
      <c r="K339" s="776"/>
      <c r="L339" s="776"/>
      <c r="M339" s="776"/>
      <c r="N339" s="776"/>
      <c r="O339" s="776"/>
      <c r="P339" s="776"/>
      <c r="Q339" s="776"/>
      <c r="R339" s="776"/>
      <c r="S339" s="776"/>
      <c r="T339" s="776"/>
      <c r="U339" s="776"/>
      <c r="V339" s="776"/>
      <c r="W339" s="776"/>
      <c r="X339" s="776"/>
      <c r="Y339" s="776"/>
      <c r="Z339" s="776"/>
      <c r="AA339" s="62"/>
      <c r="AB339" s="62"/>
      <c r="AC339" s="62"/>
    </row>
    <row r="340" spans="1:68" ht="14.25" customHeight="1" x14ac:dyDescent="0.25">
      <c r="A340" s="768" t="s">
        <v>101</v>
      </c>
      <c r="B340" s="768"/>
      <c r="C340" s="768"/>
      <c r="D340" s="768"/>
      <c r="E340" s="768"/>
      <c r="F340" s="768"/>
      <c r="G340" s="768"/>
      <c r="H340" s="768"/>
      <c r="I340" s="768"/>
      <c r="J340" s="768"/>
      <c r="K340" s="768"/>
      <c r="L340" s="768"/>
      <c r="M340" s="768"/>
      <c r="N340" s="768"/>
      <c r="O340" s="768"/>
      <c r="P340" s="768"/>
      <c r="Q340" s="768"/>
      <c r="R340" s="768"/>
      <c r="S340" s="768"/>
      <c r="T340" s="768"/>
      <c r="U340" s="768"/>
      <c r="V340" s="768"/>
      <c r="W340" s="768"/>
      <c r="X340" s="768"/>
      <c r="Y340" s="768"/>
      <c r="Z340" s="768"/>
      <c r="AA340" s="63"/>
      <c r="AB340" s="63"/>
      <c r="AC340" s="63"/>
    </row>
    <row r="341" spans="1:68" ht="16.5" customHeight="1" x14ac:dyDescent="0.25">
      <c r="A341" s="60" t="s">
        <v>542</v>
      </c>
      <c r="B341" s="60" t="s">
        <v>543</v>
      </c>
      <c r="C341" s="34">
        <v>4301011728</v>
      </c>
      <c r="D341" s="769">
        <v>4680115885141</v>
      </c>
      <c r="E341" s="769"/>
      <c r="F341" s="59">
        <v>0.25</v>
      </c>
      <c r="G341" s="35">
        <v>8</v>
      </c>
      <c r="H341" s="59">
        <v>2</v>
      </c>
      <c r="I341" s="59">
        <v>2.1</v>
      </c>
      <c r="J341" s="35">
        <v>234</v>
      </c>
      <c r="K341" s="35" t="s">
        <v>126</v>
      </c>
      <c r="L341" s="35" t="s">
        <v>45</v>
      </c>
      <c r="M341" s="36" t="s">
        <v>106</v>
      </c>
      <c r="N341" s="36"/>
      <c r="O341" s="35">
        <v>55</v>
      </c>
      <c r="P341" s="946" t="str">
        <f>HYPERLINK("https://abi.ru/products/Охлажденные/Стародворье/Мясинская/Вареные колбасы/P003938/","Вареные колбасы «Мясинская» ф/в 0,25 полиамид ТМ «Стародворье»")</f>
        <v>Вареные колбасы «Мясинская» ф/в 0,25 полиамид ТМ «Стародворье»</v>
      </c>
      <c r="Q341" s="771"/>
      <c r="R341" s="771"/>
      <c r="S341" s="771"/>
      <c r="T341" s="772"/>
      <c r="U341" s="37" t="s">
        <v>45</v>
      </c>
      <c r="V341" s="37" t="s">
        <v>45</v>
      </c>
      <c r="W341" s="38" t="s">
        <v>0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IFERROR(IF(Y341=0,"",ROUNDUP(Y341/H341,0)*0.00502),"")</f>
        <v/>
      </c>
      <c r="AA341" s="65" t="s">
        <v>45</v>
      </c>
      <c r="AB341" s="66" t="s">
        <v>45</v>
      </c>
      <c r="AC341" s="415" t="s">
        <v>544</v>
      </c>
      <c r="AG341" s="75"/>
      <c r="AJ341" s="79" t="s">
        <v>45</v>
      </c>
      <c r="AK341" s="79">
        <v>0</v>
      </c>
      <c r="BB341" s="416" t="s">
        <v>66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x14ac:dyDescent="0.2">
      <c r="A342" s="759"/>
      <c r="B342" s="759"/>
      <c r="C342" s="759"/>
      <c r="D342" s="759"/>
      <c r="E342" s="759"/>
      <c r="F342" s="759"/>
      <c r="G342" s="759"/>
      <c r="H342" s="759"/>
      <c r="I342" s="759"/>
      <c r="J342" s="759"/>
      <c r="K342" s="759"/>
      <c r="L342" s="759"/>
      <c r="M342" s="759"/>
      <c r="N342" s="759"/>
      <c r="O342" s="767"/>
      <c r="P342" s="764" t="s">
        <v>40</v>
      </c>
      <c r="Q342" s="765"/>
      <c r="R342" s="765"/>
      <c r="S342" s="765"/>
      <c r="T342" s="765"/>
      <c r="U342" s="765"/>
      <c r="V342" s="766"/>
      <c r="W342" s="40" t="s">
        <v>39</v>
      </c>
      <c r="X342" s="41">
        <f>IFERROR(X341/H341,"0")</f>
        <v>0</v>
      </c>
      <c r="Y342" s="41">
        <f>IFERROR(Y341/H341,"0")</f>
        <v>0</v>
      </c>
      <c r="Z342" s="41">
        <f>IFERROR(IF(Z341="",0,Z341),"0")</f>
        <v>0</v>
      </c>
      <c r="AA342" s="64"/>
      <c r="AB342" s="64"/>
      <c r="AC342" s="64"/>
    </row>
    <row r="343" spans="1:68" x14ac:dyDescent="0.2">
      <c r="A343" s="759"/>
      <c r="B343" s="759"/>
      <c r="C343" s="759"/>
      <c r="D343" s="759"/>
      <c r="E343" s="759"/>
      <c r="F343" s="759"/>
      <c r="G343" s="759"/>
      <c r="H343" s="759"/>
      <c r="I343" s="759"/>
      <c r="J343" s="759"/>
      <c r="K343" s="759"/>
      <c r="L343" s="759"/>
      <c r="M343" s="759"/>
      <c r="N343" s="759"/>
      <c r="O343" s="767"/>
      <c r="P343" s="764" t="s">
        <v>40</v>
      </c>
      <c r="Q343" s="765"/>
      <c r="R343" s="765"/>
      <c r="S343" s="765"/>
      <c r="T343" s="765"/>
      <c r="U343" s="765"/>
      <c r="V343" s="766"/>
      <c r="W343" s="40" t="s">
        <v>0</v>
      </c>
      <c r="X343" s="41">
        <f>IFERROR(SUM(X341:X341),"0")</f>
        <v>0</v>
      </c>
      <c r="Y343" s="41">
        <f>IFERROR(SUM(Y341:Y341),"0")</f>
        <v>0</v>
      </c>
      <c r="Z343" s="40"/>
      <c r="AA343" s="64"/>
      <c r="AB343" s="64"/>
      <c r="AC343" s="64"/>
    </row>
    <row r="344" spans="1:68" ht="16.5" customHeight="1" x14ac:dyDescent="0.25">
      <c r="A344" s="776" t="s">
        <v>545</v>
      </c>
      <c r="B344" s="776"/>
      <c r="C344" s="776"/>
      <c r="D344" s="776"/>
      <c r="E344" s="776"/>
      <c r="F344" s="776"/>
      <c r="G344" s="776"/>
      <c r="H344" s="776"/>
      <c r="I344" s="776"/>
      <c r="J344" s="776"/>
      <c r="K344" s="776"/>
      <c r="L344" s="776"/>
      <c r="M344" s="776"/>
      <c r="N344" s="776"/>
      <c r="O344" s="776"/>
      <c r="P344" s="776"/>
      <c r="Q344" s="776"/>
      <c r="R344" s="776"/>
      <c r="S344" s="776"/>
      <c r="T344" s="776"/>
      <c r="U344" s="776"/>
      <c r="V344" s="776"/>
      <c r="W344" s="776"/>
      <c r="X344" s="776"/>
      <c r="Y344" s="776"/>
      <c r="Z344" s="776"/>
      <c r="AA344" s="62"/>
      <c r="AB344" s="62"/>
      <c r="AC344" s="62"/>
    </row>
    <row r="345" spans="1:68" ht="14.25" customHeight="1" x14ac:dyDescent="0.25">
      <c r="A345" s="768" t="s">
        <v>101</v>
      </c>
      <c r="B345" s="768"/>
      <c r="C345" s="768"/>
      <c r="D345" s="768"/>
      <c r="E345" s="768"/>
      <c r="F345" s="768"/>
      <c r="G345" s="768"/>
      <c r="H345" s="768"/>
      <c r="I345" s="768"/>
      <c r="J345" s="768"/>
      <c r="K345" s="768"/>
      <c r="L345" s="768"/>
      <c r="M345" s="768"/>
      <c r="N345" s="768"/>
      <c r="O345" s="768"/>
      <c r="P345" s="768"/>
      <c r="Q345" s="768"/>
      <c r="R345" s="768"/>
      <c r="S345" s="768"/>
      <c r="T345" s="768"/>
      <c r="U345" s="768"/>
      <c r="V345" s="768"/>
      <c r="W345" s="768"/>
      <c r="X345" s="768"/>
      <c r="Y345" s="768"/>
      <c r="Z345" s="768"/>
      <c r="AA345" s="63"/>
      <c r="AB345" s="63"/>
      <c r="AC345" s="63"/>
    </row>
    <row r="346" spans="1:68" ht="27" customHeight="1" x14ac:dyDescent="0.25">
      <c r="A346" s="60" t="s">
        <v>546</v>
      </c>
      <c r="B346" s="60" t="s">
        <v>547</v>
      </c>
      <c r="C346" s="34">
        <v>4301012024</v>
      </c>
      <c r="D346" s="769">
        <v>4680115885615</v>
      </c>
      <c r="E346" s="769"/>
      <c r="F346" s="59">
        <v>1.35</v>
      </c>
      <c r="G346" s="35">
        <v>8</v>
      </c>
      <c r="H346" s="59">
        <v>10.8</v>
      </c>
      <c r="I346" s="59">
        <v>11.234999999999999</v>
      </c>
      <c r="J346" s="35">
        <v>64</v>
      </c>
      <c r="K346" s="35" t="s">
        <v>107</v>
      </c>
      <c r="L346" s="35" t="s">
        <v>45</v>
      </c>
      <c r="M346" s="36" t="s">
        <v>106</v>
      </c>
      <c r="N346" s="36"/>
      <c r="O346" s="35">
        <v>55</v>
      </c>
      <c r="P346" s="93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46" s="771"/>
      <c r="R346" s="771"/>
      <c r="S346" s="771"/>
      <c r="T346" s="772"/>
      <c r="U346" s="37" t="s">
        <v>45</v>
      </c>
      <c r="V346" s="37" t="s">
        <v>45</v>
      </c>
      <c r="W346" s="38" t="s">
        <v>0</v>
      </c>
      <c r="X346" s="56">
        <v>0</v>
      </c>
      <c r="Y346" s="53">
        <f t="shared" ref="Y346:Y353" si="71">IFERROR(IF(X346="",0,CEILING((X346/$H346),1)*$H346),"")</f>
        <v>0</v>
      </c>
      <c r="Z346" s="39" t="str">
        <f>IFERROR(IF(Y346=0,"",ROUNDUP(Y346/H346,0)*0.01898),"")</f>
        <v/>
      </c>
      <c r="AA346" s="65" t="s">
        <v>45</v>
      </c>
      <c r="AB346" s="66" t="s">
        <v>45</v>
      </c>
      <c r="AC346" s="417" t="s">
        <v>548</v>
      </c>
      <c r="AG346" s="75"/>
      <c r="AJ346" s="79" t="s">
        <v>45</v>
      </c>
      <c r="AK346" s="79">
        <v>0</v>
      </c>
      <c r="BB346" s="418" t="s">
        <v>66</v>
      </c>
      <c r="BM346" s="75">
        <f t="shared" ref="BM346:BM353" si="72">IFERROR(X346*I346/H346,"0")</f>
        <v>0</v>
      </c>
      <c r="BN346" s="75">
        <f t="shared" ref="BN346:BN353" si="73">IFERROR(Y346*I346/H346,"0")</f>
        <v>0</v>
      </c>
      <c r="BO346" s="75">
        <f t="shared" ref="BO346:BO353" si="74">IFERROR(1/J346*(X346/H346),"0")</f>
        <v>0</v>
      </c>
      <c r="BP346" s="75">
        <f t="shared" ref="BP346:BP353" si="75">IFERROR(1/J346*(Y346/H346),"0")</f>
        <v>0</v>
      </c>
    </row>
    <row r="347" spans="1:68" ht="27" customHeight="1" x14ac:dyDescent="0.25">
      <c r="A347" s="60" t="s">
        <v>549</v>
      </c>
      <c r="B347" s="60" t="s">
        <v>550</v>
      </c>
      <c r="C347" s="34">
        <v>4301011911</v>
      </c>
      <c r="D347" s="769">
        <v>4680115885554</v>
      </c>
      <c r="E347" s="769"/>
      <c r="F347" s="59">
        <v>1.35</v>
      </c>
      <c r="G347" s="35">
        <v>8</v>
      </c>
      <c r="H347" s="59">
        <v>10.8</v>
      </c>
      <c r="I347" s="59">
        <v>11.28</v>
      </c>
      <c r="J347" s="35">
        <v>48</v>
      </c>
      <c r="K347" s="35" t="s">
        <v>107</v>
      </c>
      <c r="L347" s="35" t="s">
        <v>45</v>
      </c>
      <c r="M347" s="36" t="s">
        <v>408</v>
      </c>
      <c r="N347" s="36"/>
      <c r="O347" s="35">
        <v>55</v>
      </c>
      <c r="P347" s="938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7" s="771"/>
      <c r="R347" s="771"/>
      <c r="S347" s="771"/>
      <c r="T347" s="772"/>
      <c r="U347" s="37" t="s">
        <v>45</v>
      </c>
      <c r="V347" s="37" t="s">
        <v>45</v>
      </c>
      <c r="W347" s="38" t="s">
        <v>0</v>
      </c>
      <c r="X347" s="56">
        <v>0</v>
      </c>
      <c r="Y347" s="53">
        <f t="shared" si="71"/>
        <v>0</v>
      </c>
      <c r="Z347" s="39" t="str">
        <f>IFERROR(IF(Y347=0,"",ROUNDUP(Y347/H347,0)*0.02039),"")</f>
        <v/>
      </c>
      <c r="AA347" s="65" t="s">
        <v>45</v>
      </c>
      <c r="AB347" s="66" t="s">
        <v>45</v>
      </c>
      <c r="AC347" s="419" t="s">
        <v>551</v>
      </c>
      <c r="AG347" s="75"/>
      <c r="AJ347" s="79" t="s">
        <v>45</v>
      </c>
      <c r="AK347" s="79">
        <v>0</v>
      </c>
      <c r="BB347" s="420" t="s">
        <v>66</v>
      </c>
      <c r="BM347" s="75">
        <f t="shared" si="72"/>
        <v>0</v>
      </c>
      <c r="BN347" s="75">
        <f t="shared" si="73"/>
        <v>0</v>
      </c>
      <c r="BO347" s="75">
        <f t="shared" si="74"/>
        <v>0</v>
      </c>
      <c r="BP347" s="75">
        <f t="shared" si="75"/>
        <v>0</v>
      </c>
    </row>
    <row r="348" spans="1:68" ht="27" customHeight="1" x14ac:dyDescent="0.25">
      <c r="A348" s="60" t="s">
        <v>549</v>
      </c>
      <c r="B348" s="60" t="s">
        <v>552</v>
      </c>
      <c r="C348" s="34">
        <v>4301012016</v>
      </c>
      <c r="D348" s="769">
        <v>4680115885554</v>
      </c>
      <c r="E348" s="769"/>
      <c r="F348" s="59">
        <v>1.35</v>
      </c>
      <c r="G348" s="35">
        <v>8</v>
      </c>
      <c r="H348" s="59">
        <v>10.8</v>
      </c>
      <c r="I348" s="59">
        <v>11.234999999999999</v>
      </c>
      <c r="J348" s="35">
        <v>64</v>
      </c>
      <c r="K348" s="35" t="s">
        <v>107</v>
      </c>
      <c r="L348" s="35" t="s">
        <v>137</v>
      </c>
      <c r="M348" s="36" t="s">
        <v>106</v>
      </c>
      <c r="N348" s="36"/>
      <c r="O348" s="35">
        <v>55</v>
      </c>
      <c r="P348" s="939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48" s="771"/>
      <c r="R348" s="771"/>
      <c r="S348" s="771"/>
      <c r="T348" s="772"/>
      <c r="U348" s="37" t="s">
        <v>45</v>
      </c>
      <c r="V348" s="37" t="s">
        <v>45</v>
      </c>
      <c r="W348" s="38" t="s">
        <v>0</v>
      </c>
      <c r="X348" s="56">
        <v>0</v>
      </c>
      <c r="Y348" s="53">
        <f t="shared" si="71"/>
        <v>0</v>
      </c>
      <c r="Z348" s="39" t="str">
        <f>IFERROR(IF(Y348=0,"",ROUNDUP(Y348/H348,0)*0.01898),"")</f>
        <v/>
      </c>
      <c r="AA348" s="65" t="s">
        <v>45</v>
      </c>
      <c r="AB348" s="66" t="s">
        <v>45</v>
      </c>
      <c r="AC348" s="421" t="s">
        <v>553</v>
      </c>
      <c r="AG348" s="75"/>
      <c r="AJ348" s="79" t="s">
        <v>138</v>
      </c>
      <c r="AK348" s="79">
        <v>691.2</v>
      </c>
      <c r="BB348" s="422" t="s">
        <v>66</v>
      </c>
      <c r="BM348" s="75">
        <f t="shared" si="72"/>
        <v>0</v>
      </c>
      <c r="BN348" s="75">
        <f t="shared" si="73"/>
        <v>0</v>
      </c>
      <c r="BO348" s="75">
        <f t="shared" si="74"/>
        <v>0</v>
      </c>
      <c r="BP348" s="75">
        <f t="shared" si="75"/>
        <v>0</v>
      </c>
    </row>
    <row r="349" spans="1:68" ht="37.5" customHeight="1" x14ac:dyDescent="0.25">
      <c r="A349" s="60" t="s">
        <v>554</v>
      </c>
      <c r="B349" s="60" t="s">
        <v>555</v>
      </c>
      <c r="C349" s="34">
        <v>4301011858</v>
      </c>
      <c r="D349" s="769">
        <v>4680115885646</v>
      </c>
      <c r="E349" s="769"/>
      <c r="F349" s="59">
        <v>1.35</v>
      </c>
      <c r="G349" s="35">
        <v>8</v>
      </c>
      <c r="H349" s="59">
        <v>10.8</v>
      </c>
      <c r="I349" s="59">
        <v>11.234999999999999</v>
      </c>
      <c r="J349" s="35">
        <v>64</v>
      </c>
      <c r="K349" s="35" t="s">
        <v>107</v>
      </c>
      <c r="L349" s="35" t="s">
        <v>45</v>
      </c>
      <c r="M349" s="36" t="s">
        <v>110</v>
      </c>
      <c r="N349" s="36"/>
      <c r="O349" s="35">
        <v>55</v>
      </c>
      <c r="P349" s="94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49" s="771"/>
      <c r="R349" s="771"/>
      <c r="S349" s="771"/>
      <c r="T349" s="772"/>
      <c r="U349" s="37" t="s">
        <v>45</v>
      </c>
      <c r="V349" s="37" t="s">
        <v>45</v>
      </c>
      <c r="W349" s="38" t="s">
        <v>0</v>
      </c>
      <c r="X349" s="56">
        <v>0</v>
      </c>
      <c r="Y349" s="53">
        <f t="shared" si="71"/>
        <v>0</v>
      </c>
      <c r="Z349" s="39" t="str">
        <f>IFERROR(IF(Y349=0,"",ROUNDUP(Y349/H349,0)*0.01898),"")</f>
        <v/>
      </c>
      <c r="AA349" s="65" t="s">
        <v>45</v>
      </c>
      <c r="AB349" s="66" t="s">
        <v>45</v>
      </c>
      <c r="AC349" s="423" t="s">
        <v>556</v>
      </c>
      <c r="AG349" s="75"/>
      <c r="AJ349" s="79" t="s">
        <v>45</v>
      </c>
      <c r="AK349" s="79">
        <v>0</v>
      </c>
      <c r="BB349" s="424" t="s">
        <v>66</v>
      </c>
      <c r="BM349" s="75">
        <f t="shared" si="72"/>
        <v>0</v>
      </c>
      <c r="BN349" s="75">
        <f t="shared" si="73"/>
        <v>0</v>
      </c>
      <c r="BO349" s="75">
        <f t="shared" si="74"/>
        <v>0</v>
      </c>
      <c r="BP349" s="75">
        <f t="shared" si="75"/>
        <v>0</v>
      </c>
    </row>
    <row r="350" spans="1:68" ht="27" customHeight="1" x14ac:dyDescent="0.25">
      <c r="A350" s="60" t="s">
        <v>557</v>
      </c>
      <c r="B350" s="60" t="s">
        <v>558</v>
      </c>
      <c r="C350" s="34">
        <v>4301011857</v>
      </c>
      <c r="D350" s="769">
        <v>4680115885622</v>
      </c>
      <c r="E350" s="769"/>
      <c r="F350" s="59">
        <v>0.4</v>
      </c>
      <c r="G350" s="35">
        <v>10</v>
      </c>
      <c r="H350" s="59">
        <v>4</v>
      </c>
      <c r="I350" s="59">
        <v>4.21</v>
      </c>
      <c r="J350" s="35">
        <v>132</v>
      </c>
      <c r="K350" s="35" t="s">
        <v>116</v>
      </c>
      <c r="L350" s="35" t="s">
        <v>45</v>
      </c>
      <c r="M350" s="36" t="s">
        <v>110</v>
      </c>
      <c r="N350" s="36"/>
      <c r="O350" s="35">
        <v>55</v>
      </c>
      <c r="P350" s="94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50" s="771"/>
      <c r="R350" s="771"/>
      <c r="S350" s="771"/>
      <c r="T350" s="772"/>
      <c r="U350" s="37" t="s">
        <v>45</v>
      </c>
      <c r="V350" s="37" t="s">
        <v>45</v>
      </c>
      <c r="W350" s="38" t="s">
        <v>0</v>
      </c>
      <c r="X350" s="56">
        <v>0</v>
      </c>
      <c r="Y350" s="53">
        <f t="shared" si="71"/>
        <v>0</v>
      </c>
      <c r="Z350" s="39" t="str">
        <f>IFERROR(IF(Y350=0,"",ROUNDUP(Y350/H350,0)*0.00902),"")</f>
        <v/>
      </c>
      <c r="AA350" s="65" t="s">
        <v>45</v>
      </c>
      <c r="AB350" s="66" t="s">
        <v>45</v>
      </c>
      <c r="AC350" s="425" t="s">
        <v>559</v>
      </c>
      <c r="AG350" s="75"/>
      <c r="AJ350" s="79" t="s">
        <v>45</v>
      </c>
      <c r="AK350" s="79">
        <v>0</v>
      </c>
      <c r="BB350" s="426" t="s">
        <v>66</v>
      </c>
      <c r="BM350" s="75">
        <f t="shared" si="72"/>
        <v>0</v>
      </c>
      <c r="BN350" s="75">
        <f t="shared" si="73"/>
        <v>0</v>
      </c>
      <c r="BO350" s="75">
        <f t="shared" si="74"/>
        <v>0</v>
      </c>
      <c r="BP350" s="75">
        <f t="shared" si="75"/>
        <v>0</v>
      </c>
    </row>
    <row r="351" spans="1:68" ht="27" customHeight="1" x14ac:dyDescent="0.25">
      <c r="A351" s="60" t="s">
        <v>560</v>
      </c>
      <c r="B351" s="60" t="s">
        <v>561</v>
      </c>
      <c r="C351" s="34">
        <v>4301011573</v>
      </c>
      <c r="D351" s="769">
        <v>4680115881938</v>
      </c>
      <c r="E351" s="769"/>
      <c r="F351" s="59">
        <v>0.4</v>
      </c>
      <c r="G351" s="35">
        <v>10</v>
      </c>
      <c r="H351" s="59">
        <v>4</v>
      </c>
      <c r="I351" s="59">
        <v>4.21</v>
      </c>
      <c r="J351" s="35">
        <v>132</v>
      </c>
      <c r="K351" s="35" t="s">
        <v>116</v>
      </c>
      <c r="L351" s="35" t="s">
        <v>45</v>
      </c>
      <c r="M351" s="36" t="s">
        <v>110</v>
      </c>
      <c r="N351" s="36"/>
      <c r="O351" s="35">
        <v>90</v>
      </c>
      <c r="P351" s="942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Q351" s="771"/>
      <c r="R351" s="771"/>
      <c r="S351" s="771"/>
      <c r="T351" s="772"/>
      <c r="U351" s="37" t="s">
        <v>45</v>
      </c>
      <c r="V351" s="37" t="s">
        <v>45</v>
      </c>
      <c r="W351" s="38" t="s">
        <v>0</v>
      </c>
      <c r="X351" s="56">
        <v>0</v>
      </c>
      <c r="Y351" s="53">
        <f t="shared" si="71"/>
        <v>0</v>
      </c>
      <c r="Z351" s="39" t="str">
        <f>IFERROR(IF(Y351=0,"",ROUNDUP(Y351/H351,0)*0.00902),"")</f>
        <v/>
      </c>
      <c r="AA351" s="65" t="s">
        <v>45</v>
      </c>
      <c r="AB351" s="66" t="s">
        <v>45</v>
      </c>
      <c r="AC351" s="427" t="s">
        <v>562</v>
      </c>
      <c r="AG351" s="75"/>
      <c r="AJ351" s="79" t="s">
        <v>45</v>
      </c>
      <c r="AK351" s="79">
        <v>0</v>
      </c>
      <c r="BB351" s="428" t="s">
        <v>66</v>
      </c>
      <c r="BM351" s="75">
        <f t="shared" si="72"/>
        <v>0</v>
      </c>
      <c r="BN351" s="75">
        <f t="shared" si="73"/>
        <v>0</v>
      </c>
      <c r="BO351" s="75">
        <f t="shared" si="74"/>
        <v>0</v>
      </c>
      <c r="BP351" s="75">
        <f t="shared" si="75"/>
        <v>0</v>
      </c>
    </row>
    <row r="352" spans="1:68" ht="27" customHeight="1" x14ac:dyDescent="0.25">
      <c r="A352" s="60" t="s">
        <v>563</v>
      </c>
      <c r="B352" s="60" t="s">
        <v>564</v>
      </c>
      <c r="C352" s="34">
        <v>4301011859</v>
      </c>
      <c r="D352" s="769">
        <v>4680115885608</v>
      </c>
      <c r="E352" s="769"/>
      <c r="F352" s="59">
        <v>0.4</v>
      </c>
      <c r="G352" s="35">
        <v>10</v>
      </c>
      <c r="H352" s="59">
        <v>4</v>
      </c>
      <c r="I352" s="59">
        <v>4.21</v>
      </c>
      <c r="J352" s="35">
        <v>132</v>
      </c>
      <c r="K352" s="35" t="s">
        <v>116</v>
      </c>
      <c r="L352" s="35" t="s">
        <v>45</v>
      </c>
      <c r="M352" s="36" t="s">
        <v>110</v>
      </c>
      <c r="N352" s="36"/>
      <c r="O352" s="35">
        <v>55</v>
      </c>
      <c r="P352" s="93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52" s="771"/>
      <c r="R352" s="771"/>
      <c r="S352" s="771"/>
      <c r="T352" s="772"/>
      <c r="U352" s="37" t="s">
        <v>45</v>
      </c>
      <c r="V352" s="37" t="s">
        <v>45</v>
      </c>
      <c r="W352" s="38" t="s">
        <v>0</v>
      </c>
      <c r="X352" s="56">
        <v>0</v>
      </c>
      <c r="Y352" s="53">
        <f t="shared" si="71"/>
        <v>0</v>
      </c>
      <c r="Z352" s="39" t="str">
        <f>IFERROR(IF(Y352=0,"",ROUNDUP(Y352/H352,0)*0.00902),"")</f>
        <v/>
      </c>
      <c r="AA352" s="65" t="s">
        <v>45</v>
      </c>
      <c r="AB352" s="66" t="s">
        <v>45</v>
      </c>
      <c r="AC352" s="429" t="s">
        <v>553</v>
      </c>
      <c r="AG352" s="75"/>
      <c r="AJ352" s="79" t="s">
        <v>45</v>
      </c>
      <c r="AK352" s="79">
        <v>0</v>
      </c>
      <c r="BB352" s="430" t="s">
        <v>66</v>
      </c>
      <c r="BM352" s="75">
        <f t="shared" si="72"/>
        <v>0</v>
      </c>
      <c r="BN352" s="75">
        <f t="shared" si="73"/>
        <v>0</v>
      </c>
      <c r="BO352" s="75">
        <f t="shared" si="74"/>
        <v>0</v>
      </c>
      <c r="BP352" s="75">
        <f t="shared" si="75"/>
        <v>0</v>
      </c>
    </row>
    <row r="353" spans="1:68" ht="27" customHeight="1" x14ac:dyDescent="0.25">
      <c r="A353" s="60" t="s">
        <v>565</v>
      </c>
      <c r="B353" s="60" t="s">
        <v>566</v>
      </c>
      <c r="C353" s="34">
        <v>4301011337</v>
      </c>
      <c r="D353" s="769">
        <v>4607091386011</v>
      </c>
      <c r="E353" s="769"/>
      <c r="F353" s="59">
        <v>0.5</v>
      </c>
      <c r="G353" s="35">
        <v>10</v>
      </c>
      <c r="H353" s="59">
        <v>5</v>
      </c>
      <c r="I353" s="59">
        <v>5.21</v>
      </c>
      <c r="J353" s="35">
        <v>132</v>
      </c>
      <c r="K353" s="35" t="s">
        <v>116</v>
      </c>
      <c r="L353" s="35" t="s">
        <v>45</v>
      </c>
      <c r="M353" s="36" t="s">
        <v>110</v>
      </c>
      <c r="N353" s="36"/>
      <c r="O353" s="35">
        <v>55</v>
      </c>
      <c r="P353" s="932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Q353" s="771"/>
      <c r="R353" s="771"/>
      <c r="S353" s="771"/>
      <c r="T353" s="772"/>
      <c r="U353" s="37" t="s">
        <v>45</v>
      </c>
      <c r="V353" s="37" t="s">
        <v>45</v>
      </c>
      <c r="W353" s="38" t="s">
        <v>0</v>
      </c>
      <c r="X353" s="56">
        <v>0</v>
      </c>
      <c r="Y353" s="53">
        <f t="shared" si="71"/>
        <v>0</v>
      </c>
      <c r="Z353" s="39" t="str">
        <f>IFERROR(IF(Y353=0,"",ROUNDUP(Y353/H353,0)*0.00902),"")</f>
        <v/>
      </c>
      <c r="AA353" s="65" t="s">
        <v>45</v>
      </c>
      <c r="AB353" s="66" t="s">
        <v>45</v>
      </c>
      <c r="AC353" s="431" t="s">
        <v>567</v>
      </c>
      <c r="AG353" s="75"/>
      <c r="AJ353" s="79" t="s">
        <v>45</v>
      </c>
      <c r="AK353" s="79">
        <v>0</v>
      </c>
      <c r="BB353" s="432" t="s">
        <v>66</v>
      </c>
      <c r="BM353" s="75">
        <f t="shared" si="72"/>
        <v>0</v>
      </c>
      <c r="BN353" s="75">
        <f t="shared" si="73"/>
        <v>0</v>
      </c>
      <c r="BO353" s="75">
        <f t="shared" si="74"/>
        <v>0</v>
      </c>
      <c r="BP353" s="75">
        <f t="shared" si="75"/>
        <v>0</v>
      </c>
    </row>
    <row r="354" spans="1:68" x14ac:dyDescent="0.2">
      <c r="A354" s="759"/>
      <c r="B354" s="759"/>
      <c r="C354" s="759"/>
      <c r="D354" s="759"/>
      <c r="E354" s="759"/>
      <c r="F354" s="759"/>
      <c r="G354" s="759"/>
      <c r="H354" s="759"/>
      <c r="I354" s="759"/>
      <c r="J354" s="759"/>
      <c r="K354" s="759"/>
      <c r="L354" s="759"/>
      <c r="M354" s="759"/>
      <c r="N354" s="759"/>
      <c r="O354" s="767"/>
      <c r="P354" s="764" t="s">
        <v>40</v>
      </c>
      <c r="Q354" s="765"/>
      <c r="R354" s="765"/>
      <c r="S354" s="765"/>
      <c r="T354" s="765"/>
      <c r="U354" s="765"/>
      <c r="V354" s="766"/>
      <c r="W354" s="40" t="s">
        <v>39</v>
      </c>
      <c r="X354" s="41">
        <f>IFERROR(X346/H346,"0")+IFERROR(X347/H347,"0")+IFERROR(X348/H348,"0")+IFERROR(X349/H349,"0")+IFERROR(X350/H350,"0")+IFERROR(X351/H351,"0")+IFERROR(X352/H352,"0")+IFERROR(X353/H353,"0")</f>
        <v>0</v>
      </c>
      <c r="Y354" s="41">
        <f>IFERROR(Y346/H346,"0")+IFERROR(Y347/H347,"0")+IFERROR(Y348/H348,"0")+IFERROR(Y349/H349,"0")+IFERROR(Y350/H350,"0")+IFERROR(Y351/H351,"0")+IFERROR(Y352/H352,"0")+IFERROR(Y353/H353,"0")</f>
        <v>0</v>
      </c>
      <c r="Z354" s="41">
        <f>IFERROR(IF(Z346="",0,Z346),"0")+IFERROR(IF(Z347="",0,Z347),"0")+IFERROR(IF(Z348="",0,Z348),"0")+IFERROR(IF(Z349="",0,Z349),"0")+IFERROR(IF(Z350="",0,Z350),"0")+IFERROR(IF(Z351="",0,Z351),"0")+IFERROR(IF(Z352="",0,Z352),"0")+IFERROR(IF(Z353="",0,Z353),"0")</f>
        <v>0</v>
      </c>
      <c r="AA354" s="64"/>
      <c r="AB354" s="64"/>
      <c r="AC354" s="64"/>
    </row>
    <row r="355" spans="1:68" x14ac:dyDescent="0.2">
      <c r="A355" s="759"/>
      <c r="B355" s="759"/>
      <c r="C355" s="759"/>
      <c r="D355" s="759"/>
      <c r="E355" s="759"/>
      <c r="F355" s="759"/>
      <c r="G355" s="759"/>
      <c r="H355" s="759"/>
      <c r="I355" s="759"/>
      <c r="J355" s="759"/>
      <c r="K355" s="759"/>
      <c r="L355" s="759"/>
      <c r="M355" s="759"/>
      <c r="N355" s="759"/>
      <c r="O355" s="767"/>
      <c r="P355" s="764" t="s">
        <v>40</v>
      </c>
      <c r="Q355" s="765"/>
      <c r="R355" s="765"/>
      <c r="S355" s="765"/>
      <c r="T355" s="765"/>
      <c r="U355" s="765"/>
      <c r="V355" s="766"/>
      <c r="W355" s="40" t="s">
        <v>0</v>
      </c>
      <c r="X355" s="41">
        <f>IFERROR(SUM(X346:X353),"0")</f>
        <v>0</v>
      </c>
      <c r="Y355" s="41">
        <f>IFERROR(SUM(Y346:Y353),"0")</f>
        <v>0</v>
      </c>
      <c r="Z355" s="40"/>
      <c r="AA355" s="64"/>
      <c r="AB355" s="64"/>
      <c r="AC355" s="64"/>
    </row>
    <row r="356" spans="1:68" ht="14.25" customHeight="1" x14ac:dyDescent="0.25">
      <c r="A356" s="768" t="s">
        <v>164</v>
      </c>
      <c r="B356" s="768"/>
      <c r="C356" s="768"/>
      <c r="D356" s="768"/>
      <c r="E356" s="768"/>
      <c r="F356" s="768"/>
      <c r="G356" s="768"/>
      <c r="H356" s="768"/>
      <c r="I356" s="768"/>
      <c r="J356" s="768"/>
      <c r="K356" s="768"/>
      <c r="L356" s="768"/>
      <c r="M356" s="768"/>
      <c r="N356" s="768"/>
      <c r="O356" s="768"/>
      <c r="P356" s="768"/>
      <c r="Q356" s="768"/>
      <c r="R356" s="768"/>
      <c r="S356" s="768"/>
      <c r="T356" s="768"/>
      <c r="U356" s="768"/>
      <c r="V356" s="768"/>
      <c r="W356" s="768"/>
      <c r="X356" s="768"/>
      <c r="Y356" s="768"/>
      <c r="Z356" s="768"/>
      <c r="AA356" s="63"/>
      <c r="AB356" s="63"/>
      <c r="AC356" s="63"/>
    </row>
    <row r="357" spans="1:68" ht="27" customHeight="1" x14ac:dyDescent="0.25">
      <c r="A357" s="60" t="s">
        <v>568</v>
      </c>
      <c r="B357" s="60" t="s">
        <v>569</v>
      </c>
      <c r="C357" s="34">
        <v>4301030878</v>
      </c>
      <c r="D357" s="769">
        <v>4607091387193</v>
      </c>
      <c r="E357" s="769"/>
      <c r="F357" s="59">
        <v>0.7</v>
      </c>
      <c r="G357" s="35">
        <v>6</v>
      </c>
      <c r="H357" s="59">
        <v>4.2</v>
      </c>
      <c r="I357" s="59">
        <v>4.47</v>
      </c>
      <c r="J357" s="35">
        <v>132</v>
      </c>
      <c r="K357" s="35" t="s">
        <v>116</v>
      </c>
      <c r="L357" s="35" t="s">
        <v>45</v>
      </c>
      <c r="M357" s="36" t="s">
        <v>82</v>
      </c>
      <c r="N357" s="36"/>
      <c r="O357" s="35">
        <v>35</v>
      </c>
      <c r="P357" s="93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57" s="771"/>
      <c r="R357" s="771"/>
      <c r="S357" s="771"/>
      <c r="T357" s="772"/>
      <c r="U357" s="37" t="s">
        <v>45</v>
      </c>
      <c r="V357" s="37" t="s">
        <v>45</v>
      </c>
      <c r="W357" s="38" t="s">
        <v>0</v>
      </c>
      <c r="X357" s="56">
        <v>0</v>
      </c>
      <c r="Y357" s="53">
        <f>IFERROR(IF(X357="",0,CEILING((X357/$H357),1)*$H357),"")</f>
        <v>0</v>
      </c>
      <c r="Z357" s="39" t="str">
        <f>IFERROR(IF(Y357=0,"",ROUNDUP(Y357/H357,0)*0.00902),"")</f>
        <v/>
      </c>
      <c r="AA357" s="65" t="s">
        <v>45</v>
      </c>
      <c r="AB357" s="66" t="s">
        <v>45</v>
      </c>
      <c r="AC357" s="433" t="s">
        <v>570</v>
      </c>
      <c r="AG357" s="75"/>
      <c r="AJ357" s="79" t="s">
        <v>45</v>
      </c>
      <c r="AK357" s="79">
        <v>0</v>
      </c>
      <c r="BB357" s="434" t="s">
        <v>66</v>
      </c>
      <c r="BM357" s="75">
        <f>IFERROR(X357*I357/H357,"0")</f>
        <v>0</v>
      </c>
      <c r="BN357" s="75">
        <f>IFERROR(Y357*I357/H357,"0")</f>
        <v>0</v>
      </c>
      <c r="BO357" s="75">
        <f>IFERROR(1/J357*(X357/H357),"0")</f>
        <v>0</v>
      </c>
      <c r="BP357" s="75">
        <f>IFERROR(1/J357*(Y357/H357),"0")</f>
        <v>0</v>
      </c>
    </row>
    <row r="358" spans="1:68" ht="27" customHeight="1" x14ac:dyDescent="0.25">
      <c r="A358" s="60" t="s">
        <v>571</v>
      </c>
      <c r="B358" s="60" t="s">
        <v>572</v>
      </c>
      <c r="C358" s="34">
        <v>4301031153</v>
      </c>
      <c r="D358" s="769">
        <v>4607091387230</v>
      </c>
      <c r="E358" s="769"/>
      <c r="F358" s="59">
        <v>0.7</v>
      </c>
      <c r="G358" s="35">
        <v>6</v>
      </c>
      <c r="H358" s="59">
        <v>4.2</v>
      </c>
      <c r="I358" s="59">
        <v>4.47</v>
      </c>
      <c r="J358" s="35">
        <v>132</v>
      </c>
      <c r="K358" s="35" t="s">
        <v>116</v>
      </c>
      <c r="L358" s="35" t="s">
        <v>45</v>
      </c>
      <c r="M358" s="36" t="s">
        <v>82</v>
      </c>
      <c r="N358" s="36"/>
      <c r="O358" s="35">
        <v>40</v>
      </c>
      <c r="P358" s="93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58" s="771"/>
      <c r="R358" s="771"/>
      <c r="S358" s="771"/>
      <c r="T358" s="772"/>
      <c r="U358" s="37" t="s">
        <v>45</v>
      </c>
      <c r="V358" s="37" t="s">
        <v>45</v>
      </c>
      <c r="W358" s="38" t="s">
        <v>0</v>
      </c>
      <c r="X358" s="56">
        <v>0</v>
      </c>
      <c r="Y358" s="53">
        <f>IFERROR(IF(X358="",0,CEILING((X358/$H358),1)*$H358),"")</f>
        <v>0</v>
      </c>
      <c r="Z358" s="39" t="str">
        <f>IFERROR(IF(Y358=0,"",ROUNDUP(Y358/H358,0)*0.00902),"")</f>
        <v/>
      </c>
      <c r="AA358" s="65" t="s">
        <v>45</v>
      </c>
      <c r="AB358" s="66" t="s">
        <v>45</v>
      </c>
      <c r="AC358" s="435" t="s">
        <v>573</v>
      </c>
      <c r="AG358" s="75"/>
      <c r="AJ358" s="79" t="s">
        <v>45</v>
      </c>
      <c r="AK358" s="79">
        <v>0</v>
      </c>
      <c r="BB358" s="436" t="s">
        <v>66</v>
      </c>
      <c r="BM358" s="75">
        <f>IFERROR(X358*I358/H358,"0")</f>
        <v>0</v>
      </c>
      <c r="BN358" s="75">
        <f>IFERROR(Y358*I358/H358,"0")</f>
        <v>0</v>
      </c>
      <c r="BO358" s="75">
        <f>IFERROR(1/J358*(X358/H358),"0")</f>
        <v>0</v>
      </c>
      <c r="BP358" s="75">
        <f>IFERROR(1/J358*(Y358/H358),"0")</f>
        <v>0</v>
      </c>
    </row>
    <row r="359" spans="1:68" ht="27" customHeight="1" x14ac:dyDescent="0.25">
      <c r="A359" s="60" t="s">
        <v>574</v>
      </c>
      <c r="B359" s="60" t="s">
        <v>575</v>
      </c>
      <c r="C359" s="34">
        <v>4301031154</v>
      </c>
      <c r="D359" s="769">
        <v>4607091387292</v>
      </c>
      <c r="E359" s="769"/>
      <c r="F359" s="59">
        <v>0.73</v>
      </c>
      <c r="G359" s="35">
        <v>6</v>
      </c>
      <c r="H359" s="59">
        <v>4.38</v>
      </c>
      <c r="I359" s="59">
        <v>4.6500000000000004</v>
      </c>
      <c r="J359" s="35">
        <v>132</v>
      </c>
      <c r="K359" s="35" t="s">
        <v>116</v>
      </c>
      <c r="L359" s="35" t="s">
        <v>45</v>
      </c>
      <c r="M359" s="36" t="s">
        <v>82</v>
      </c>
      <c r="N359" s="36"/>
      <c r="O359" s="35">
        <v>45</v>
      </c>
      <c r="P359" s="93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59" s="771"/>
      <c r="R359" s="771"/>
      <c r="S359" s="771"/>
      <c r="T359" s="772"/>
      <c r="U359" s="37" t="s">
        <v>45</v>
      </c>
      <c r="V359" s="37" t="s">
        <v>45</v>
      </c>
      <c r="W359" s="38" t="s">
        <v>0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IFERROR(IF(Y359=0,"",ROUNDUP(Y359/H359,0)*0.00902),"")</f>
        <v/>
      </c>
      <c r="AA359" s="65" t="s">
        <v>45</v>
      </c>
      <c r="AB359" s="66" t="s">
        <v>45</v>
      </c>
      <c r="AC359" s="437" t="s">
        <v>576</v>
      </c>
      <c r="AG359" s="75"/>
      <c r="AJ359" s="79" t="s">
        <v>45</v>
      </c>
      <c r="AK359" s="79">
        <v>0</v>
      </c>
      <c r="BB359" s="438" t="s">
        <v>66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customHeight="1" x14ac:dyDescent="0.25">
      <c r="A360" s="60" t="s">
        <v>577</v>
      </c>
      <c r="B360" s="60" t="s">
        <v>578</v>
      </c>
      <c r="C360" s="34">
        <v>4301031152</v>
      </c>
      <c r="D360" s="769">
        <v>4607091387285</v>
      </c>
      <c r="E360" s="769"/>
      <c r="F360" s="59">
        <v>0.35</v>
      </c>
      <c r="G360" s="35">
        <v>6</v>
      </c>
      <c r="H360" s="59">
        <v>2.1</v>
      </c>
      <c r="I360" s="59">
        <v>2.23</v>
      </c>
      <c r="J360" s="35">
        <v>234</v>
      </c>
      <c r="K360" s="35" t="s">
        <v>126</v>
      </c>
      <c r="L360" s="35" t="s">
        <v>45</v>
      </c>
      <c r="M360" s="36" t="s">
        <v>82</v>
      </c>
      <c r="N360" s="36"/>
      <c r="O360" s="35">
        <v>40</v>
      </c>
      <c r="P360" s="9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60" s="771"/>
      <c r="R360" s="771"/>
      <c r="S360" s="771"/>
      <c r="T360" s="772"/>
      <c r="U360" s="37" t="s">
        <v>45</v>
      </c>
      <c r="V360" s="37" t="s">
        <v>45</v>
      </c>
      <c r="W360" s="38" t="s">
        <v>0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IFERROR(IF(Y360=0,"",ROUNDUP(Y360/H360,0)*0.00502),"")</f>
        <v/>
      </c>
      <c r="AA360" s="65" t="s">
        <v>45</v>
      </c>
      <c r="AB360" s="66" t="s">
        <v>45</v>
      </c>
      <c r="AC360" s="439" t="s">
        <v>573</v>
      </c>
      <c r="AG360" s="75"/>
      <c r="AJ360" s="79" t="s">
        <v>45</v>
      </c>
      <c r="AK360" s="79">
        <v>0</v>
      </c>
      <c r="BB360" s="440" t="s">
        <v>66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x14ac:dyDescent="0.2">
      <c r="A361" s="759"/>
      <c r="B361" s="759"/>
      <c r="C361" s="759"/>
      <c r="D361" s="759"/>
      <c r="E361" s="759"/>
      <c r="F361" s="759"/>
      <c r="G361" s="759"/>
      <c r="H361" s="759"/>
      <c r="I361" s="759"/>
      <c r="J361" s="759"/>
      <c r="K361" s="759"/>
      <c r="L361" s="759"/>
      <c r="M361" s="759"/>
      <c r="N361" s="759"/>
      <c r="O361" s="767"/>
      <c r="P361" s="764" t="s">
        <v>40</v>
      </c>
      <c r="Q361" s="765"/>
      <c r="R361" s="765"/>
      <c r="S361" s="765"/>
      <c r="T361" s="765"/>
      <c r="U361" s="765"/>
      <c r="V361" s="766"/>
      <c r="W361" s="40" t="s">
        <v>39</v>
      </c>
      <c r="X361" s="41">
        <f>IFERROR(X357/H357,"0")+IFERROR(X358/H358,"0")+IFERROR(X359/H359,"0")+IFERROR(X360/H360,"0")</f>
        <v>0</v>
      </c>
      <c r="Y361" s="41">
        <f>IFERROR(Y357/H357,"0")+IFERROR(Y358/H358,"0")+IFERROR(Y359/H359,"0")+IFERROR(Y360/H360,"0")</f>
        <v>0</v>
      </c>
      <c r="Z361" s="41">
        <f>IFERROR(IF(Z357="",0,Z357),"0")+IFERROR(IF(Z358="",0,Z358),"0")+IFERROR(IF(Z359="",0,Z359),"0")+IFERROR(IF(Z360="",0,Z360),"0")</f>
        <v>0</v>
      </c>
      <c r="AA361" s="64"/>
      <c r="AB361" s="64"/>
      <c r="AC361" s="64"/>
    </row>
    <row r="362" spans="1:68" x14ac:dyDescent="0.2">
      <c r="A362" s="759"/>
      <c r="B362" s="759"/>
      <c r="C362" s="759"/>
      <c r="D362" s="759"/>
      <c r="E362" s="759"/>
      <c r="F362" s="759"/>
      <c r="G362" s="759"/>
      <c r="H362" s="759"/>
      <c r="I362" s="759"/>
      <c r="J362" s="759"/>
      <c r="K362" s="759"/>
      <c r="L362" s="759"/>
      <c r="M362" s="759"/>
      <c r="N362" s="759"/>
      <c r="O362" s="767"/>
      <c r="P362" s="764" t="s">
        <v>40</v>
      </c>
      <c r="Q362" s="765"/>
      <c r="R362" s="765"/>
      <c r="S362" s="765"/>
      <c r="T362" s="765"/>
      <c r="U362" s="765"/>
      <c r="V362" s="766"/>
      <c r="W362" s="40" t="s">
        <v>0</v>
      </c>
      <c r="X362" s="41">
        <f>IFERROR(SUM(X357:X360),"0")</f>
        <v>0</v>
      </c>
      <c r="Y362" s="41">
        <f>IFERROR(SUM(Y357:Y360),"0")</f>
        <v>0</v>
      </c>
      <c r="Z362" s="40"/>
      <c r="AA362" s="64"/>
      <c r="AB362" s="64"/>
      <c r="AC362" s="64"/>
    </row>
    <row r="363" spans="1:68" ht="14.25" customHeight="1" x14ac:dyDescent="0.25">
      <c r="A363" s="768" t="s">
        <v>78</v>
      </c>
      <c r="B363" s="768"/>
      <c r="C363" s="768"/>
      <c r="D363" s="768"/>
      <c r="E363" s="768"/>
      <c r="F363" s="768"/>
      <c r="G363" s="768"/>
      <c r="H363" s="768"/>
      <c r="I363" s="768"/>
      <c r="J363" s="768"/>
      <c r="K363" s="768"/>
      <c r="L363" s="768"/>
      <c r="M363" s="768"/>
      <c r="N363" s="768"/>
      <c r="O363" s="768"/>
      <c r="P363" s="768"/>
      <c r="Q363" s="768"/>
      <c r="R363" s="768"/>
      <c r="S363" s="768"/>
      <c r="T363" s="768"/>
      <c r="U363" s="768"/>
      <c r="V363" s="768"/>
      <c r="W363" s="768"/>
      <c r="X363" s="768"/>
      <c r="Y363" s="768"/>
      <c r="Z363" s="768"/>
      <c r="AA363" s="63"/>
      <c r="AB363" s="63"/>
      <c r="AC363" s="63"/>
    </row>
    <row r="364" spans="1:68" ht="48" customHeight="1" x14ac:dyDescent="0.25">
      <c r="A364" s="60" t="s">
        <v>579</v>
      </c>
      <c r="B364" s="60" t="s">
        <v>580</v>
      </c>
      <c r="C364" s="34">
        <v>4301051100</v>
      </c>
      <c r="D364" s="769">
        <v>4607091387766</v>
      </c>
      <c r="E364" s="769"/>
      <c r="F364" s="59">
        <v>1.3</v>
      </c>
      <c r="G364" s="35">
        <v>6</v>
      </c>
      <c r="H364" s="59">
        <v>7.8</v>
      </c>
      <c r="I364" s="59">
        <v>8.3130000000000006</v>
      </c>
      <c r="J364" s="35">
        <v>64</v>
      </c>
      <c r="K364" s="35" t="s">
        <v>107</v>
      </c>
      <c r="L364" s="35" t="s">
        <v>45</v>
      </c>
      <c r="M364" s="36" t="s">
        <v>106</v>
      </c>
      <c r="N364" s="36"/>
      <c r="O364" s="35">
        <v>40</v>
      </c>
      <c r="P364" s="925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64" s="771"/>
      <c r="R364" s="771"/>
      <c r="S364" s="771"/>
      <c r="T364" s="772"/>
      <c r="U364" s="37" t="s">
        <v>45</v>
      </c>
      <c r="V364" s="37" t="s">
        <v>45</v>
      </c>
      <c r="W364" s="38" t="s">
        <v>0</v>
      </c>
      <c r="X364" s="56">
        <v>1500</v>
      </c>
      <c r="Y364" s="53">
        <f t="shared" ref="Y364:Y369" si="76">IFERROR(IF(X364="",0,CEILING((X364/$H364),1)*$H364),"")</f>
        <v>1505.3999999999999</v>
      </c>
      <c r="Z364" s="39">
        <f>IFERROR(IF(Y364=0,"",ROUNDUP(Y364/H364,0)*0.01898),"")</f>
        <v>3.6631400000000003</v>
      </c>
      <c r="AA364" s="65" t="s">
        <v>45</v>
      </c>
      <c r="AB364" s="66" t="s">
        <v>45</v>
      </c>
      <c r="AC364" s="441" t="s">
        <v>581</v>
      </c>
      <c r="AG364" s="75"/>
      <c r="AJ364" s="79" t="s">
        <v>45</v>
      </c>
      <c r="AK364" s="79">
        <v>0</v>
      </c>
      <c r="BB364" s="442" t="s">
        <v>66</v>
      </c>
      <c r="BM364" s="75">
        <f t="shared" ref="BM364:BM369" si="77">IFERROR(X364*I364/H364,"0")</f>
        <v>1598.6538461538464</v>
      </c>
      <c r="BN364" s="75">
        <f t="shared" ref="BN364:BN369" si="78">IFERROR(Y364*I364/H364,"0")</f>
        <v>1604.4090000000001</v>
      </c>
      <c r="BO364" s="75">
        <f t="shared" ref="BO364:BO369" si="79">IFERROR(1/J364*(X364/H364),"0")</f>
        <v>3.0048076923076925</v>
      </c>
      <c r="BP364" s="75">
        <f t="shared" ref="BP364:BP369" si="80">IFERROR(1/J364*(Y364/H364),"0")</f>
        <v>3.015625</v>
      </c>
    </row>
    <row r="365" spans="1:68" ht="37.5" customHeight="1" x14ac:dyDescent="0.25">
      <c r="A365" s="60" t="s">
        <v>582</v>
      </c>
      <c r="B365" s="60" t="s">
        <v>583</v>
      </c>
      <c r="C365" s="34">
        <v>4301051116</v>
      </c>
      <c r="D365" s="769">
        <v>4607091387957</v>
      </c>
      <c r="E365" s="769"/>
      <c r="F365" s="59">
        <v>1.3</v>
      </c>
      <c r="G365" s="35">
        <v>6</v>
      </c>
      <c r="H365" s="59">
        <v>7.8</v>
      </c>
      <c r="I365" s="59">
        <v>8.3190000000000008</v>
      </c>
      <c r="J365" s="35">
        <v>64</v>
      </c>
      <c r="K365" s="35" t="s">
        <v>107</v>
      </c>
      <c r="L365" s="35" t="s">
        <v>45</v>
      </c>
      <c r="M365" s="36" t="s">
        <v>82</v>
      </c>
      <c r="N365" s="36"/>
      <c r="O365" s="35">
        <v>40</v>
      </c>
      <c r="P365" s="92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65" s="771"/>
      <c r="R365" s="771"/>
      <c r="S365" s="771"/>
      <c r="T365" s="772"/>
      <c r="U365" s="37" t="s">
        <v>45</v>
      </c>
      <c r="V365" s="37" t="s">
        <v>45</v>
      </c>
      <c r="W365" s="38" t="s">
        <v>0</v>
      </c>
      <c r="X365" s="56">
        <v>0</v>
      </c>
      <c r="Y365" s="53">
        <f t="shared" si="76"/>
        <v>0</v>
      </c>
      <c r="Z365" s="39" t="str">
        <f>IFERROR(IF(Y365=0,"",ROUNDUP(Y365/H365,0)*0.01898),"")</f>
        <v/>
      </c>
      <c r="AA365" s="65" t="s">
        <v>45</v>
      </c>
      <c r="AB365" s="66" t="s">
        <v>45</v>
      </c>
      <c r="AC365" s="443" t="s">
        <v>584</v>
      </c>
      <c r="AG365" s="75"/>
      <c r="AJ365" s="79" t="s">
        <v>45</v>
      </c>
      <c r="AK365" s="79">
        <v>0</v>
      </c>
      <c r="BB365" s="444" t="s">
        <v>66</v>
      </c>
      <c r="BM365" s="75">
        <f t="shared" si="77"/>
        <v>0</v>
      </c>
      <c r="BN365" s="75">
        <f t="shared" si="78"/>
        <v>0</v>
      </c>
      <c r="BO365" s="75">
        <f t="shared" si="79"/>
        <v>0</v>
      </c>
      <c r="BP365" s="75">
        <f t="shared" si="80"/>
        <v>0</v>
      </c>
    </row>
    <row r="366" spans="1:68" ht="37.5" customHeight="1" x14ac:dyDescent="0.25">
      <c r="A366" s="60" t="s">
        <v>585</v>
      </c>
      <c r="B366" s="60" t="s">
        <v>586</v>
      </c>
      <c r="C366" s="34">
        <v>4301051115</v>
      </c>
      <c r="D366" s="769">
        <v>4607091387964</v>
      </c>
      <c r="E366" s="769"/>
      <c r="F366" s="59">
        <v>1.35</v>
      </c>
      <c r="G366" s="35">
        <v>6</v>
      </c>
      <c r="H366" s="59">
        <v>8.1</v>
      </c>
      <c r="I366" s="59">
        <v>8.6010000000000009</v>
      </c>
      <c r="J366" s="35">
        <v>64</v>
      </c>
      <c r="K366" s="35" t="s">
        <v>107</v>
      </c>
      <c r="L366" s="35" t="s">
        <v>45</v>
      </c>
      <c r="M366" s="36" t="s">
        <v>82</v>
      </c>
      <c r="N366" s="36"/>
      <c r="O366" s="35">
        <v>40</v>
      </c>
      <c r="P366" s="92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66" s="771"/>
      <c r="R366" s="771"/>
      <c r="S366" s="771"/>
      <c r="T366" s="772"/>
      <c r="U366" s="37" t="s">
        <v>45</v>
      </c>
      <c r="V366" s="37" t="s">
        <v>45</v>
      </c>
      <c r="W366" s="38" t="s">
        <v>0</v>
      </c>
      <c r="X366" s="56">
        <v>0</v>
      </c>
      <c r="Y366" s="53">
        <f t="shared" si="76"/>
        <v>0</v>
      </c>
      <c r="Z366" s="39" t="str">
        <f>IFERROR(IF(Y366=0,"",ROUNDUP(Y366/H366,0)*0.01898),"")</f>
        <v/>
      </c>
      <c r="AA366" s="65" t="s">
        <v>45</v>
      </c>
      <c r="AB366" s="66" t="s">
        <v>45</v>
      </c>
      <c r="AC366" s="445" t="s">
        <v>587</v>
      </c>
      <c r="AG366" s="75"/>
      <c r="AJ366" s="79" t="s">
        <v>45</v>
      </c>
      <c r="AK366" s="79">
        <v>0</v>
      </c>
      <c r="BB366" s="446" t="s">
        <v>66</v>
      </c>
      <c r="BM366" s="75">
        <f t="shared" si="77"/>
        <v>0</v>
      </c>
      <c r="BN366" s="75">
        <f t="shared" si="78"/>
        <v>0</v>
      </c>
      <c r="BO366" s="75">
        <f t="shared" si="79"/>
        <v>0</v>
      </c>
      <c r="BP366" s="75">
        <f t="shared" si="80"/>
        <v>0</v>
      </c>
    </row>
    <row r="367" spans="1:68" ht="37.5" customHeight="1" x14ac:dyDescent="0.25">
      <c r="A367" s="60" t="s">
        <v>588</v>
      </c>
      <c r="B367" s="60" t="s">
        <v>589</v>
      </c>
      <c r="C367" s="34">
        <v>4301051705</v>
      </c>
      <c r="D367" s="769">
        <v>4680115884588</v>
      </c>
      <c r="E367" s="769"/>
      <c r="F367" s="59">
        <v>0.5</v>
      </c>
      <c r="G367" s="35">
        <v>6</v>
      </c>
      <c r="H367" s="59">
        <v>3</v>
      </c>
      <c r="I367" s="59">
        <v>3.246</v>
      </c>
      <c r="J367" s="35">
        <v>182</v>
      </c>
      <c r="K367" s="35" t="s">
        <v>83</v>
      </c>
      <c r="L367" s="35" t="s">
        <v>45</v>
      </c>
      <c r="M367" s="36" t="s">
        <v>82</v>
      </c>
      <c r="N367" s="36"/>
      <c r="O367" s="35">
        <v>40</v>
      </c>
      <c r="P367" s="928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67" s="771"/>
      <c r="R367" s="771"/>
      <c r="S367" s="771"/>
      <c r="T367" s="772"/>
      <c r="U367" s="37" t="s">
        <v>45</v>
      </c>
      <c r="V367" s="37" t="s">
        <v>45</v>
      </c>
      <c r="W367" s="38" t="s">
        <v>0</v>
      </c>
      <c r="X367" s="56">
        <v>0</v>
      </c>
      <c r="Y367" s="53">
        <f t="shared" si="76"/>
        <v>0</v>
      </c>
      <c r="Z367" s="39" t="str">
        <f>IFERROR(IF(Y367=0,"",ROUNDUP(Y367/H367,0)*0.00651),"")</f>
        <v/>
      </c>
      <c r="AA367" s="65" t="s">
        <v>45</v>
      </c>
      <c r="AB367" s="66" t="s">
        <v>45</v>
      </c>
      <c r="AC367" s="447" t="s">
        <v>590</v>
      </c>
      <c r="AG367" s="75"/>
      <c r="AJ367" s="79" t="s">
        <v>45</v>
      </c>
      <c r="AK367" s="79">
        <v>0</v>
      </c>
      <c r="BB367" s="448" t="s">
        <v>66</v>
      </c>
      <c r="BM367" s="75">
        <f t="shared" si="77"/>
        <v>0</v>
      </c>
      <c r="BN367" s="75">
        <f t="shared" si="78"/>
        <v>0</v>
      </c>
      <c r="BO367" s="75">
        <f t="shared" si="79"/>
        <v>0</v>
      </c>
      <c r="BP367" s="75">
        <f t="shared" si="80"/>
        <v>0</v>
      </c>
    </row>
    <row r="368" spans="1:68" ht="37.5" customHeight="1" x14ac:dyDescent="0.25">
      <c r="A368" s="60" t="s">
        <v>591</v>
      </c>
      <c r="B368" s="60" t="s">
        <v>592</v>
      </c>
      <c r="C368" s="34">
        <v>4301051130</v>
      </c>
      <c r="D368" s="769">
        <v>4607091387537</v>
      </c>
      <c r="E368" s="769"/>
      <c r="F368" s="59">
        <v>0.45</v>
      </c>
      <c r="G368" s="35">
        <v>6</v>
      </c>
      <c r="H368" s="59">
        <v>2.7</v>
      </c>
      <c r="I368" s="59">
        <v>2.97</v>
      </c>
      <c r="J368" s="35">
        <v>182</v>
      </c>
      <c r="K368" s="35" t="s">
        <v>83</v>
      </c>
      <c r="L368" s="35" t="s">
        <v>45</v>
      </c>
      <c r="M368" s="36" t="s">
        <v>82</v>
      </c>
      <c r="N368" s="36"/>
      <c r="O368" s="35">
        <v>40</v>
      </c>
      <c r="P368" s="929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Q368" s="771"/>
      <c r="R368" s="771"/>
      <c r="S368" s="771"/>
      <c r="T368" s="772"/>
      <c r="U368" s="37" t="s">
        <v>45</v>
      </c>
      <c r="V368" s="37" t="s">
        <v>45</v>
      </c>
      <c r="W368" s="38" t="s">
        <v>0</v>
      </c>
      <c r="X368" s="56">
        <v>0</v>
      </c>
      <c r="Y368" s="53">
        <f t="shared" si="76"/>
        <v>0</v>
      </c>
      <c r="Z368" s="39" t="str">
        <f>IFERROR(IF(Y368=0,"",ROUNDUP(Y368/H368,0)*0.00651),"")</f>
        <v/>
      </c>
      <c r="AA368" s="65" t="s">
        <v>45</v>
      </c>
      <c r="AB368" s="66" t="s">
        <v>45</v>
      </c>
      <c r="AC368" s="449" t="s">
        <v>593</v>
      </c>
      <c r="AG368" s="75"/>
      <c r="AJ368" s="79" t="s">
        <v>45</v>
      </c>
      <c r="AK368" s="79">
        <v>0</v>
      </c>
      <c r="BB368" s="450" t="s">
        <v>66</v>
      </c>
      <c r="BM368" s="75">
        <f t="shared" si="77"/>
        <v>0</v>
      </c>
      <c r="BN368" s="75">
        <f t="shared" si="78"/>
        <v>0</v>
      </c>
      <c r="BO368" s="75">
        <f t="shared" si="79"/>
        <v>0</v>
      </c>
      <c r="BP368" s="75">
        <f t="shared" si="80"/>
        <v>0</v>
      </c>
    </row>
    <row r="369" spans="1:68" ht="48" customHeight="1" x14ac:dyDescent="0.25">
      <c r="A369" s="60" t="s">
        <v>594</v>
      </c>
      <c r="B369" s="60" t="s">
        <v>595</v>
      </c>
      <c r="C369" s="34">
        <v>4301051132</v>
      </c>
      <c r="D369" s="769">
        <v>4607091387513</v>
      </c>
      <c r="E369" s="769"/>
      <c r="F369" s="59">
        <v>0.45</v>
      </c>
      <c r="G369" s="35">
        <v>6</v>
      </c>
      <c r="H369" s="59">
        <v>2.7</v>
      </c>
      <c r="I369" s="59">
        <v>2.9580000000000002</v>
      </c>
      <c r="J369" s="35">
        <v>182</v>
      </c>
      <c r="K369" s="35" t="s">
        <v>83</v>
      </c>
      <c r="L369" s="35" t="s">
        <v>45</v>
      </c>
      <c r="M369" s="36" t="s">
        <v>82</v>
      </c>
      <c r="N369" s="36"/>
      <c r="O369" s="35">
        <v>40</v>
      </c>
      <c r="P369" s="93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69" s="771"/>
      <c r="R369" s="771"/>
      <c r="S369" s="771"/>
      <c r="T369" s="772"/>
      <c r="U369" s="37" t="s">
        <v>45</v>
      </c>
      <c r="V369" s="37" t="s">
        <v>45</v>
      </c>
      <c r="W369" s="38" t="s">
        <v>0</v>
      </c>
      <c r="X369" s="56">
        <v>0</v>
      </c>
      <c r="Y369" s="53">
        <f t="shared" si="76"/>
        <v>0</v>
      </c>
      <c r="Z369" s="39" t="str">
        <f>IFERROR(IF(Y369=0,"",ROUNDUP(Y369/H369,0)*0.00651),"")</f>
        <v/>
      </c>
      <c r="AA369" s="65" t="s">
        <v>45</v>
      </c>
      <c r="AB369" s="66" t="s">
        <v>45</v>
      </c>
      <c r="AC369" s="451" t="s">
        <v>596</v>
      </c>
      <c r="AG369" s="75"/>
      <c r="AJ369" s="79" t="s">
        <v>45</v>
      </c>
      <c r="AK369" s="79">
        <v>0</v>
      </c>
      <c r="BB369" s="452" t="s">
        <v>66</v>
      </c>
      <c r="BM369" s="75">
        <f t="shared" si="77"/>
        <v>0</v>
      </c>
      <c r="BN369" s="75">
        <f t="shared" si="78"/>
        <v>0</v>
      </c>
      <c r="BO369" s="75">
        <f t="shared" si="79"/>
        <v>0</v>
      </c>
      <c r="BP369" s="75">
        <f t="shared" si="80"/>
        <v>0</v>
      </c>
    </row>
    <row r="370" spans="1:68" x14ac:dyDescent="0.2">
      <c r="A370" s="759"/>
      <c r="B370" s="759"/>
      <c r="C370" s="759"/>
      <c r="D370" s="759"/>
      <c r="E370" s="759"/>
      <c r="F370" s="759"/>
      <c r="G370" s="759"/>
      <c r="H370" s="759"/>
      <c r="I370" s="759"/>
      <c r="J370" s="759"/>
      <c r="K370" s="759"/>
      <c r="L370" s="759"/>
      <c r="M370" s="759"/>
      <c r="N370" s="759"/>
      <c r="O370" s="767"/>
      <c r="P370" s="764" t="s">
        <v>40</v>
      </c>
      <c r="Q370" s="765"/>
      <c r="R370" s="765"/>
      <c r="S370" s="765"/>
      <c r="T370" s="765"/>
      <c r="U370" s="765"/>
      <c r="V370" s="766"/>
      <c r="W370" s="40" t="s">
        <v>39</v>
      </c>
      <c r="X370" s="41">
        <f>IFERROR(X364/H364,"0")+IFERROR(X365/H365,"0")+IFERROR(X366/H366,"0")+IFERROR(X367/H367,"0")+IFERROR(X368/H368,"0")+IFERROR(X369/H369,"0")</f>
        <v>192.30769230769232</v>
      </c>
      <c r="Y370" s="41">
        <f>IFERROR(Y364/H364,"0")+IFERROR(Y365/H365,"0")+IFERROR(Y366/H366,"0")+IFERROR(Y367/H367,"0")+IFERROR(Y368/H368,"0")+IFERROR(Y369/H369,"0")</f>
        <v>193</v>
      </c>
      <c r="Z370" s="41">
        <f>IFERROR(IF(Z364="",0,Z364),"0")+IFERROR(IF(Z365="",0,Z365),"0")+IFERROR(IF(Z366="",0,Z366),"0")+IFERROR(IF(Z367="",0,Z367),"0")+IFERROR(IF(Z368="",0,Z368),"0")+IFERROR(IF(Z369="",0,Z369),"0")</f>
        <v>3.6631400000000003</v>
      </c>
      <c r="AA370" s="64"/>
      <c r="AB370" s="64"/>
      <c r="AC370" s="64"/>
    </row>
    <row r="371" spans="1:68" x14ac:dyDescent="0.2">
      <c r="A371" s="759"/>
      <c r="B371" s="759"/>
      <c r="C371" s="759"/>
      <c r="D371" s="759"/>
      <c r="E371" s="759"/>
      <c r="F371" s="759"/>
      <c r="G371" s="759"/>
      <c r="H371" s="759"/>
      <c r="I371" s="759"/>
      <c r="J371" s="759"/>
      <c r="K371" s="759"/>
      <c r="L371" s="759"/>
      <c r="M371" s="759"/>
      <c r="N371" s="759"/>
      <c r="O371" s="767"/>
      <c r="P371" s="764" t="s">
        <v>40</v>
      </c>
      <c r="Q371" s="765"/>
      <c r="R371" s="765"/>
      <c r="S371" s="765"/>
      <c r="T371" s="765"/>
      <c r="U371" s="765"/>
      <c r="V371" s="766"/>
      <c r="W371" s="40" t="s">
        <v>0</v>
      </c>
      <c r="X371" s="41">
        <f>IFERROR(SUM(X364:X369),"0")</f>
        <v>1500</v>
      </c>
      <c r="Y371" s="41">
        <f>IFERROR(SUM(Y364:Y369),"0")</f>
        <v>1505.3999999999999</v>
      </c>
      <c r="Z371" s="40"/>
      <c r="AA371" s="64"/>
      <c r="AB371" s="64"/>
      <c r="AC371" s="64"/>
    </row>
    <row r="372" spans="1:68" ht="14.25" customHeight="1" x14ac:dyDescent="0.25">
      <c r="A372" s="768" t="s">
        <v>195</v>
      </c>
      <c r="B372" s="768"/>
      <c r="C372" s="768"/>
      <c r="D372" s="768"/>
      <c r="E372" s="768"/>
      <c r="F372" s="768"/>
      <c r="G372" s="768"/>
      <c r="H372" s="768"/>
      <c r="I372" s="768"/>
      <c r="J372" s="768"/>
      <c r="K372" s="768"/>
      <c r="L372" s="768"/>
      <c r="M372" s="768"/>
      <c r="N372" s="768"/>
      <c r="O372" s="768"/>
      <c r="P372" s="768"/>
      <c r="Q372" s="768"/>
      <c r="R372" s="768"/>
      <c r="S372" s="768"/>
      <c r="T372" s="768"/>
      <c r="U372" s="768"/>
      <c r="V372" s="768"/>
      <c r="W372" s="768"/>
      <c r="X372" s="768"/>
      <c r="Y372" s="768"/>
      <c r="Z372" s="768"/>
      <c r="AA372" s="63"/>
      <c r="AB372" s="63"/>
      <c r="AC372" s="63"/>
    </row>
    <row r="373" spans="1:68" ht="37.5" customHeight="1" x14ac:dyDescent="0.25">
      <c r="A373" s="60" t="s">
        <v>597</v>
      </c>
      <c r="B373" s="60" t="s">
        <v>598</v>
      </c>
      <c r="C373" s="34">
        <v>4301060379</v>
      </c>
      <c r="D373" s="769">
        <v>4607091380880</v>
      </c>
      <c r="E373" s="769"/>
      <c r="F373" s="59">
        <v>1.4</v>
      </c>
      <c r="G373" s="35">
        <v>6</v>
      </c>
      <c r="H373" s="59">
        <v>8.4</v>
      </c>
      <c r="I373" s="59">
        <v>8.9190000000000005</v>
      </c>
      <c r="J373" s="35">
        <v>64</v>
      </c>
      <c r="K373" s="35" t="s">
        <v>107</v>
      </c>
      <c r="L373" s="35" t="s">
        <v>45</v>
      </c>
      <c r="M373" s="36" t="s">
        <v>82</v>
      </c>
      <c r="N373" s="36"/>
      <c r="O373" s="35">
        <v>30</v>
      </c>
      <c r="P373" s="91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73" s="771"/>
      <c r="R373" s="771"/>
      <c r="S373" s="771"/>
      <c r="T373" s="772"/>
      <c r="U373" s="37" t="s">
        <v>45</v>
      </c>
      <c r="V373" s="37" t="s">
        <v>45</v>
      </c>
      <c r="W373" s="38" t="s">
        <v>0</v>
      </c>
      <c r="X373" s="56">
        <v>0</v>
      </c>
      <c r="Y373" s="53">
        <f>IFERROR(IF(X373="",0,CEILING((X373/$H373),1)*$H373),"")</f>
        <v>0</v>
      </c>
      <c r="Z373" s="39" t="str">
        <f>IFERROR(IF(Y373=0,"",ROUNDUP(Y373/H373,0)*0.01898),"")</f>
        <v/>
      </c>
      <c r="AA373" s="65" t="s">
        <v>45</v>
      </c>
      <c r="AB373" s="66" t="s">
        <v>45</v>
      </c>
      <c r="AC373" s="453" t="s">
        <v>599</v>
      </c>
      <c r="AG373" s="75"/>
      <c r="AJ373" s="79" t="s">
        <v>45</v>
      </c>
      <c r="AK373" s="79">
        <v>0</v>
      </c>
      <c r="BB373" s="454" t="s">
        <v>66</v>
      </c>
      <c r="BM373" s="75">
        <f>IFERROR(X373*I373/H373,"0")</f>
        <v>0</v>
      </c>
      <c r="BN373" s="75">
        <f>IFERROR(Y373*I373/H373,"0")</f>
        <v>0</v>
      </c>
      <c r="BO373" s="75">
        <f>IFERROR(1/J373*(X373/H373),"0")</f>
        <v>0</v>
      </c>
      <c r="BP373" s="75">
        <f>IFERROR(1/J373*(Y373/H373),"0")</f>
        <v>0</v>
      </c>
    </row>
    <row r="374" spans="1:68" ht="37.5" customHeight="1" x14ac:dyDescent="0.25">
      <c r="A374" s="60" t="s">
        <v>600</v>
      </c>
      <c r="B374" s="60" t="s">
        <v>601</v>
      </c>
      <c r="C374" s="34">
        <v>4301060308</v>
      </c>
      <c r="D374" s="769">
        <v>4607091384482</v>
      </c>
      <c r="E374" s="769"/>
      <c r="F374" s="59">
        <v>1.3</v>
      </c>
      <c r="G374" s="35">
        <v>6</v>
      </c>
      <c r="H374" s="59">
        <v>7.8</v>
      </c>
      <c r="I374" s="59">
        <v>8.3190000000000008</v>
      </c>
      <c r="J374" s="35">
        <v>64</v>
      </c>
      <c r="K374" s="35" t="s">
        <v>107</v>
      </c>
      <c r="L374" s="35" t="s">
        <v>45</v>
      </c>
      <c r="M374" s="36" t="s">
        <v>82</v>
      </c>
      <c r="N374" s="36"/>
      <c r="O374" s="35">
        <v>30</v>
      </c>
      <c r="P374" s="919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74" s="771"/>
      <c r="R374" s="771"/>
      <c r="S374" s="771"/>
      <c r="T374" s="772"/>
      <c r="U374" s="37" t="s">
        <v>45</v>
      </c>
      <c r="V374" s="37" t="s">
        <v>45</v>
      </c>
      <c r="W374" s="38" t="s">
        <v>0</v>
      </c>
      <c r="X374" s="56">
        <v>40</v>
      </c>
      <c r="Y374" s="53">
        <f>IFERROR(IF(X374="",0,CEILING((X374/$H374),1)*$H374),"")</f>
        <v>46.8</v>
      </c>
      <c r="Z374" s="39">
        <f>IFERROR(IF(Y374=0,"",ROUNDUP(Y374/H374,0)*0.01898),"")</f>
        <v>0.11388000000000001</v>
      </c>
      <c r="AA374" s="65" t="s">
        <v>45</v>
      </c>
      <c r="AB374" s="66" t="s">
        <v>45</v>
      </c>
      <c r="AC374" s="455" t="s">
        <v>602</v>
      </c>
      <c r="AG374" s="75"/>
      <c r="AJ374" s="79" t="s">
        <v>45</v>
      </c>
      <c r="AK374" s="79">
        <v>0</v>
      </c>
      <c r="BB374" s="456" t="s">
        <v>66</v>
      </c>
      <c r="BM374" s="75">
        <f>IFERROR(X374*I374/H374,"0")</f>
        <v>42.66153846153847</v>
      </c>
      <c r="BN374" s="75">
        <f>IFERROR(Y374*I374/H374,"0")</f>
        <v>49.914000000000001</v>
      </c>
      <c r="BO374" s="75">
        <f>IFERROR(1/J374*(X374/H374),"0")</f>
        <v>8.0128205128205135E-2</v>
      </c>
      <c r="BP374" s="75">
        <f>IFERROR(1/J374*(Y374/H374),"0")</f>
        <v>9.375E-2</v>
      </c>
    </row>
    <row r="375" spans="1:68" ht="16.5" customHeight="1" x14ac:dyDescent="0.25">
      <c r="A375" s="60" t="s">
        <v>603</v>
      </c>
      <c r="B375" s="60" t="s">
        <v>604</v>
      </c>
      <c r="C375" s="34">
        <v>4301060484</v>
      </c>
      <c r="D375" s="769">
        <v>4607091380897</v>
      </c>
      <c r="E375" s="769"/>
      <c r="F375" s="59">
        <v>1.4</v>
      </c>
      <c r="G375" s="35">
        <v>6</v>
      </c>
      <c r="H375" s="59">
        <v>8.4</v>
      </c>
      <c r="I375" s="59">
        <v>8.9190000000000005</v>
      </c>
      <c r="J375" s="35">
        <v>64</v>
      </c>
      <c r="K375" s="35" t="s">
        <v>107</v>
      </c>
      <c r="L375" s="35" t="s">
        <v>45</v>
      </c>
      <c r="M375" s="36" t="s">
        <v>150</v>
      </c>
      <c r="N375" s="36"/>
      <c r="O375" s="35">
        <v>30</v>
      </c>
      <c r="P375" s="920" t="s">
        <v>605</v>
      </c>
      <c r="Q375" s="771"/>
      <c r="R375" s="771"/>
      <c r="S375" s="771"/>
      <c r="T375" s="772"/>
      <c r="U375" s="37" t="s">
        <v>45</v>
      </c>
      <c r="V375" s="37" t="s">
        <v>45</v>
      </c>
      <c r="W375" s="38" t="s">
        <v>0</v>
      </c>
      <c r="X375" s="56">
        <v>0</v>
      </c>
      <c r="Y375" s="53">
        <f>IFERROR(IF(X375="",0,CEILING((X375/$H375),1)*$H375),"")</f>
        <v>0</v>
      </c>
      <c r="Z375" s="39" t="str">
        <f>IFERROR(IF(Y375=0,"",ROUNDUP(Y375/H375,0)*0.01898),"")</f>
        <v/>
      </c>
      <c r="AA375" s="65" t="s">
        <v>45</v>
      </c>
      <c r="AB375" s="66" t="s">
        <v>45</v>
      </c>
      <c r="AC375" s="457" t="s">
        <v>606</v>
      </c>
      <c r="AG375" s="75"/>
      <c r="AJ375" s="79" t="s">
        <v>45</v>
      </c>
      <c r="AK375" s="79">
        <v>0</v>
      </c>
      <c r="BB375" s="458" t="s">
        <v>66</v>
      </c>
      <c r="BM375" s="75">
        <f>IFERROR(X375*I375/H375,"0")</f>
        <v>0</v>
      </c>
      <c r="BN375" s="75">
        <f>IFERROR(Y375*I375/H375,"0")</f>
        <v>0</v>
      </c>
      <c r="BO375" s="75">
        <f>IFERROR(1/J375*(X375/H375),"0")</f>
        <v>0</v>
      </c>
      <c r="BP375" s="75">
        <f>IFERROR(1/J375*(Y375/H375),"0")</f>
        <v>0</v>
      </c>
    </row>
    <row r="376" spans="1:68" ht="16.5" customHeight="1" x14ac:dyDescent="0.25">
      <c r="A376" s="60" t="s">
        <v>603</v>
      </c>
      <c r="B376" s="60" t="s">
        <v>607</v>
      </c>
      <c r="C376" s="34">
        <v>4301060325</v>
      </c>
      <c r="D376" s="769">
        <v>4607091380897</v>
      </c>
      <c r="E376" s="769"/>
      <c r="F376" s="59">
        <v>1.4</v>
      </c>
      <c r="G376" s="35">
        <v>6</v>
      </c>
      <c r="H376" s="59">
        <v>8.4</v>
      </c>
      <c r="I376" s="59">
        <v>8.9190000000000005</v>
      </c>
      <c r="J376" s="35">
        <v>64</v>
      </c>
      <c r="K376" s="35" t="s">
        <v>107</v>
      </c>
      <c r="L376" s="35" t="s">
        <v>45</v>
      </c>
      <c r="M376" s="36" t="s">
        <v>82</v>
      </c>
      <c r="N376" s="36"/>
      <c r="O376" s="35">
        <v>30</v>
      </c>
      <c r="P376" s="921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Q376" s="771"/>
      <c r="R376" s="771"/>
      <c r="S376" s="771"/>
      <c r="T376" s="772"/>
      <c r="U376" s="37" t="s">
        <v>45</v>
      </c>
      <c r="V376" s="37" t="s">
        <v>45</v>
      </c>
      <c r="W376" s="38" t="s">
        <v>0</v>
      </c>
      <c r="X376" s="56">
        <v>0</v>
      </c>
      <c r="Y376" s="53">
        <f>IFERROR(IF(X376="",0,CEILING((X376/$H376),1)*$H376),"")</f>
        <v>0</v>
      </c>
      <c r="Z376" s="39" t="str">
        <f>IFERROR(IF(Y376=0,"",ROUNDUP(Y376/H376,0)*0.01898),"")</f>
        <v/>
      </c>
      <c r="AA376" s="65" t="s">
        <v>45</v>
      </c>
      <c r="AB376" s="66" t="s">
        <v>45</v>
      </c>
      <c r="AC376" s="459" t="s">
        <v>608</v>
      </c>
      <c r="AG376" s="75"/>
      <c r="AJ376" s="79" t="s">
        <v>45</v>
      </c>
      <c r="AK376" s="79">
        <v>0</v>
      </c>
      <c r="BB376" s="460" t="s">
        <v>66</v>
      </c>
      <c r="BM376" s="75">
        <f>IFERROR(X376*I376/H376,"0")</f>
        <v>0</v>
      </c>
      <c r="BN376" s="75">
        <f>IFERROR(Y376*I376/H376,"0")</f>
        <v>0</v>
      </c>
      <c r="BO376" s="75">
        <f>IFERROR(1/J376*(X376/H376),"0")</f>
        <v>0</v>
      </c>
      <c r="BP376" s="75">
        <f>IFERROR(1/J376*(Y376/H376),"0")</f>
        <v>0</v>
      </c>
    </row>
    <row r="377" spans="1:68" x14ac:dyDescent="0.2">
      <c r="A377" s="759"/>
      <c r="B377" s="759"/>
      <c r="C377" s="759"/>
      <c r="D377" s="759"/>
      <c r="E377" s="759"/>
      <c r="F377" s="759"/>
      <c r="G377" s="759"/>
      <c r="H377" s="759"/>
      <c r="I377" s="759"/>
      <c r="J377" s="759"/>
      <c r="K377" s="759"/>
      <c r="L377" s="759"/>
      <c r="M377" s="759"/>
      <c r="N377" s="759"/>
      <c r="O377" s="767"/>
      <c r="P377" s="764" t="s">
        <v>40</v>
      </c>
      <c r="Q377" s="765"/>
      <c r="R377" s="765"/>
      <c r="S377" s="765"/>
      <c r="T377" s="765"/>
      <c r="U377" s="765"/>
      <c r="V377" s="766"/>
      <c r="W377" s="40" t="s">
        <v>39</v>
      </c>
      <c r="X377" s="41">
        <f>IFERROR(X373/H373,"0")+IFERROR(X374/H374,"0")+IFERROR(X375/H375,"0")+IFERROR(X376/H376,"0")</f>
        <v>5.1282051282051286</v>
      </c>
      <c r="Y377" s="41">
        <f>IFERROR(Y373/H373,"0")+IFERROR(Y374/H374,"0")+IFERROR(Y375/H375,"0")+IFERROR(Y376/H376,"0")</f>
        <v>6</v>
      </c>
      <c r="Z377" s="41">
        <f>IFERROR(IF(Z373="",0,Z373),"0")+IFERROR(IF(Z374="",0,Z374),"0")+IFERROR(IF(Z375="",0,Z375),"0")+IFERROR(IF(Z376="",0,Z376),"0")</f>
        <v>0.11388000000000001</v>
      </c>
      <c r="AA377" s="64"/>
      <c r="AB377" s="64"/>
      <c r="AC377" s="64"/>
    </row>
    <row r="378" spans="1:68" x14ac:dyDescent="0.2">
      <c r="A378" s="759"/>
      <c r="B378" s="759"/>
      <c r="C378" s="759"/>
      <c r="D378" s="759"/>
      <c r="E378" s="759"/>
      <c r="F378" s="759"/>
      <c r="G378" s="759"/>
      <c r="H378" s="759"/>
      <c r="I378" s="759"/>
      <c r="J378" s="759"/>
      <c r="K378" s="759"/>
      <c r="L378" s="759"/>
      <c r="M378" s="759"/>
      <c r="N378" s="759"/>
      <c r="O378" s="767"/>
      <c r="P378" s="764" t="s">
        <v>40</v>
      </c>
      <c r="Q378" s="765"/>
      <c r="R378" s="765"/>
      <c r="S378" s="765"/>
      <c r="T378" s="765"/>
      <c r="U378" s="765"/>
      <c r="V378" s="766"/>
      <c r="W378" s="40" t="s">
        <v>0</v>
      </c>
      <c r="X378" s="41">
        <f>IFERROR(SUM(X373:X376),"0")</f>
        <v>40</v>
      </c>
      <c r="Y378" s="41">
        <f>IFERROR(SUM(Y373:Y376),"0")</f>
        <v>46.8</v>
      </c>
      <c r="Z378" s="40"/>
      <c r="AA378" s="64"/>
      <c r="AB378" s="64"/>
      <c r="AC378" s="64"/>
    </row>
    <row r="379" spans="1:68" ht="14.25" customHeight="1" x14ac:dyDescent="0.25">
      <c r="A379" s="768" t="s">
        <v>93</v>
      </c>
      <c r="B379" s="768"/>
      <c r="C379" s="768"/>
      <c r="D379" s="768"/>
      <c r="E379" s="768"/>
      <c r="F379" s="768"/>
      <c r="G379" s="768"/>
      <c r="H379" s="768"/>
      <c r="I379" s="768"/>
      <c r="J379" s="768"/>
      <c r="K379" s="768"/>
      <c r="L379" s="768"/>
      <c r="M379" s="768"/>
      <c r="N379" s="768"/>
      <c r="O379" s="768"/>
      <c r="P379" s="768"/>
      <c r="Q379" s="768"/>
      <c r="R379" s="768"/>
      <c r="S379" s="768"/>
      <c r="T379" s="768"/>
      <c r="U379" s="768"/>
      <c r="V379" s="768"/>
      <c r="W379" s="768"/>
      <c r="X379" s="768"/>
      <c r="Y379" s="768"/>
      <c r="Z379" s="768"/>
      <c r="AA379" s="63"/>
      <c r="AB379" s="63"/>
      <c r="AC379" s="63"/>
    </row>
    <row r="380" spans="1:68" ht="16.5" customHeight="1" x14ac:dyDescent="0.25">
      <c r="A380" s="60" t="s">
        <v>609</v>
      </c>
      <c r="B380" s="60" t="s">
        <v>610</v>
      </c>
      <c r="C380" s="34">
        <v>4301030232</v>
      </c>
      <c r="D380" s="769">
        <v>4607091388374</v>
      </c>
      <c r="E380" s="769"/>
      <c r="F380" s="59">
        <v>0.38</v>
      </c>
      <c r="G380" s="35">
        <v>8</v>
      </c>
      <c r="H380" s="59">
        <v>3.04</v>
      </c>
      <c r="I380" s="59">
        <v>3.29</v>
      </c>
      <c r="J380" s="35">
        <v>132</v>
      </c>
      <c r="K380" s="35" t="s">
        <v>116</v>
      </c>
      <c r="L380" s="35" t="s">
        <v>45</v>
      </c>
      <c r="M380" s="36" t="s">
        <v>98</v>
      </c>
      <c r="N380" s="36"/>
      <c r="O380" s="35">
        <v>180</v>
      </c>
      <c r="P380" s="922" t="s">
        <v>611</v>
      </c>
      <c r="Q380" s="771"/>
      <c r="R380" s="771"/>
      <c r="S380" s="771"/>
      <c r="T380" s="772"/>
      <c r="U380" s="37" t="s">
        <v>45</v>
      </c>
      <c r="V380" s="37" t="s">
        <v>45</v>
      </c>
      <c r="W380" s="38" t="s">
        <v>0</v>
      </c>
      <c r="X380" s="56">
        <v>0</v>
      </c>
      <c r="Y380" s="53">
        <f>IFERROR(IF(X380="",0,CEILING((X380/$H380),1)*$H380),"")</f>
        <v>0</v>
      </c>
      <c r="Z380" s="39" t="str">
        <f>IFERROR(IF(Y380=0,"",ROUNDUP(Y380/H380,0)*0.00902),"")</f>
        <v/>
      </c>
      <c r="AA380" s="65" t="s">
        <v>45</v>
      </c>
      <c r="AB380" s="66" t="s">
        <v>45</v>
      </c>
      <c r="AC380" s="461" t="s">
        <v>612</v>
      </c>
      <c r="AG380" s="75"/>
      <c r="AJ380" s="79" t="s">
        <v>45</v>
      </c>
      <c r="AK380" s="79">
        <v>0</v>
      </c>
      <c r="BB380" s="462" t="s">
        <v>66</v>
      </c>
      <c r="BM380" s="75">
        <f>IFERROR(X380*I380/H380,"0")</f>
        <v>0</v>
      </c>
      <c r="BN380" s="75">
        <f>IFERROR(Y380*I380/H380,"0")</f>
        <v>0</v>
      </c>
      <c r="BO380" s="75">
        <f>IFERROR(1/J380*(X380/H380),"0")</f>
        <v>0</v>
      </c>
      <c r="BP380" s="75">
        <f>IFERROR(1/J380*(Y380/H380),"0")</f>
        <v>0</v>
      </c>
    </row>
    <row r="381" spans="1:68" ht="27" customHeight="1" x14ac:dyDescent="0.25">
      <c r="A381" s="60" t="s">
        <v>613</v>
      </c>
      <c r="B381" s="60" t="s">
        <v>614</v>
      </c>
      <c r="C381" s="34">
        <v>4301030235</v>
      </c>
      <c r="D381" s="769">
        <v>4607091388381</v>
      </c>
      <c r="E381" s="769"/>
      <c r="F381" s="59">
        <v>0.38</v>
      </c>
      <c r="G381" s="35">
        <v>8</v>
      </c>
      <c r="H381" s="59">
        <v>3.04</v>
      </c>
      <c r="I381" s="59">
        <v>3.33</v>
      </c>
      <c r="J381" s="35">
        <v>132</v>
      </c>
      <c r="K381" s="35" t="s">
        <v>116</v>
      </c>
      <c r="L381" s="35" t="s">
        <v>45</v>
      </c>
      <c r="M381" s="36" t="s">
        <v>98</v>
      </c>
      <c r="N381" s="36"/>
      <c r="O381" s="35">
        <v>180</v>
      </c>
      <c r="P381" s="923" t="s">
        <v>615</v>
      </c>
      <c r="Q381" s="771"/>
      <c r="R381" s="771"/>
      <c r="S381" s="771"/>
      <c r="T381" s="772"/>
      <c r="U381" s="37" t="s">
        <v>45</v>
      </c>
      <c r="V381" s="37" t="s">
        <v>45</v>
      </c>
      <c r="W381" s="38" t="s">
        <v>0</v>
      </c>
      <c r="X381" s="56">
        <v>0</v>
      </c>
      <c r="Y381" s="53">
        <f>IFERROR(IF(X381="",0,CEILING((X381/$H381),1)*$H381),"")</f>
        <v>0</v>
      </c>
      <c r="Z381" s="39" t="str">
        <f>IFERROR(IF(Y381=0,"",ROUNDUP(Y381/H381,0)*0.00902),"")</f>
        <v/>
      </c>
      <c r="AA381" s="65" t="s">
        <v>45</v>
      </c>
      <c r="AB381" s="66" t="s">
        <v>45</v>
      </c>
      <c r="AC381" s="463" t="s">
        <v>612</v>
      </c>
      <c r="AG381" s="75"/>
      <c r="AJ381" s="79" t="s">
        <v>45</v>
      </c>
      <c r="AK381" s="79">
        <v>0</v>
      </c>
      <c r="BB381" s="464" t="s">
        <v>66</v>
      </c>
      <c r="BM381" s="75">
        <f>IFERROR(X381*I381/H381,"0")</f>
        <v>0</v>
      </c>
      <c r="BN381" s="75">
        <f>IFERROR(Y381*I381/H381,"0")</f>
        <v>0</v>
      </c>
      <c r="BO381" s="75">
        <f>IFERROR(1/J381*(X381/H381),"0")</f>
        <v>0</v>
      </c>
      <c r="BP381" s="75">
        <f>IFERROR(1/J381*(Y381/H381),"0")</f>
        <v>0</v>
      </c>
    </row>
    <row r="382" spans="1:68" ht="27" customHeight="1" x14ac:dyDescent="0.25">
      <c r="A382" s="60" t="s">
        <v>616</v>
      </c>
      <c r="B382" s="60" t="s">
        <v>617</v>
      </c>
      <c r="C382" s="34">
        <v>4301032015</v>
      </c>
      <c r="D382" s="769">
        <v>4607091383102</v>
      </c>
      <c r="E382" s="769"/>
      <c r="F382" s="59">
        <v>0.17</v>
      </c>
      <c r="G382" s="35">
        <v>15</v>
      </c>
      <c r="H382" s="59">
        <v>2.5499999999999998</v>
      </c>
      <c r="I382" s="59">
        <v>2.9550000000000001</v>
      </c>
      <c r="J382" s="35">
        <v>182</v>
      </c>
      <c r="K382" s="35" t="s">
        <v>83</v>
      </c>
      <c r="L382" s="35" t="s">
        <v>45</v>
      </c>
      <c r="M382" s="36" t="s">
        <v>98</v>
      </c>
      <c r="N382" s="36"/>
      <c r="O382" s="35">
        <v>180</v>
      </c>
      <c r="P382" s="924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82" s="771"/>
      <c r="R382" s="771"/>
      <c r="S382" s="771"/>
      <c r="T382" s="772"/>
      <c r="U382" s="37" t="s">
        <v>45</v>
      </c>
      <c r="V382" s="37" t="s">
        <v>45</v>
      </c>
      <c r="W382" s="38" t="s">
        <v>0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IFERROR(IF(Y382=0,"",ROUNDUP(Y382/H382,0)*0.00651),"")</f>
        <v/>
      </c>
      <c r="AA382" s="65" t="s">
        <v>45</v>
      </c>
      <c r="AB382" s="66" t="s">
        <v>45</v>
      </c>
      <c r="AC382" s="465" t="s">
        <v>618</v>
      </c>
      <c r="AG382" s="75"/>
      <c r="AJ382" s="79" t="s">
        <v>45</v>
      </c>
      <c r="AK382" s="79">
        <v>0</v>
      </c>
      <c r="BB382" s="466" t="s">
        <v>66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customHeight="1" x14ac:dyDescent="0.25">
      <c r="A383" s="60" t="s">
        <v>619</v>
      </c>
      <c r="B383" s="60" t="s">
        <v>620</v>
      </c>
      <c r="C383" s="34">
        <v>4301030233</v>
      </c>
      <c r="D383" s="769">
        <v>4607091388404</v>
      </c>
      <c r="E383" s="769"/>
      <c r="F383" s="59">
        <v>0.17</v>
      </c>
      <c r="G383" s="35">
        <v>15</v>
      </c>
      <c r="H383" s="59">
        <v>2.5499999999999998</v>
      </c>
      <c r="I383" s="59">
        <v>2.88</v>
      </c>
      <c r="J383" s="35">
        <v>182</v>
      </c>
      <c r="K383" s="35" t="s">
        <v>83</v>
      </c>
      <c r="L383" s="35" t="s">
        <v>45</v>
      </c>
      <c r="M383" s="36" t="s">
        <v>98</v>
      </c>
      <c r="N383" s="36"/>
      <c r="O383" s="35">
        <v>180</v>
      </c>
      <c r="P383" s="91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83" s="771"/>
      <c r="R383" s="771"/>
      <c r="S383" s="771"/>
      <c r="T383" s="772"/>
      <c r="U383" s="37" t="s">
        <v>45</v>
      </c>
      <c r="V383" s="37" t="s">
        <v>45</v>
      </c>
      <c r="W383" s="38" t="s">
        <v>0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IFERROR(IF(Y383=0,"",ROUNDUP(Y383/H383,0)*0.00651),"")</f>
        <v/>
      </c>
      <c r="AA383" s="65" t="s">
        <v>45</v>
      </c>
      <c r="AB383" s="66" t="s">
        <v>45</v>
      </c>
      <c r="AC383" s="467" t="s">
        <v>612</v>
      </c>
      <c r="AG383" s="75"/>
      <c r="AJ383" s="79" t="s">
        <v>45</v>
      </c>
      <c r="AK383" s="79">
        <v>0</v>
      </c>
      <c r="BB383" s="468" t="s">
        <v>66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x14ac:dyDescent="0.2">
      <c r="A384" s="759"/>
      <c r="B384" s="759"/>
      <c r="C384" s="759"/>
      <c r="D384" s="759"/>
      <c r="E384" s="759"/>
      <c r="F384" s="759"/>
      <c r="G384" s="759"/>
      <c r="H384" s="759"/>
      <c r="I384" s="759"/>
      <c r="J384" s="759"/>
      <c r="K384" s="759"/>
      <c r="L384" s="759"/>
      <c r="M384" s="759"/>
      <c r="N384" s="759"/>
      <c r="O384" s="767"/>
      <c r="P384" s="764" t="s">
        <v>40</v>
      </c>
      <c r="Q384" s="765"/>
      <c r="R384" s="765"/>
      <c r="S384" s="765"/>
      <c r="T384" s="765"/>
      <c r="U384" s="765"/>
      <c r="V384" s="766"/>
      <c r="W384" s="40" t="s">
        <v>39</v>
      </c>
      <c r="X384" s="41">
        <f>IFERROR(X380/H380,"0")+IFERROR(X381/H381,"0")+IFERROR(X382/H382,"0")+IFERROR(X383/H383,"0")</f>
        <v>0</v>
      </c>
      <c r="Y384" s="41">
        <f>IFERROR(Y380/H380,"0")+IFERROR(Y381/H381,"0")+IFERROR(Y382/H382,"0")+IFERROR(Y383/H383,"0")</f>
        <v>0</v>
      </c>
      <c r="Z384" s="41">
        <f>IFERROR(IF(Z380="",0,Z380),"0")+IFERROR(IF(Z381="",0,Z381),"0")+IFERROR(IF(Z382="",0,Z382),"0")+IFERROR(IF(Z383="",0,Z383),"0")</f>
        <v>0</v>
      </c>
      <c r="AA384" s="64"/>
      <c r="AB384" s="64"/>
      <c r="AC384" s="64"/>
    </row>
    <row r="385" spans="1:68" x14ac:dyDescent="0.2">
      <c r="A385" s="759"/>
      <c r="B385" s="759"/>
      <c r="C385" s="759"/>
      <c r="D385" s="759"/>
      <c r="E385" s="759"/>
      <c r="F385" s="759"/>
      <c r="G385" s="759"/>
      <c r="H385" s="759"/>
      <c r="I385" s="759"/>
      <c r="J385" s="759"/>
      <c r="K385" s="759"/>
      <c r="L385" s="759"/>
      <c r="M385" s="759"/>
      <c r="N385" s="759"/>
      <c r="O385" s="767"/>
      <c r="P385" s="764" t="s">
        <v>40</v>
      </c>
      <c r="Q385" s="765"/>
      <c r="R385" s="765"/>
      <c r="S385" s="765"/>
      <c r="T385" s="765"/>
      <c r="U385" s="765"/>
      <c r="V385" s="766"/>
      <c r="W385" s="40" t="s">
        <v>0</v>
      </c>
      <c r="X385" s="41">
        <f>IFERROR(SUM(X380:X383),"0")</f>
        <v>0</v>
      </c>
      <c r="Y385" s="41">
        <f>IFERROR(SUM(Y380:Y383),"0")</f>
        <v>0</v>
      </c>
      <c r="Z385" s="40"/>
      <c r="AA385" s="64"/>
      <c r="AB385" s="64"/>
      <c r="AC385" s="64"/>
    </row>
    <row r="386" spans="1:68" ht="14.25" customHeight="1" x14ac:dyDescent="0.25">
      <c r="A386" s="768" t="s">
        <v>621</v>
      </c>
      <c r="B386" s="768"/>
      <c r="C386" s="768"/>
      <c r="D386" s="768"/>
      <c r="E386" s="768"/>
      <c r="F386" s="768"/>
      <c r="G386" s="768"/>
      <c r="H386" s="768"/>
      <c r="I386" s="768"/>
      <c r="J386" s="768"/>
      <c r="K386" s="768"/>
      <c r="L386" s="768"/>
      <c r="M386" s="768"/>
      <c r="N386" s="768"/>
      <c r="O386" s="768"/>
      <c r="P386" s="768"/>
      <c r="Q386" s="768"/>
      <c r="R386" s="768"/>
      <c r="S386" s="768"/>
      <c r="T386" s="768"/>
      <c r="U386" s="768"/>
      <c r="V386" s="768"/>
      <c r="W386" s="768"/>
      <c r="X386" s="768"/>
      <c r="Y386" s="768"/>
      <c r="Z386" s="768"/>
      <c r="AA386" s="63"/>
      <c r="AB386" s="63"/>
      <c r="AC386" s="63"/>
    </row>
    <row r="387" spans="1:68" ht="16.5" customHeight="1" x14ac:dyDescent="0.25">
      <c r="A387" s="60" t="s">
        <v>622</v>
      </c>
      <c r="B387" s="60" t="s">
        <v>623</v>
      </c>
      <c r="C387" s="34">
        <v>4301180007</v>
      </c>
      <c r="D387" s="769">
        <v>4680115881808</v>
      </c>
      <c r="E387" s="769"/>
      <c r="F387" s="59">
        <v>0.1</v>
      </c>
      <c r="G387" s="35">
        <v>20</v>
      </c>
      <c r="H387" s="59">
        <v>2</v>
      </c>
      <c r="I387" s="59">
        <v>2.2400000000000002</v>
      </c>
      <c r="J387" s="35">
        <v>238</v>
      </c>
      <c r="K387" s="35" t="s">
        <v>83</v>
      </c>
      <c r="L387" s="35" t="s">
        <v>45</v>
      </c>
      <c r="M387" s="36" t="s">
        <v>625</v>
      </c>
      <c r="N387" s="36"/>
      <c r="O387" s="35">
        <v>730</v>
      </c>
      <c r="P387" s="91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87" s="771"/>
      <c r="R387" s="771"/>
      <c r="S387" s="771"/>
      <c r="T387" s="772"/>
      <c r="U387" s="37" t="s">
        <v>45</v>
      </c>
      <c r="V387" s="37" t="s">
        <v>45</v>
      </c>
      <c r="W387" s="38" t="s">
        <v>0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IFERROR(IF(Y387=0,"",ROUNDUP(Y387/H387,0)*0.00474),"")</f>
        <v/>
      </c>
      <c r="AA387" s="65" t="s">
        <v>45</v>
      </c>
      <c r="AB387" s="66" t="s">
        <v>45</v>
      </c>
      <c r="AC387" s="469" t="s">
        <v>624</v>
      </c>
      <c r="AG387" s="75"/>
      <c r="AJ387" s="79" t="s">
        <v>45</v>
      </c>
      <c r="AK387" s="79">
        <v>0</v>
      </c>
      <c r="BB387" s="470" t="s">
        <v>66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t="27" customHeight="1" x14ac:dyDescent="0.25">
      <c r="A388" s="60" t="s">
        <v>626</v>
      </c>
      <c r="B388" s="60" t="s">
        <v>627</v>
      </c>
      <c r="C388" s="34">
        <v>4301180006</v>
      </c>
      <c r="D388" s="769">
        <v>4680115881822</v>
      </c>
      <c r="E388" s="769"/>
      <c r="F388" s="59">
        <v>0.1</v>
      </c>
      <c r="G388" s="35">
        <v>20</v>
      </c>
      <c r="H388" s="59">
        <v>2</v>
      </c>
      <c r="I388" s="59">
        <v>2.2400000000000002</v>
      </c>
      <c r="J388" s="35">
        <v>238</v>
      </c>
      <c r="K388" s="35" t="s">
        <v>83</v>
      </c>
      <c r="L388" s="35" t="s">
        <v>45</v>
      </c>
      <c r="M388" s="36" t="s">
        <v>625</v>
      </c>
      <c r="N388" s="36"/>
      <c r="O388" s="35">
        <v>730</v>
      </c>
      <c r="P388" s="91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88" s="771"/>
      <c r="R388" s="771"/>
      <c r="S388" s="771"/>
      <c r="T388" s="772"/>
      <c r="U388" s="37" t="s">
        <v>45</v>
      </c>
      <c r="V388" s="37" t="s">
        <v>45</v>
      </c>
      <c r="W388" s="38" t="s">
        <v>0</v>
      </c>
      <c r="X388" s="56">
        <v>0</v>
      </c>
      <c r="Y388" s="53">
        <f>IFERROR(IF(X388="",0,CEILING((X388/$H388),1)*$H388),"")</f>
        <v>0</v>
      </c>
      <c r="Z388" s="39" t="str">
        <f>IFERROR(IF(Y388=0,"",ROUNDUP(Y388/H388,0)*0.00474),"")</f>
        <v/>
      </c>
      <c r="AA388" s="65" t="s">
        <v>45</v>
      </c>
      <c r="AB388" s="66" t="s">
        <v>45</v>
      </c>
      <c r="AC388" s="471" t="s">
        <v>624</v>
      </c>
      <c r="AG388" s="75"/>
      <c r="AJ388" s="79" t="s">
        <v>45</v>
      </c>
      <c r="AK388" s="79">
        <v>0</v>
      </c>
      <c r="BB388" s="472" t="s">
        <v>66</v>
      </c>
      <c r="BM388" s="75">
        <f>IFERROR(X388*I388/H388,"0")</f>
        <v>0</v>
      </c>
      <c r="BN388" s="75">
        <f>IFERROR(Y388*I388/H388,"0")</f>
        <v>0</v>
      </c>
      <c r="BO388" s="75">
        <f>IFERROR(1/J388*(X388/H388),"0")</f>
        <v>0</v>
      </c>
      <c r="BP388" s="75">
        <f>IFERROR(1/J388*(Y388/H388),"0")</f>
        <v>0</v>
      </c>
    </row>
    <row r="389" spans="1:68" ht="27" customHeight="1" x14ac:dyDescent="0.25">
      <c r="A389" s="60" t="s">
        <v>628</v>
      </c>
      <c r="B389" s="60" t="s">
        <v>629</v>
      </c>
      <c r="C389" s="34">
        <v>4301180001</v>
      </c>
      <c r="D389" s="769">
        <v>4680115880016</v>
      </c>
      <c r="E389" s="769"/>
      <c r="F389" s="59">
        <v>0.1</v>
      </c>
      <c r="G389" s="35">
        <v>20</v>
      </c>
      <c r="H389" s="59">
        <v>2</v>
      </c>
      <c r="I389" s="59">
        <v>2.2400000000000002</v>
      </c>
      <c r="J389" s="35">
        <v>238</v>
      </c>
      <c r="K389" s="35" t="s">
        <v>83</v>
      </c>
      <c r="L389" s="35" t="s">
        <v>45</v>
      </c>
      <c r="M389" s="36" t="s">
        <v>625</v>
      </c>
      <c r="N389" s="36"/>
      <c r="O389" s="35">
        <v>730</v>
      </c>
      <c r="P389" s="91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89" s="771"/>
      <c r="R389" s="771"/>
      <c r="S389" s="771"/>
      <c r="T389" s="772"/>
      <c r="U389" s="37" t="s">
        <v>45</v>
      </c>
      <c r="V389" s="37" t="s">
        <v>45</v>
      </c>
      <c r="W389" s="38" t="s">
        <v>0</v>
      </c>
      <c r="X389" s="56">
        <v>0</v>
      </c>
      <c r="Y389" s="53">
        <f>IFERROR(IF(X389="",0,CEILING((X389/$H389),1)*$H389),"")</f>
        <v>0</v>
      </c>
      <c r="Z389" s="39" t="str">
        <f>IFERROR(IF(Y389=0,"",ROUNDUP(Y389/H389,0)*0.00474),"")</f>
        <v/>
      </c>
      <c r="AA389" s="65" t="s">
        <v>45</v>
      </c>
      <c r="AB389" s="66" t="s">
        <v>45</v>
      </c>
      <c r="AC389" s="473" t="s">
        <v>624</v>
      </c>
      <c r="AG389" s="75"/>
      <c r="AJ389" s="79" t="s">
        <v>45</v>
      </c>
      <c r="AK389" s="79">
        <v>0</v>
      </c>
      <c r="BB389" s="474" t="s">
        <v>66</v>
      </c>
      <c r="BM389" s="75">
        <f>IFERROR(X389*I389/H389,"0")</f>
        <v>0</v>
      </c>
      <c r="BN389" s="75">
        <f>IFERROR(Y389*I389/H389,"0")</f>
        <v>0</v>
      </c>
      <c r="BO389" s="75">
        <f>IFERROR(1/J389*(X389/H389),"0")</f>
        <v>0</v>
      </c>
      <c r="BP389" s="75">
        <f>IFERROR(1/J389*(Y389/H389),"0")</f>
        <v>0</v>
      </c>
    </row>
    <row r="390" spans="1:68" x14ac:dyDescent="0.2">
      <c r="A390" s="759"/>
      <c r="B390" s="759"/>
      <c r="C390" s="759"/>
      <c r="D390" s="759"/>
      <c r="E390" s="759"/>
      <c r="F390" s="759"/>
      <c r="G390" s="759"/>
      <c r="H390" s="759"/>
      <c r="I390" s="759"/>
      <c r="J390" s="759"/>
      <c r="K390" s="759"/>
      <c r="L390" s="759"/>
      <c r="M390" s="759"/>
      <c r="N390" s="759"/>
      <c r="O390" s="767"/>
      <c r="P390" s="764" t="s">
        <v>40</v>
      </c>
      <c r="Q390" s="765"/>
      <c r="R390" s="765"/>
      <c r="S390" s="765"/>
      <c r="T390" s="765"/>
      <c r="U390" s="765"/>
      <c r="V390" s="766"/>
      <c r="W390" s="40" t="s">
        <v>39</v>
      </c>
      <c r="X390" s="41">
        <f>IFERROR(X387/H387,"0")+IFERROR(X388/H388,"0")+IFERROR(X389/H389,"0")</f>
        <v>0</v>
      </c>
      <c r="Y390" s="41">
        <f>IFERROR(Y387/H387,"0")+IFERROR(Y388/H388,"0")+IFERROR(Y389/H389,"0")</f>
        <v>0</v>
      </c>
      <c r="Z390" s="41">
        <f>IFERROR(IF(Z387="",0,Z387),"0")+IFERROR(IF(Z388="",0,Z388),"0")+IFERROR(IF(Z389="",0,Z389),"0")</f>
        <v>0</v>
      </c>
      <c r="AA390" s="64"/>
      <c r="AB390" s="64"/>
      <c r="AC390" s="64"/>
    </row>
    <row r="391" spans="1:68" x14ac:dyDescent="0.2">
      <c r="A391" s="759"/>
      <c r="B391" s="759"/>
      <c r="C391" s="759"/>
      <c r="D391" s="759"/>
      <c r="E391" s="759"/>
      <c r="F391" s="759"/>
      <c r="G391" s="759"/>
      <c r="H391" s="759"/>
      <c r="I391" s="759"/>
      <c r="J391" s="759"/>
      <c r="K391" s="759"/>
      <c r="L391" s="759"/>
      <c r="M391" s="759"/>
      <c r="N391" s="759"/>
      <c r="O391" s="767"/>
      <c r="P391" s="764" t="s">
        <v>40</v>
      </c>
      <c r="Q391" s="765"/>
      <c r="R391" s="765"/>
      <c r="S391" s="765"/>
      <c r="T391" s="765"/>
      <c r="U391" s="765"/>
      <c r="V391" s="766"/>
      <c r="W391" s="40" t="s">
        <v>0</v>
      </c>
      <c r="X391" s="41">
        <f>IFERROR(SUM(X387:X389),"0")</f>
        <v>0</v>
      </c>
      <c r="Y391" s="41">
        <f>IFERROR(SUM(Y387:Y389),"0")</f>
        <v>0</v>
      </c>
      <c r="Z391" s="40"/>
      <c r="AA391" s="64"/>
      <c r="AB391" s="64"/>
      <c r="AC391" s="64"/>
    </row>
    <row r="392" spans="1:68" ht="16.5" customHeight="1" x14ac:dyDescent="0.25">
      <c r="A392" s="776" t="s">
        <v>630</v>
      </c>
      <c r="B392" s="776"/>
      <c r="C392" s="776"/>
      <c r="D392" s="776"/>
      <c r="E392" s="776"/>
      <c r="F392" s="776"/>
      <c r="G392" s="776"/>
      <c r="H392" s="776"/>
      <c r="I392" s="776"/>
      <c r="J392" s="776"/>
      <c r="K392" s="776"/>
      <c r="L392" s="776"/>
      <c r="M392" s="776"/>
      <c r="N392" s="776"/>
      <c r="O392" s="776"/>
      <c r="P392" s="776"/>
      <c r="Q392" s="776"/>
      <c r="R392" s="776"/>
      <c r="S392" s="776"/>
      <c r="T392" s="776"/>
      <c r="U392" s="776"/>
      <c r="V392" s="776"/>
      <c r="W392" s="776"/>
      <c r="X392" s="776"/>
      <c r="Y392" s="776"/>
      <c r="Z392" s="776"/>
      <c r="AA392" s="62"/>
      <c r="AB392" s="62"/>
      <c r="AC392" s="62"/>
    </row>
    <row r="393" spans="1:68" ht="14.25" customHeight="1" x14ac:dyDescent="0.25">
      <c r="A393" s="768" t="s">
        <v>164</v>
      </c>
      <c r="B393" s="768"/>
      <c r="C393" s="768"/>
      <c r="D393" s="768"/>
      <c r="E393" s="768"/>
      <c r="F393" s="768"/>
      <c r="G393" s="768"/>
      <c r="H393" s="768"/>
      <c r="I393" s="768"/>
      <c r="J393" s="768"/>
      <c r="K393" s="768"/>
      <c r="L393" s="768"/>
      <c r="M393" s="768"/>
      <c r="N393" s="768"/>
      <c r="O393" s="768"/>
      <c r="P393" s="768"/>
      <c r="Q393" s="768"/>
      <c r="R393" s="768"/>
      <c r="S393" s="768"/>
      <c r="T393" s="768"/>
      <c r="U393" s="768"/>
      <c r="V393" s="768"/>
      <c r="W393" s="768"/>
      <c r="X393" s="768"/>
      <c r="Y393" s="768"/>
      <c r="Z393" s="768"/>
      <c r="AA393" s="63"/>
      <c r="AB393" s="63"/>
      <c r="AC393" s="63"/>
    </row>
    <row r="394" spans="1:68" ht="27" customHeight="1" x14ac:dyDescent="0.25">
      <c r="A394" s="60" t="s">
        <v>631</v>
      </c>
      <c r="B394" s="60" t="s">
        <v>632</v>
      </c>
      <c r="C394" s="34">
        <v>4301031066</v>
      </c>
      <c r="D394" s="769">
        <v>4607091383836</v>
      </c>
      <c r="E394" s="769"/>
      <c r="F394" s="59">
        <v>0.3</v>
      </c>
      <c r="G394" s="35">
        <v>6</v>
      </c>
      <c r="H394" s="59">
        <v>1.8</v>
      </c>
      <c r="I394" s="59">
        <v>2.028</v>
      </c>
      <c r="J394" s="35">
        <v>182</v>
      </c>
      <c r="K394" s="35" t="s">
        <v>83</v>
      </c>
      <c r="L394" s="35" t="s">
        <v>45</v>
      </c>
      <c r="M394" s="36" t="s">
        <v>82</v>
      </c>
      <c r="N394" s="36"/>
      <c r="O394" s="35">
        <v>40</v>
      </c>
      <c r="P394" s="910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94" s="771"/>
      <c r="R394" s="771"/>
      <c r="S394" s="771"/>
      <c r="T394" s="772"/>
      <c r="U394" s="37" t="s">
        <v>45</v>
      </c>
      <c r="V394" s="37" t="s">
        <v>45</v>
      </c>
      <c r="W394" s="38" t="s">
        <v>0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IFERROR(IF(Y394=0,"",ROUNDUP(Y394/H394,0)*0.00651),"")</f>
        <v/>
      </c>
      <c r="AA394" s="65" t="s">
        <v>45</v>
      </c>
      <c r="AB394" s="66" t="s">
        <v>45</v>
      </c>
      <c r="AC394" s="475" t="s">
        <v>633</v>
      </c>
      <c r="AG394" s="75"/>
      <c r="AJ394" s="79" t="s">
        <v>45</v>
      </c>
      <c r="AK394" s="79">
        <v>0</v>
      </c>
      <c r="BB394" s="476" t="s">
        <v>66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x14ac:dyDescent="0.2">
      <c r="A395" s="759"/>
      <c r="B395" s="759"/>
      <c r="C395" s="759"/>
      <c r="D395" s="759"/>
      <c r="E395" s="759"/>
      <c r="F395" s="759"/>
      <c r="G395" s="759"/>
      <c r="H395" s="759"/>
      <c r="I395" s="759"/>
      <c r="J395" s="759"/>
      <c r="K395" s="759"/>
      <c r="L395" s="759"/>
      <c r="M395" s="759"/>
      <c r="N395" s="759"/>
      <c r="O395" s="767"/>
      <c r="P395" s="764" t="s">
        <v>40</v>
      </c>
      <c r="Q395" s="765"/>
      <c r="R395" s="765"/>
      <c r="S395" s="765"/>
      <c r="T395" s="765"/>
      <c r="U395" s="765"/>
      <c r="V395" s="766"/>
      <c r="W395" s="40" t="s">
        <v>39</v>
      </c>
      <c r="X395" s="41">
        <f>IFERROR(X394/H394,"0")</f>
        <v>0</v>
      </c>
      <c r="Y395" s="41">
        <f>IFERROR(Y394/H394,"0")</f>
        <v>0</v>
      </c>
      <c r="Z395" s="41">
        <f>IFERROR(IF(Z394="",0,Z394),"0")</f>
        <v>0</v>
      </c>
      <c r="AA395" s="64"/>
      <c r="AB395" s="64"/>
      <c r="AC395" s="64"/>
    </row>
    <row r="396" spans="1:68" x14ac:dyDescent="0.2">
      <c r="A396" s="759"/>
      <c r="B396" s="759"/>
      <c r="C396" s="759"/>
      <c r="D396" s="759"/>
      <c r="E396" s="759"/>
      <c r="F396" s="759"/>
      <c r="G396" s="759"/>
      <c r="H396" s="759"/>
      <c r="I396" s="759"/>
      <c r="J396" s="759"/>
      <c r="K396" s="759"/>
      <c r="L396" s="759"/>
      <c r="M396" s="759"/>
      <c r="N396" s="759"/>
      <c r="O396" s="767"/>
      <c r="P396" s="764" t="s">
        <v>40</v>
      </c>
      <c r="Q396" s="765"/>
      <c r="R396" s="765"/>
      <c r="S396" s="765"/>
      <c r="T396" s="765"/>
      <c r="U396" s="765"/>
      <c r="V396" s="766"/>
      <c r="W396" s="40" t="s">
        <v>0</v>
      </c>
      <c r="X396" s="41">
        <f>IFERROR(SUM(X394:X394),"0")</f>
        <v>0</v>
      </c>
      <c r="Y396" s="41">
        <f>IFERROR(SUM(Y394:Y394),"0")</f>
        <v>0</v>
      </c>
      <c r="Z396" s="40"/>
      <c r="AA396" s="64"/>
      <c r="AB396" s="64"/>
      <c r="AC396" s="64"/>
    </row>
    <row r="397" spans="1:68" ht="14.25" customHeight="1" x14ac:dyDescent="0.25">
      <c r="A397" s="768" t="s">
        <v>78</v>
      </c>
      <c r="B397" s="768"/>
      <c r="C397" s="768"/>
      <c r="D397" s="768"/>
      <c r="E397" s="768"/>
      <c r="F397" s="768"/>
      <c r="G397" s="768"/>
      <c r="H397" s="768"/>
      <c r="I397" s="768"/>
      <c r="J397" s="768"/>
      <c r="K397" s="768"/>
      <c r="L397" s="768"/>
      <c r="M397" s="768"/>
      <c r="N397" s="768"/>
      <c r="O397" s="768"/>
      <c r="P397" s="768"/>
      <c r="Q397" s="768"/>
      <c r="R397" s="768"/>
      <c r="S397" s="768"/>
      <c r="T397" s="768"/>
      <c r="U397" s="768"/>
      <c r="V397" s="768"/>
      <c r="W397" s="768"/>
      <c r="X397" s="768"/>
      <c r="Y397" s="768"/>
      <c r="Z397" s="768"/>
      <c r="AA397" s="63"/>
      <c r="AB397" s="63"/>
      <c r="AC397" s="63"/>
    </row>
    <row r="398" spans="1:68" ht="37.5" customHeight="1" x14ac:dyDescent="0.25">
      <c r="A398" s="60" t="s">
        <v>634</v>
      </c>
      <c r="B398" s="60" t="s">
        <v>635</v>
      </c>
      <c r="C398" s="34">
        <v>4301051142</v>
      </c>
      <c r="D398" s="769">
        <v>4607091387919</v>
      </c>
      <c r="E398" s="769"/>
      <c r="F398" s="59">
        <v>1.35</v>
      </c>
      <c r="G398" s="35">
        <v>6</v>
      </c>
      <c r="H398" s="59">
        <v>8.1</v>
      </c>
      <c r="I398" s="59">
        <v>8.6189999999999998</v>
      </c>
      <c r="J398" s="35">
        <v>64</v>
      </c>
      <c r="K398" s="35" t="s">
        <v>107</v>
      </c>
      <c r="L398" s="35" t="s">
        <v>45</v>
      </c>
      <c r="M398" s="36" t="s">
        <v>82</v>
      </c>
      <c r="N398" s="36"/>
      <c r="O398" s="35">
        <v>45</v>
      </c>
      <c r="P398" s="911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98" s="771"/>
      <c r="R398" s="771"/>
      <c r="S398" s="771"/>
      <c r="T398" s="772"/>
      <c r="U398" s="37" t="s">
        <v>45</v>
      </c>
      <c r="V398" s="37" t="s">
        <v>45</v>
      </c>
      <c r="W398" s="38" t="s">
        <v>0</v>
      </c>
      <c r="X398" s="56">
        <v>0</v>
      </c>
      <c r="Y398" s="53">
        <f>IFERROR(IF(X398="",0,CEILING((X398/$H398),1)*$H398),"")</f>
        <v>0</v>
      </c>
      <c r="Z398" s="39" t="str">
        <f>IFERROR(IF(Y398=0,"",ROUNDUP(Y398/H398,0)*0.01898),"")</f>
        <v/>
      </c>
      <c r="AA398" s="65" t="s">
        <v>45</v>
      </c>
      <c r="AB398" s="66" t="s">
        <v>45</v>
      </c>
      <c r="AC398" s="477" t="s">
        <v>636</v>
      </c>
      <c r="AG398" s="75"/>
      <c r="AJ398" s="79" t="s">
        <v>45</v>
      </c>
      <c r="AK398" s="79">
        <v>0</v>
      </c>
      <c r="BB398" s="478" t="s">
        <v>66</v>
      </c>
      <c r="BM398" s="75">
        <f>IFERROR(X398*I398/H398,"0")</f>
        <v>0</v>
      </c>
      <c r="BN398" s="75">
        <f>IFERROR(Y398*I398/H398,"0")</f>
        <v>0</v>
      </c>
      <c r="BO398" s="75">
        <f>IFERROR(1/J398*(X398/H398),"0")</f>
        <v>0</v>
      </c>
      <c r="BP398" s="75">
        <f>IFERROR(1/J398*(Y398/H398),"0")</f>
        <v>0</v>
      </c>
    </row>
    <row r="399" spans="1:68" ht="37.5" customHeight="1" x14ac:dyDescent="0.25">
      <c r="A399" s="60" t="s">
        <v>637</v>
      </c>
      <c r="B399" s="60" t="s">
        <v>638</v>
      </c>
      <c r="C399" s="34">
        <v>4301051461</v>
      </c>
      <c r="D399" s="769">
        <v>4680115883604</v>
      </c>
      <c r="E399" s="769"/>
      <c r="F399" s="59">
        <v>0.35</v>
      </c>
      <c r="G399" s="35">
        <v>6</v>
      </c>
      <c r="H399" s="59">
        <v>2.1</v>
      </c>
      <c r="I399" s="59">
        <v>2.3519999999999999</v>
      </c>
      <c r="J399" s="35">
        <v>182</v>
      </c>
      <c r="K399" s="35" t="s">
        <v>83</v>
      </c>
      <c r="L399" s="35" t="s">
        <v>45</v>
      </c>
      <c r="M399" s="36" t="s">
        <v>106</v>
      </c>
      <c r="N399" s="36"/>
      <c r="O399" s="35">
        <v>45</v>
      </c>
      <c r="P399" s="91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99" s="771"/>
      <c r="R399" s="771"/>
      <c r="S399" s="771"/>
      <c r="T399" s="772"/>
      <c r="U399" s="37" t="s">
        <v>45</v>
      </c>
      <c r="V399" s="37" t="s">
        <v>45</v>
      </c>
      <c r="W399" s="38" t="s">
        <v>0</v>
      </c>
      <c r="X399" s="56">
        <v>0</v>
      </c>
      <c r="Y399" s="53">
        <f>IFERROR(IF(X399="",0,CEILING((X399/$H399),1)*$H399),"")</f>
        <v>0</v>
      </c>
      <c r="Z399" s="39" t="str">
        <f>IFERROR(IF(Y399=0,"",ROUNDUP(Y399/H399,0)*0.00651),"")</f>
        <v/>
      </c>
      <c r="AA399" s="65" t="s">
        <v>45</v>
      </c>
      <c r="AB399" s="66" t="s">
        <v>45</v>
      </c>
      <c r="AC399" s="479" t="s">
        <v>639</v>
      </c>
      <c r="AG399" s="75"/>
      <c r="AJ399" s="79" t="s">
        <v>45</v>
      </c>
      <c r="AK399" s="79">
        <v>0</v>
      </c>
      <c r="BB399" s="480" t="s">
        <v>66</v>
      </c>
      <c r="BM399" s="75">
        <f>IFERROR(X399*I399/H399,"0")</f>
        <v>0</v>
      </c>
      <c r="BN399" s="75">
        <f>IFERROR(Y399*I399/H399,"0")</f>
        <v>0</v>
      </c>
      <c r="BO399" s="75">
        <f>IFERROR(1/J399*(X399/H399),"0")</f>
        <v>0</v>
      </c>
      <c r="BP399" s="75">
        <f>IFERROR(1/J399*(Y399/H399),"0")</f>
        <v>0</v>
      </c>
    </row>
    <row r="400" spans="1:68" ht="27" customHeight="1" x14ac:dyDescent="0.25">
      <c r="A400" s="60" t="s">
        <v>640</v>
      </c>
      <c r="B400" s="60" t="s">
        <v>641</v>
      </c>
      <c r="C400" s="34">
        <v>4301051485</v>
      </c>
      <c r="D400" s="769">
        <v>4680115883567</v>
      </c>
      <c r="E400" s="769"/>
      <c r="F400" s="59">
        <v>0.35</v>
      </c>
      <c r="G400" s="35">
        <v>6</v>
      </c>
      <c r="H400" s="59">
        <v>2.1</v>
      </c>
      <c r="I400" s="59">
        <v>2.34</v>
      </c>
      <c r="J400" s="35">
        <v>182</v>
      </c>
      <c r="K400" s="35" t="s">
        <v>83</v>
      </c>
      <c r="L400" s="35" t="s">
        <v>45</v>
      </c>
      <c r="M400" s="36" t="s">
        <v>82</v>
      </c>
      <c r="N400" s="36"/>
      <c r="O400" s="35">
        <v>40</v>
      </c>
      <c r="P400" s="91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400" s="771"/>
      <c r="R400" s="771"/>
      <c r="S400" s="771"/>
      <c r="T400" s="772"/>
      <c r="U400" s="37" t="s">
        <v>45</v>
      </c>
      <c r="V400" s="37" t="s">
        <v>45</v>
      </c>
      <c r="W400" s="38" t="s">
        <v>0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IFERROR(IF(Y400=0,"",ROUNDUP(Y400/H400,0)*0.00651),"")</f>
        <v/>
      </c>
      <c r="AA400" s="65" t="s">
        <v>45</v>
      </c>
      <c r="AB400" s="66" t="s">
        <v>45</v>
      </c>
      <c r="AC400" s="481" t="s">
        <v>642</v>
      </c>
      <c r="AG400" s="75"/>
      <c r="AJ400" s="79" t="s">
        <v>45</v>
      </c>
      <c r="AK400" s="79">
        <v>0</v>
      </c>
      <c r="BB400" s="482" t="s">
        <v>66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x14ac:dyDescent="0.2">
      <c r="A401" s="759"/>
      <c r="B401" s="759"/>
      <c r="C401" s="759"/>
      <c r="D401" s="759"/>
      <c r="E401" s="759"/>
      <c r="F401" s="759"/>
      <c r="G401" s="759"/>
      <c r="H401" s="759"/>
      <c r="I401" s="759"/>
      <c r="J401" s="759"/>
      <c r="K401" s="759"/>
      <c r="L401" s="759"/>
      <c r="M401" s="759"/>
      <c r="N401" s="759"/>
      <c r="O401" s="767"/>
      <c r="P401" s="764" t="s">
        <v>40</v>
      </c>
      <c r="Q401" s="765"/>
      <c r="R401" s="765"/>
      <c r="S401" s="765"/>
      <c r="T401" s="765"/>
      <c r="U401" s="765"/>
      <c r="V401" s="766"/>
      <c r="W401" s="40" t="s">
        <v>39</v>
      </c>
      <c r="X401" s="41">
        <f>IFERROR(X398/H398,"0")+IFERROR(X399/H399,"0")+IFERROR(X400/H400,"0")</f>
        <v>0</v>
      </c>
      <c r="Y401" s="41">
        <f>IFERROR(Y398/H398,"0")+IFERROR(Y399/H399,"0")+IFERROR(Y400/H400,"0")</f>
        <v>0</v>
      </c>
      <c r="Z401" s="41">
        <f>IFERROR(IF(Z398="",0,Z398),"0")+IFERROR(IF(Z399="",0,Z399),"0")+IFERROR(IF(Z400="",0,Z400),"0")</f>
        <v>0</v>
      </c>
      <c r="AA401" s="64"/>
      <c r="AB401" s="64"/>
      <c r="AC401" s="64"/>
    </row>
    <row r="402" spans="1:68" x14ac:dyDescent="0.2">
      <c r="A402" s="759"/>
      <c r="B402" s="759"/>
      <c r="C402" s="759"/>
      <c r="D402" s="759"/>
      <c r="E402" s="759"/>
      <c r="F402" s="759"/>
      <c r="G402" s="759"/>
      <c r="H402" s="759"/>
      <c r="I402" s="759"/>
      <c r="J402" s="759"/>
      <c r="K402" s="759"/>
      <c r="L402" s="759"/>
      <c r="M402" s="759"/>
      <c r="N402" s="759"/>
      <c r="O402" s="767"/>
      <c r="P402" s="764" t="s">
        <v>40</v>
      </c>
      <c r="Q402" s="765"/>
      <c r="R402" s="765"/>
      <c r="S402" s="765"/>
      <c r="T402" s="765"/>
      <c r="U402" s="765"/>
      <c r="V402" s="766"/>
      <c r="W402" s="40" t="s">
        <v>0</v>
      </c>
      <c r="X402" s="41">
        <f>IFERROR(SUM(X398:X400),"0")</f>
        <v>0</v>
      </c>
      <c r="Y402" s="41">
        <f>IFERROR(SUM(Y398:Y400),"0")</f>
        <v>0</v>
      </c>
      <c r="Z402" s="40"/>
      <c r="AA402" s="64"/>
      <c r="AB402" s="64"/>
      <c r="AC402" s="64"/>
    </row>
    <row r="403" spans="1:68" ht="27.75" customHeight="1" x14ac:dyDescent="0.2">
      <c r="A403" s="809" t="s">
        <v>643</v>
      </c>
      <c r="B403" s="809"/>
      <c r="C403" s="809"/>
      <c r="D403" s="809"/>
      <c r="E403" s="809"/>
      <c r="F403" s="809"/>
      <c r="G403" s="809"/>
      <c r="H403" s="809"/>
      <c r="I403" s="809"/>
      <c r="J403" s="809"/>
      <c r="K403" s="809"/>
      <c r="L403" s="809"/>
      <c r="M403" s="809"/>
      <c r="N403" s="809"/>
      <c r="O403" s="809"/>
      <c r="P403" s="809"/>
      <c r="Q403" s="809"/>
      <c r="R403" s="809"/>
      <c r="S403" s="809"/>
      <c r="T403" s="809"/>
      <c r="U403" s="809"/>
      <c r="V403" s="809"/>
      <c r="W403" s="809"/>
      <c r="X403" s="809"/>
      <c r="Y403" s="809"/>
      <c r="Z403" s="809"/>
      <c r="AA403" s="52"/>
      <c r="AB403" s="52"/>
      <c r="AC403" s="52"/>
    </row>
    <row r="404" spans="1:68" ht="16.5" customHeight="1" x14ac:dyDescent="0.25">
      <c r="A404" s="776" t="s">
        <v>644</v>
      </c>
      <c r="B404" s="776"/>
      <c r="C404" s="776"/>
      <c r="D404" s="776"/>
      <c r="E404" s="776"/>
      <c r="F404" s="776"/>
      <c r="G404" s="776"/>
      <c r="H404" s="776"/>
      <c r="I404" s="776"/>
      <c r="J404" s="776"/>
      <c r="K404" s="776"/>
      <c r="L404" s="776"/>
      <c r="M404" s="776"/>
      <c r="N404" s="776"/>
      <c r="O404" s="776"/>
      <c r="P404" s="776"/>
      <c r="Q404" s="776"/>
      <c r="R404" s="776"/>
      <c r="S404" s="776"/>
      <c r="T404" s="776"/>
      <c r="U404" s="776"/>
      <c r="V404" s="776"/>
      <c r="W404" s="776"/>
      <c r="X404" s="776"/>
      <c r="Y404" s="776"/>
      <c r="Z404" s="776"/>
      <c r="AA404" s="62"/>
      <c r="AB404" s="62"/>
      <c r="AC404" s="62"/>
    </row>
    <row r="405" spans="1:68" ht="14.25" customHeight="1" x14ac:dyDescent="0.25">
      <c r="A405" s="768" t="s">
        <v>101</v>
      </c>
      <c r="B405" s="768"/>
      <c r="C405" s="768"/>
      <c r="D405" s="768"/>
      <c r="E405" s="768"/>
      <c r="F405" s="768"/>
      <c r="G405" s="768"/>
      <c r="H405" s="768"/>
      <c r="I405" s="768"/>
      <c r="J405" s="768"/>
      <c r="K405" s="768"/>
      <c r="L405" s="768"/>
      <c r="M405" s="768"/>
      <c r="N405" s="768"/>
      <c r="O405" s="768"/>
      <c r="P405" s="768"/>
      <c r="Q405" s="768"/>
      <c r="R405" s="768"/>
      <c r="S405" s="768"/>
      <c r="T405" s="768"/>
      <c r="U405" s="768"/>
      <c r="V405" s="768"/>
      <c r="W405" s="768"/>
      <c r="X405" s="768"/>
      <c r="Y405" s="768"/>
      <c r="Z405" s="768"/>
      <c r="AA405" s="63"/>
      <c r="AB405" s="63"/>
      <c r="AC405" s="63"/>
    </row>
    <row r="406" spans="1:68" ht="37.5" customHeight="1" x14ac:dyDescent="0.25">
      <c r="A406" s="60" t="s">
        <v>645</v>
      </c>
      <c r="B406" s="60" t="s">
        <v>646</v>
      </c>
      <c r="C406" s="34">
        <v>4301011869</v>
      </c>
      <c r="D406" s="769">
        <v>4680115884847</v>
      </c>
      <c r="E406" s="769"/>
      <c r="F406" s="59">
        <v>2.5</v>
      </c>
      <c r="G406" s="35">
        <v>6</v>
      </c>
      <c r="H406" s="59">
        <v>15</v>
      </c>
      <c r="I406" s="59">
        <v>15.48</v>
      </c>
      <c r="J406" s="35">
        <v>48</v>
      </c>
      <c r="K406" s="35" t="s">
        <v>107</v>
      </c>
      <c r="L406" s="35" t="s">
        <v>137</v>
      </c>
      <c r="M406" s="36" t="s">
        <v>82</v>
      </c>
      <c r="N406" s="36"/>
      <c r="O406" s="35">
        <v>60</v>
      </c>
      <c r="P406" s="90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406" s="771"/>
      <c r="R406" s="771"/>
      <c r="S406" s="771"/>
      <c r="T406" s="772"/>
      <c r="U406" s="37" t="s">
        <v>45</v>
      </c>
      <c r="V406" s="37" t="s">
        <v>45</v>
      </c>
      <c r="W406" s="38" t="s">
        <v>0</v>
      </c>
      <c r="X406" s="56">
        <v>0</v>
      </c>
      <c r="Y406" s="53">
        <f t="shared" ref="Y406:Y415" si="81">IFERROR(IF(X406="",0,CEILING((X406/$H406),1)*$H406),"")</f>
        <v>0</v>
      </c>
      <c r="Z406" s="39" t="str">
        <f>IFERROR(IF(Y406=0,"",ROUNDUP(Y406/H406,0)*0.02175),"")</f>
        <v/>
      </c>
      <c r="AA406" s="65" t="s">
        <v>45</v>
      </c>
      <c r="AB406" s="66" t="s">
        <v>45</v>
      </c>
      <c r="AC406" s="483" t="s">
        <v>647</v>
      </c>
      <c r="AG406" s="75"/>
      <c r="AJ406" s="79" t="s">
        <v>138</v>
      </c>
      <c r="AK406" s="79">
        <v>720</v>
      </c>
      <c r="BB406" s="484" t="s">
        <v>66</v>
      </c>
      <c r="BM406" s="75">
        <f t="shared" ref="BM406:BM415" si="82">IFERROR(X406*I406/H406,"0")</f>
        <v>0</v>
      </c>
      <c r="BN406" s="75">
        <f t="shared" ref="BN406:BN415" si="83">IFERROR(Y406*I406/H406,"0")</f>
        <v>0</v>
      </c>
      <c r="BO406" s="75">
        <f t="shared" ref="BO406:BO415" si="84">IFERROR(1/J406*(X406/H406),"0")</f>
        <v>0</v>
      </c>
      <c r="BP406" s="75">
        <f t="shared" ref="BP406:BP415" si="85">IFERROR(1/J406*(Y406/H406),"0")</f>
        <v>0</v>
      </c>
    </row>
    <row r="407" spans="1:68" ht="27" customHeight="1" x14ac:dyDescent="0.25">
      <c r="A407" s="60" t="s">
        <v>645</v>
      </c>
      <c r="B407" s="60" t="s">
        <v>648</v>
      </c>
      <c r="C407" s="34">
        <v>4301011946</v>
      </c>
      <c r="D407" s="769">
        <v>4680115884847</v>
      </c>
      <c r="E407" s="769"/>
      <c r="F407" s="59">
        <v>2.5</v>
      </c>
      <c r="G407" s="35">
        <v>6</v>
      </c>
      <c r="H407" s="59">
        <v>15</v>
      </c>
      <c r="I407" s="59">
        <v>15.48</v>
      </c>
      <c r="J407" s="35">
        <v>48</v>
      </c>
      <c r="K407" s="35" t="s">
        <v>107</v>
      </c>
      <c r="L407" s="35" t="s">
        <v>45</v>
      </c>
      <c r="M407" s="36" t="s">
        <v>408</v>
      </c>
      <c r="N407" s="36"/>
      <c r="O407" s="35">
        <v>60</v>
      </c>
      <c r="P407" s="903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407" s="771"/>
      <c r="R407" s="771"/>
      <c r="S407" s="771"/>
      <c r="T407" s="772"/>
      <c r="U407" s="37" t="s">
        <v>45</v>
      </c>
      <c r="V407" s="37" t="s">
        <v>45</v>
      </c>
      <c r="W407" s="38" t="s">
        <v>0</v>
      </c>
      <c r="X407" s="56">
        <v>1100</v>
      </c>
      <c r="Y407" s="53">
        <f t="shared" si="81"/>
        <v>1110</v>
      </c>
      <c r="Z407" s="39">
        <f>IFERROR(IF(Y407=0,"",ROUNDUP(Y407/H407,0)*0.02039),"")</f>
        <v>1.5088599999999999</v>
      </c>
      <c r="AA407" s="65" t="s">
        <v>45</v>
      </c>
      <c r="AB407" s="66" t="s">
        <v>45</v>
      </c>
      <c r="AC407" s="485" t="s">
        <v>649</v>
      </c>
      <c r="AG407" s="75"/>
      <c r="AJ407" s="79" t="s">
        <v>45</v>
      </c>
      <c r="AK407" s="79">
        <v>0</v>
      </c>
      <c r="BB407" s="486" t="s">
        <v>66</v>
      </c>
      <c r="BM407" s="75">
        <f t="shared" si="82"/>
        <v>1135.2</v>
      </c>
      <c r="BN407" s="75">
        <f t="shared" si="83"/>
        <v>1145.52</v>
      </c>
      <c r="BO407" s="75">
        <f t="shared" si="84"/>
        <v>1.5277777777777777</v>
      </c>
      <c r="BP407" s="75">
        <f t="shared" si="85"/>
        <v>1.5416666666666665</v>
      </c>
    </row>
    <row r="408" spans="1:68" ht="27" customHeight="1" x14ac:dyDescent="0.25">
      <c r="A408" s="60" t="s">
        <v>650</v>
      </c>
      <c r="B408" s="60" t="s">
        <v>651</v>
      </c>
      <c r="C408" s="34">
        <v>4301011870</v>
      </c>
      <c r="D408" s="769">
        <v>4680115884854</v>
      </c>
      <c r="E408" s="769"/>
      <c r="F408" s="59">
        <v>2.5</v>
      </c>
      <c r="G408" s="35">
        <v>6</v>
      </c>
      <c r="H408" s="59">
        <v>15</v>
      </c>
      <c r="I408" s="59">
        <v>15.48</v>
      </c>
      <c r="J408" s="35">
        <v>48</v>
      </c>
      <c r="K408" s="35" t="s">
        <v>107</v>
      </c>
      <c r="L408" s="35" t="s">
        <v>137</v>
      </c>
      <c r="M408" s="36" t="s">
        <v>82</v>
      </c>
      <c r="N408" s="36"/>
      <c r="O408" s="35">
        <v>60</v>
      </c>
      <c r="P408" s="90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8" s="771"/>
      <c r="R408" s="771"/>
      <c r="S408" s="771"/>
      <c r="T408" s="772"/>
      <c r="U408" s="37" t="s">
        <v>45</v>
      </c>
      <c r="V408" s="37" t="s">
        <v>45</v>
      </c>
      <c r="W408" s="38" t="s">
        <v>0</v>
      </c>
      <c r="X408" s="56">
        <v>0</v>
      </c>
      <c r="Y408" s="53">
        <f t="shared" si="81"/>
        <v>0</v>
      </c>
      <c r="Z408" s="39" t="str">
        <f>IFERROR(IF(Y408=0,"",ROUNDUP(Y408/H408,0)*0.02175),"")</f>
        <v/>
      </c>
      <c r="AA408" s="65" t="s">
        <v>45</v>
      </c>
      <c r="AB408" s="66" t="s">
        <v>45</v>
      </c>
      <c r="AC408" s="487" t="s">
        <v>652</v>
      </c>
      <c r="AG408" s="75"/>
      <c r="AJ408" s="79" t="s">
        <v>138</v>
      </c>
      <c r="AK408" s="79">
        <v>720</v>
      </c>
      <c r="BB408" s="488" t="s">
        <v>66</v>
      </c>
      <c r="BM408" s="75">
        <f t="shared" si="82"/>
        <v>0</v>
      </c>
      <c r="BN408" s="75">
        <f t="shared" si="83"/>
        <v>0</v>
      </c>
      <c r="BO408" s="75">
        <f t="shared" si="84"/>
        <v>0</v>
      </c>
      <c r="BP408" s="75">
        <f t="shared" si="85"/>
        <v>0</v>
      </c>
    </row>
    <row r="409" spans="1:68" ht="27" customHeight="1" x14ac:dyDescent="0.25">
      <c r="A409" s="60" t="s">
        <v>650</v>
      </c>
      <c r="B409" s="60" t="s">
        <v>653</v>
      </c>
      <c r="C409" s="34">
        <v>4301011947</v>
      </c>
      <c r="D409" s="769">
        <v>4680115884854</v>
      </c>
      <c r="E409" s="769"/>
      <c r="F409" s="59">
        <v>2.5</v>
      </c>
      <c r="G409" s="35">
        <v>6</v>
      </c>
      <c r="H409" s="59">
        <v>15</v>
      </c>
      <c r="I409" s="59">
        <v>15.48</v>
      </c>
      <c r="J409" s="35">
        <v>48</v>
      </c>
      <c r="K409" s="35" t="s">
        <v>107</v>
      </c>
      <c r="L409" s="35" t="s">
        <v>45</v>
      </c>
      <c r="M409" s="36" t="s">
        <v>408</v>
      </c>
      <c r="N409" s="36"/>
      <c r="O409" s="35">
        <v>60</v>
      </c>
      <c r="P409" s="905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409" s="771"/>
      <c r="R409" s="771"/>
      <c r="S409" s="771"/>
      <c r="T409" s="772"/>
      <c r="U409" s="37" t="s">
        <v>45</v>
      </c>
      <c r="V409" s="37" t="s">
        <v>45</v>
      </c>
      <c r="W409" s="38" t="s">
        <v>0</v>
      </c>
      <c r="X409" s="56">
        <v>1720</v>
      </c>
      <c r="Y409" s="53">
        <f t="shared" si="81"/>
        <v>1725</v>
      </c>
      <c r="Z409" s="39">
        <f>IFERROR(IF(Y409=0,"",ROUNDUP(Y409/H409,0)*0.02039),"")</f>
        <v>2.3448499999999997</v>
      </c>
      <c r="AA409" s="65" t="s">
        <v>45</v>
      </c>
      <c r="AB409" s="66" t="s">
        <v>45</v>
      </c>
      <c r="AC409" s="489" t="s">
        <v>649</v>
      </c>
      <c r="AG409" s="75"/>
      <c r="AJ409" s="79" t="s">
        <v>45</v>
      </c>
      <c r="AK409" s="79">
        <v>0</v>
      </c>
      <c r="BB409" s="490" t="s">
        <v>66</v>
      </c>
      <c r="BM409" s="75">
        <f t="shared" si="82"/>
        <v>1775.0400000000002</v>
      </c>
      <c r="BN409" s="75">
        <f t="shared" si="83"/>
        <v>1780.2</v>
      </c>
      <c r="BO409" s="75">
        <f t="shared" si="84"/>
        <v>2.3888888888888888</v>
      </c>
      <c r="BP409" s="75">
        <f t="shared" si="85"/>
        <v>2.395833333333333</v>
      </c>
    </row>
    <row r="410" spans="1:68" ht="27" customHeight="1" x14ac:dyDescent="0.25">
      <c r="A410" s="60" t="s">
        <v>654</v>
      </c>
      <c r="B410" s="60" t="s">
        <v>655</v>
      </c>
      <c r="C410" s="34">
        <v>4301011943</v>
      </c>
      <c r="D410" s="769">
        <v>4680115884830</v>
      </c>
      <c r="E410" s="769"/>
      <c r="F410" s="59">
        <v>2.5</v>
      </c>
      <c r="G410" s="35">
        <v>6</v>
      </c>
      <c r="H410" s="59">
        <v>15</v>
      </c>
      <c r="I410" s="59">
        <v>15.48</v>
      </c>
      <c r="J410" s="35">
        <v>48</v>
      </c>
      <c r="K410" s="35" t="s">
        <v>107</v>
      </c>
      <c r="L410" s="35" t="s">
        <v>45</v>
      </c>
      <c r="M410" s="36" t="s">
        <v>408</v>
      </c>
      <c r="N410" s="36"/>
      <c r="O410" s="35">
        <v>60</v>
      </c>
      <c r="P410" s="906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0" s="771"/>
      <c r="R410" s="771"/>
      <c r="S410" s="771"/>
      <c r="T410" s="772"/>
      <c r="U410" s="37" t="s">
        <v>45</v>
      </c>
      <c r="V410" s="37" t="s">
        <v>45</v>
      </c>
      <c r="W410" s="38" t="s">
        <v>0</v>
      </c>
      <c r="X410" s="56">
        <v>0</v>
      </c>
      <c r="Y410" s="53">
        <f t="shared" si="81"/>
        <v>0</v>
      </c>
      <c r="Z410" s="39" t="str">
        <f>IFERROR(IF(Y410=0,"",ROUNDUP(Y410/H410,0)*0.02039),"")</f>
        <v/>
      </c>
      <c r="AA410" s="65" t="s">
        <v>45</v>
      </c>
      <c r="AB410" s="66" t="s">
        <v>45</v>
      </c>
      <c r="AC410" s="491" t="s">
        <v>649</v>
      </c>
      <c r="AG410" s="75"/>
      <c r="AJ410" s="79" t="s">
        <v>45</v>
      </c>
      <c r="AK410" s="79">
        <v>0</v>
      </c>
      <c r="BB410" s="492" t="s">
        <v>66</v>
      </c>
      <c r="BM410" s="75">
        <f t="shared" si="82"/>
        <v>0</v>
      </c>
      <c r="BN410" s="75">
        <f t="shared" si="83"/>
        <v>0</v>
      </c>
      <c r="BO410" s="75">
        <f t="shared" si="84"/>
        <v>0</v>
      </c>
      <c r="BP410" s="75">
        <f t="shared" si="85"/>
        <v>0</v>
      </c>
    </row>
    <row r="411" spans="1:68" ht="37.5" customHeight="1" x14ac:dyDescent="0.25">
      <c r="A411" s="60" t="s">
        <v>654</v>
      </c>
      <c r="B411" s="60" t="s">
        <v>656</v>
      </c>
      <c r="C411" s="34">
        <v>4301011867</v>
      </c>
      <c r="D411" s="769">
        <v>4680115884830</v>
      </c>
      <c r="E411" s="769"/>
      <c r="F411" s="59">
        <v>2.5</v>
      </c>
      <c r="G411" s="35">
        <v>6</v>
      </c>
      <c r="H411" s="59">
        <v>15</v>
      </c>
      <c r="I411" s="59">
        <v>15.48</v>
      </c>
      <c r="J411" s="35">
        <v>48</v>
      </c>
      <c r="K411" s="35" t="s">
        <v>107</v>
      </c>
      <c r="L411" s="35" t="s">
        <v>137</v>
      </c>
      <c r="M411" s="36" t="s">
        <v>82</v>
      </c>
      <c r="N411" s="36"/>
      <c r="O411" s="35">
        <v>60</v>
      </c>
      <c r="P411" s="90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411" s="771"/>
      <c r="R411" s="771"/>
      <c r="S411" s="771"/>
      <c r="T411" s="772"/>
      <c r="U411" s="37" t="s">
        <v>45</v>
      </c>
      <c r="V411" s="37" t="s">
        <v>45</v>
      </c>
      <c r="W411" s="38" t="s">
        <v>0</v>
      </c>
      <c r="X411" s="56">
        <v>0</v>
      </c>
      <c r="Y411" s="53">
        <f t="shared" si="81"/>
        <v>0</v>
      </c>
      <c r="Z411" s="39" t="str">
        <f>IFERROR(IF(Y411=0,"",ROUNDUP(Y411/H411,0)*0.02175),"")</f>
        <v/>
      </c>
      <c r="AA411" s="65" t="s">
        <v>45</v>
      </c>
      <c r="AB411" s="66" t="s">
        <v>45</v>
      </c>
      <c r="AC411" s="493" t="s">
        <v>657</v>
      </c>
      <c r="AG411" s="75"/>
      <c r="AJ411" s="79" t="s">
        <v>138</v>
      </c>
      <c r="AK411" s="79">
        <v>720</v>
      </c>
      <c r="BB411" s="494" t="s">
        <v>66</v>
      </c>
      <c r="BM411" s="75">
        <f t="shared" si="82"/>
        <v>0</v>
      </c>
      <c r="BN411" s="75">
        <f t="shared" si="83"/>
        <v>0</v>
      </c>
      <c r="BO411" s="75">
        <f t="shared" si="84"/>
        <v>0</v>
      </c>
      <c r="BP411" s="75">
        <f t="shared" si="85"/>
        <v>0</v>
      </c>
    </row>
    <row r="412" spans="1:68" ht="27" customHeight="1" x14ac:dyDescent="0.25">
      <c r="A412" s="60" t="s">
        <v>658</v>
      </c>
      <c r="B412" s="60" t="s">
        <v>659</v>
      </c>
      <c r="C412" s="34">
        <v>4301011339</v>
      </c>
      <c r="D412" s="769">
        <v>4607091383997</v>
      </c>
      <c r="E412" s="769"/>
      <c r="F412" s="59">
        <v>2.5</v>
      </c>
      <c r="G412" s="35">
        <v>6</v>
      </c>
      <c r="H412" s="59">
        <v>15</v>
      </c>
      <c r="I412" s="59">
        <v>15.48</v>
      </c>
      <c r="J412" s="35">
        <v>48</v>
      </c>
      <c r="K412" s="35" t="s">
        <v>107</v>
      </c>
      <c r="L412" s="35" t="s">
        <v>45</v>
      </c>
      <c r="M412" s="36" t="s">
        <v>82</v>
      </c>
      <c r="N412" s="36"/>
      <c r="O412" s="35">
        <v>60</v>
      </c>
      <c r="P412" s="90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412" s="771"/>
      <c r="R412" s="771"/>
      <c r="S412" s="771"/>
      <c r="T412" s="772"/>
      <c r="U412" s="37" t="s">
        <v>45</v>
      </c>
      <c r="V412" s="37" t="s">
        <v>45</v>
      </c>
      <c r="W412" s="38" t="s">
        <v>0</v>
      </c>
      <c r="X412" s="56">
        <v>8500</v>
      </c>
      <c r="Y412" s="53">
        <f t="shared" si="81"/>
        <v>8505</v>
      </c>
      <c r="Z412" s="39">
        <f>IFERROR(IF(Y412=0,"",ROUNDUP(Y412/H412,0)*0.02175),"")</f>
        <v>12.332249999999998</v>
      </c>
      <c r="AA412" s="65" t="s">
        <v>45</v>
      </c>
      <c r="AB412" s="66" t="s">
        <v>45</v>
      </c>
      <c r="AC412" s="495" t="s">
        <v>660</v>
      </c>
      <c r="AG412" s="75"/>
      <c r="AJ412" s="79" t="s">
        <v>45</v>
      </c>
      <c r="AK412" s="79">
        <v>0</v>
      </c>
      <c r="BB412" s="496" t="s">
        <v>66</v>
      </c>
      <c r="BM412" s="75">
        <f t="shared" si="82"/>
        <v>8772</v>
      </c>
      <c r="BN412" s="75">
        <f t="shared" si="83"/>
        <v>8777.16</v>
      </c>
      <c r="BO412" s="75">
        <f t="shared" si="84"/>
        <v>11.805555555555554</v>
      </c>
      <c r="BP412" s="75">
        <f t="shared" si="85"/>
        <v>11.8125</v>
      </c>
    </row>
    <row r="413" spans="1:68" ht="27" customHeight="1" x14ac:dyDescent="0.25">
      <c r="A413" s="60" t="s">
        <v>661</v>
      </c>
      <c r="B413" s="60" t="s">
        <v>662</v>
      </c>
      <c r="C413" s="34">
        <v>4301011433</v>
      </c>
      <c r="D413" s="769">
        <v>4680115882638</v>
      </c>
      <c r="E413" s="769"/>
      <c r="F413" s="59">
        <v>0.4</v>
      </c>
      <c r="G413" s="35">
        <v>10</v>
      </c>
      <c r="H413" s="59">
        <v>4</v>
      </c>
      <c r="I413" s="59">
        <v>4.21</v>
      </c>
      <c r="J413" s="35">
        <v>132</v>
      </c>
      <c r="K413" s="35" t="s">
        <v>116</v>
      </c>
      <c r="L413" s="35" t="s">
        <v>45</v>
      </c>
      <c r="M413" s="36" t="s">
        <v>110</v>
      </c>
      <c r="N413" s="36"/>
      <c r="O413" s="35">
        <v>90</v>
      </c>
      <c r="P413" s="90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413" s="771"/>
      <c r="R413" s="771"/>
      <c r="S413" s="771"/>
      <c r="T413" s="772"/>
      <c r="U413" s="37" t="s">
        <v>45</v>
      </c>
      <c r="V413" s="37" t="s">
        <v>45</v>
      </c>
      <c r="W413" s="38" t="s">
        <v>0</v>
      </c>
      <c r="X413" s="56">
        <v>0</v>
      </c>
      <c r="Y413" s="53">
        <f t="shared" si="81"/>
        <v>0</v>
      </c>
      <c r="Z413" s="39" t="str">
        <f>IFERROR(IF(Y413=0,"",ROUNDUP(Y413/H413,0)*0.00902),"")</f>
        <v/>
      </c>
      <c r="AA413" s="65" t="s">
        <v>45</v>
      </c>
      <c r="AB413" s="66" t="s">
        <v>45</v>
      </c>
      <c r="AC413" s="497" t="s">
        <v>663</v>
      </c>
      <c r="AG413" s="75"/>
      <c r="AJ413" s="79" t="s">
        <v>45</v>
      </c>
      <c r="AK413" s="79">
        <v>0</v>
      </c>
      <c r="BB413" s="498" t="s">
        <v>66</v>
      </c>
      <c r="BM413" s="75">
        <f t="shared" si="82"/>
        <v>0</v>
      </c>
      <c r="BN413" s="75">
        <f t="shared" si="83"/>
        <v>0</v>
      </c>
      <c r="BO413" s="75">
        <f t="shared" si="84"/>
        <v>0</v>
      </c>
      <c r="BP413" s="75">
        <f t="shared" si="85"/>
        <v>0</v>
      </c>
    </row>
    <row r="414" spans="1:68" ht="27" customHeight="1" x14ac:dyDescent="0.25">
      <c r="A414" s="60" t="s">
        <v>664</v>
      </c>
      <c r="B414" s="60" t="s">
        <v>665</v>
      </c>
      <c r="C414" s="34">
        <v>4301011952</v>
      </c>
      <c r="D414" s="769">
        <v>4680115884922</v>
      </c>
      <c r="E414" s="769"/>
      <c r="F414" s="59">
        <v>0.5</v>
      </c>
      <c r="G414" s="35">
        <v>10</v>
      </c>
      <c r="H414" s="59">
        <v>5</v>
      </c>
      <c r="I414" s="59">
        <v>5.21</v>
      </c>
      <c r="J414" s="35">
        <v>132</v>
      </c>
      <c r="K414" s="35" t="s">
        <v>116</v>
      </c>
      <c r="L414" s="35" t="s">
        <v>45</v>
      </c>
      <c r="M414" s="36" t="s">
        <v>82</v>
      </c>
      <c r="N414" s="36"/>
      <c r="O414" s="35">
        <v>60</v>
      </c>
      <c r="P414" s="897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414" s="771"/>
      <c r="R414" s="771"/>
      <c r="S414" s="771"/>
      <c r="T414" s="772"/>
      <c r="U414" s="37" t="s">
        <v>45</v>
      </c>
      <c r="V414" s="37" t="s">
        <v>45</v>
      </c>
      <c r="W414" s="38" t="s">
        <v>0</v>
      </c>
      <c r="X414" s="56">
        <v>0</v>
      </c>
      <c r="Y414" s="53">
        <f t="shared" si="81"/>
        <v>0</v>
      </c>
      <c r="Z414" s="39" t="str">
        <f>IFERROR(IF(Y414=0,"",ROUNDUP(Y414/H414,0)*0.00902),"")</f>
        <v/>
      </c>
      <c r="AA414" s="65" t="s">
        <v>45</v>
      </c>
      <c r="AB414" s="66" t="s">
        <v>45</v>
      </c>
      <c r="AC414" s="499" t="s">
        <v>652</v>
      </c>
      <c r="AG414" s="75"/>
      <c r="AJ414" s="79" t="s">
        <v>45</v>
      </c>
      <c r="AK414" s="79">
        <v>0</v>
      </c>
      <c r="BB414" s="500" t="s">
        <v>66</v>
      </c>
      <c r="BM414" s="75">
        <f t="shared" si="82"/>
        <v>0</v>
      </c>
      <c r="BN414" s="75">
        <f t="shared" si="83"/>
        <v>0</v>
      </c>
      <c r="BO414" s="75">
        <f t="shared" si="84"/>
        <v>0</v>
      </c>
      <c r="BP414" s="75">
        <f t="shared" si="85"/>
        <v>0</v>
      </c>
    </row>
    <row r="415" spans="1:68" ht="37.5" customHeight="1" x14ac:dyDescent="0.25">
      <c r="A415" s="60" t="s">
        <v>666</v>
      </c>
      <c r="B415" s="60" t="s">
        <v>667</v>
      </c>
      <c r="C415" s="34">
        <v>4301011868</v>
      </c>
      <c r="D415" s="769">
        <v>4680115884861</v>
      </c>
      <c r="E415" s="769"/>
      <c r="F415" s="59">
        <v>0.5</v>
      </c>
      <c r="G415" s="35">
        <v>10</v>
      </c>
      <c r="H415" s="59">
        <v>5</v>
      </c>
      <c r="I415" s="59">
        <v>5.21</v>
      </c>
      <c r="J415" s="35">
        <v>132</v>
      </c>
      <c r="K415" s="35" t="s">
        <v>116</v>
      </c>
      <c r="L415" s="35" t="s">
        <v>45</v>
      </c>
      <c r="M415" s="36" t="s">
        <v>82</v>
      </c>
      <c r="N415" s="36"/>
      <c r="O415" s="35">
        <v>60</v>
      </c>
      <c r="P415" s="898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415" s="771"/>
      <c r="R415" s="771"/>
      <c r="S415" s="771"/>
      <c r="T415" s="772"/>
      <c r="U415" s="37" t="s">
        <v>45</v>
      </c>
      <c r="V415" s="37" t="s">
        <v>45</v>
      </c>
      <c r="W415" s="38" t="s">
        <v>0</v>
      </c>
      <c r="X415" s="56">
        <v>0</v>
      </c>
      <c r="Y415" s="53">
        <f t="shared" si="81"/>
        <v>0</v>
      </c>
      <c r="Z415" s="39" t="str">
        <f>IFERROR(IF(Y415=0,"",ROUNDUP(Y415/H415,0)*0.00902),"")</f>
        <v/>
      </c>
      <c r="AA415" s="65" t="s">
        <v>45</v>
      </c>
      <c r="AB415" s="66" t="s">
        <v>45</v>
      </c>
      <c r="AC415" s="501" t="s">
        <v>657</v>
      </c>
      <c r="AG415" s="75"/>
      <c r="AJ415" s="79" t="s">
        <v>45</v>
      </c>
      <c r="AK415" s="79">
        <v>0</v>
      </c>
      <c r="BB415" s="502" t="s">
        <v>66</v>
      </c>
      <c r="BM415" s="75">
        <f t="shared" si="82"/>
        <v>0</v>
      </c>
      <c r="BN415" s="75">
        <f t="shared" si="83"/>
        <v>0</v>
      </c>
      <c r="BO415" s="75">
        <f t="shared" si="84"/>
        <v>0</v>
      </c>
      <c r="BP415" s="75">
        <f t="shared" si="85"/>
        <v>0</v>
      </c>
    </row>
    <row r="416" spans="1:68" x14ac:dyDescent="0.2">
      <c r="A416" s="759"/>
      <c r="B416" s="759"/>
      <c r="C416" s="759"/>
      <c r="D416" s="759"/>
      <c r="E416" s="759"/>
      <c r="F416" s="759"/>
      <c r="G416" s="759"/>
      <c r="H416" s="759"/>
      <c r="I416" s="759"/>
      <c r="J416" s="759"/>
      <c r="K416" s="759"/>
      <c r="L416" s="759"/>
      <c r="M416" s="759"/>
      <c r="N416" s="759"/>
      <c r="O416" s="767"/>
      <c r="P416" s="764" t="s">
        <v>40</v>
      </c>
      <c r="Q416" s="765"/>
      <c r="R416" s="765"/>
      <c r="S416" s="765"/>
      <c r="T416" s="765"/>
      <c r="U416" s="765"/>
      <c r="V416" s="766"/>
      <c r="W416" s="40" t="s">
        <v>39</v>
      </c>
      <c r="X416" s="41">
        <f>IFERROR(X406/H406,"0")+IFERROR(X407/H407,"0")+IFERROR(X408/H408,"0")+IFERROR(X409/H409,"0")+IFERROR(X410/H410,"0")+IFERROR(X411/H411,"0")+IFERROR(X412/H412,"0")+IFERROR(X413/H413,"0")+IFERROR(X414/H414,"0")+IFERROR(X415/H415,"0")</f>
        <v>754.66666666666663</v>
      </c>
      <c r="Y416" s="41">
        <f>IFERROR(Y406/H406,"0")+IFERROR(Y407/H407,"0")+IFERROR(Y408/H408,"0")+IFERROR(Y409/H409,"0")+IFERROR(Y410/H410,"0")+IFERROR(Y411/H411,"0")+IFERROR(Y412/H412,"0")+IFERROR(Y413/H413,"0")+IFERROR(Y414/H414,"0")+IFERROR(Y415/H415,"0")</f>
        <v>756</v>
      </c>
      <c r="Z416" s="41">
        <f>IFERROR(IF(Z406="",0,Z406),"0")+IFERROR(IF(Z407="",0,Z407),"0")+IFERROR(IF(Z408="",0,Z408),"0")+IFERROR(IF(Z409="",0,Z409),"0")+IFERROR(IF(Z410="",0,Z410),"0")+IFERROR(IF(Z411="",0,Z411),"0")+IFERROR(IF(Z412="",0,Z412),"0")+IFERROR(IF(Z413="",0,Z413),"0")+IFERROR(IF(Z414="",0,Z414),"0")+IFERROR(IF(Z415="",0,Z415),"0")</f>
        <v>16.185959999999998</v>
      </c>
      <c r="AA416" s="64"/>
      <c r="AB416" s="64"/>
      <c r="AC416" s="64"/>
    </row>
    <row r="417" spans="1:68" x14ac:dyDescent="0.2">
      <c r="A417" s="759"/>
      <c r="B417" s="759"/>
      <c r="C417" s="759"/>
      <c r="D417" s="759"/>
      <c r="E417" s="759"/>
      <c r="F417" s="759"/>
      <c r="G417" s="759"/>
      <c r="H417" s="759"/>
      <c r="I417" s="759"/>
      <c r="J417" s="759"/>
      <c r="K417" s="759"/>
      <c r="L417" s="759"/>
      <c r="M417" s="759"/>
      <c r="N417" s="759"/>
      <c r="O417" s="767"/>
      <c r="P417" s="764" t="s">
        <v>40</v>
      </c>
      <c r="Q417" s="765"/>
      <c r="R417" s="765"/>
      <c r="S417" s="765"/>
      <c r="T417" s="765"/>
      <c r="U417" s="765"/>
      <c r="V417" s="766"/>
      <c r="W417" s="40" t="s">
        <v>0</v>
      </c>
      <c r="X417" s="41">
        <f>IFERROR(SUM(X406:X415),"0")</f>
        <v>11320</v>
      </c>
      <c r="Y417" s="41">
        <f>IFERROR(SUM(Y406:Y415),"0")</f>
        <v>11340</v>
      </c>
      <c r="Z417" s="40"/>
      <c r="AA417" s="64"/>
      <c r="AB417" s="64"/>
      <c r="AC417" s="64"/>
    </row>
    <row r="418" spans="1:68" ht="14.25" customHeight="1" x14ac:dyDescent="0.25">
      <c r="A418" s="768" t="s">
        <v>153</v>
      </c>
      <c r="B418" s="768"/>
      <c r="C418" s="768"/>
      <c r="D418" s="768"/>
      <c r="E418" s="768"/>
      <c r="F418" s="768"/>
      <c r="G418" s="768"/>
      <c r="H418" s="768"/>
      <c r="I418" s="768"/>
      <c r="J418" s="768"/>
      <c r="K418" s="768"/>
      <c r="L418" s="768"/>
      <c r="M418" s="768"/>
      <c r="N418" s="768"/>
      <c r="O418" s="768"/>
      <c r="P418" s="768"/>
      <c r="Q418" s="768"/>
      <c r="R418" s="768"/>
      <c r="S418" s="768"/>
      <c r="T418" s="768"/>
      <c r="U418" s="768"/>
      <c r="V418" s="768"/>
      <c r="W418" s="768"/>
      <c r="X418" s="768"/>
      <c r="Y418" s="768"/>
      <c r="Z418" s="768"/>
      <c r="AA418" s="63"/>
      <c r="AB418" s="63"/>
      <c r="AC418" s="63"/>
    </row>
    <row r="419" spans="1:68" ht="27" customHeight="1" x14ac:dyDescent="0.25">
      <c r="A419" s="60" t="s">
        <v>668</v>
      </c>
      <c r="B419" s="60" t="s">
        <v>669</v>
      </c>
      <c r="C419" s="34">
        <v>4301020178</v>
      </c>
      <c r="D419" s="769">
        <v>4607091383980</v>
      </c>
      <c r="E419" s="769"/>
      <c r="F419" s="59">
        <v>2.5</v>
      </c>
      <c r="G419" s="35">
        <v>6</v>
      </c>
      <c r="H419" s="59">
        <v>15</v>
      </c>
      <c r="I419" s="59">
        <v>15.48</v>
      </c>
      <c r="J419" s="35">
        <v>48</v>
      </c>
      <c r="K419" s="35" t="s">
        <v>107</v>
      </c>
      <c r="L419" s="35" t="s">
        <v>137</v>
      </c>
      <c r="M419" s="36" t="s">
        <v>110</v>
      </c>
      <c r="N419" s="36"/>
      <c r="O419" s="35">
        <v>50</v>
      </c>
      <c r="P419" s="89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419" s="771"/>
      <c r="R419" s="771"/>
      <c r="S419" s="771"/>
      <c r="T419" s="772"/>
      <c r="U419" s="37" t="s">
        <v>45</v>
      </c>
      <c r="V419" s="37" t="s">
        <v>45</v>
      </c>
      <c r="W419" s="38" t="s">
        <v>0</v>
      </c>
      <c r="X419" s="56">
        <v>720</v>
      </c>
      <c r="Y419" s="53">
        <f>IFERROR(IF(X419="",0,CEILING((X419/$H419),1)*$H419),"")</f>
        <v>720</v>
      </c>
      <c r="Z419" s="39">
        <f>IFERROR(IF(Y419=0,"",ROUNDUP(Y419/H419,0)*0.02175),"")</f>
        <v>1.044</v>
      </c>
      <c r="AA419" s="65" t="s">
        <v>45</v>
      </c>
      <c r="AB419" s="66" t="s">
        <v>45</v>
      </c>
      <c r="AC419" s="503" t="s">
        <v>670</v>
      </c>
      <c r="AG419" s="75"/>
      <c r="AJ419" s="79" t="s">
        <v>138</v>
      </c>
      <c r="AK419" s="79">
        <v>720</v>
      </c>
      <c r="BB419" s="504" t="s">
        <v>66</v>
      </c>
      <c r="BM419" s="75">
        <f>IFERROR(X419*I419/H419,"0")</f>
        <v>743.04000000000008</v>
      </c>
      <c r="BN419" s="75">
        <f>IFERROR(Y419*I419/H419,"0")</f>
        <v>743.04000000000008</v>
      </c>
      <c r="BO419" s="75">
        <f>IFERROR(1/J419*(X419/H419),"0")</f>
        <v>1</v>
      </c>
      <c r="BP419" s="75">
        <f>IFERROR(1/J419*(Y419/H419),"0")</f>
        <v>1</v>
      </c>
    </row>
    <row r="420" spans="1:68" ht="27" customHeight="1" x14ac:dyDescent="0.25">
      <c r="A420" s="60" t="s">
        <v>671</v>
      </c>
      <c r="B420" s="60" t="s">
        <v>672</v>
      </c>
      <c r="C420" s="34">
        <v>4301020179</v>
      </c>
      <c r="D420" s="769">
        <v>4607091384178</v>
      </c>
      <c r="E420" s="769"/>
      <c r="F420" s="59">
        <v>0.4</v>
      </c>
      <c r="G420" s="35">
        <v>10</v>
      </c>
      <c r="H420" s="59">
        <v>4</v>
      </c>
      <c r="I420" s="59">
        <v>4.21</v>
      </c>
      <c r="J420" s="35">
        <v>132</v>
      </c>
      <c r="K420" s="35" t="s">
        <v>116</v>
      </c>
      <c r="L420" s="35" t="s">
        <v>45</v>
      </c>
      <c r="M420" s="36" t="s">
        <v>110</v>
      </c>
      <c r="N420" s="36"/>
      <c r="O420" s="35">
        <v>50</v>
      </c>
      <c r="P420" s="900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420" s="771"/>
      <c r="R420" s="771"/>
      <c r="S420" s="771"/>
      <c r="T420" s="772"/>
      <c r="U420" s="37" t="s">
        <v>45</v>
      </c>
      <c r="V420" s="37" t="s">
        <v>45</v>
      </c>
      <c r="W420" s="38" t="s">
        <v>0</v>
      </c>
      <c r="X420" s="56">
        <v>0</v>
      </c>
      <c r="Y420" s="53">
        <f>IFERROR(IF(X420="",0,CEILING((X420/$H420),1)*$H420),"")</f>
        <v>0</v>
      </c>
      <c r="Z420" s="39" t="str">
        <f>IFERROR(IF(Y420=0,"",ROUNDUP(Y420/H420,0)*0.00902),"")</f>
        <v/>
      </c>
      <c r="AA420" s="65" t="s">
        <v>45</v>
      </c>
      <c r="AB420" s="66" t="s">
        <v>45</v>
      </c>
      <c r="AC420" s="505" t="s">
        <v>670</v>
      </c>
      <c r="AG420" s="75"/>
      <c r="AJ420" s="79" t="s">
        <v>45</v>
      </c>
      <c r="AK420" s="79">
        <v>0</v>
      </c>
      <c r="BB420" s="506" t="s">
        <v>66</v>
      </c>
      <c r="BM420" s="75">
        <f>IFERROR(X420*I420/H420,"0")</f>
        <v>0</v>
      </c>
      <c r="BN420" s="75">
        <f>IFERROR(Y420*I420/H420,"0")</f>
        <v>0</v>
      </c>
      <c r="BO420" s="75">
        <f>IFERROR(1/J420*(X420/H420),"0")</f>
        <v>0</v>
      </c>
      <c r="BP420" s="75">
        <f>IFERROR(1/J420*(Y420/H420),"0")</f>
        <v>0</v>
      </c>
    </row>
    <row r="421" spans="1:68" x14ac:dyDescent="0.2">
      <c r="A421" s="759"/>
      <c r="B421" s="759"/>
      <c r="C421" s="759"/>
      <c r="D421" s="759"/>
      <c r="E421" s="759"/>
      <c r="F421" s="759"/>
      <c r="G421" s="759"/>
      <c r="H421" s="759"/>
      <c r="I421" s="759"/>
      <c r="J421" s="759"/>
      <c r="K421" s="759"/>
      <c r="L421" s="759"/>
      <c r="M421" s="759"/>
      <c r="N421" s="759"/>
      <c r="O421" s="767"/>
      <c r="P421" s="764" t="s">
        <v>40</v>
      </c>
      <c r="Q421" s="765"/>
      <c r="R421" s="765"/>
      <c r="S421" s="765"/>
      <c r="T421" s="765"/>
      <c r="U421" s="765"/>
      <c r="V421" s="766"/>
      <c r="W421" s="40" t="s">
        <v>39</v>
      </c>
      <c r="X421" s="41">
        <f>IFERROR(X419/H419,"0")+IFERROR(X420/H420,"0")</f>
        <v>48</v>
      </c>
      <c r="Y421" s="41">
        <f>IFERROR(Y419/H419,"0")+IFERROR(Y420/H420,"0")</f>
        <v>48</v>
      </c>
      <c r="Z421" s="41">
        <f>IFERROR(IF(Z419="",0,Z419),"0")+IFERROR(IF(Z420="",0,Z420),"0")</f>
        <v>1.044</v>
      </c>
      <c r="AA421" s="64"/>
      <c r="AB421" s="64"/>
      <c r="AC421" s="64"/>
    </row>
    <row r="422" spans="1:68" x14ac:dyDescent="0.2">
      <c r="A422" s="759"/>
      <c r="B422" s="759"/>
      <c r="C422" s="759"/>
      <c r="D422" s="759"/>
      <c r="E422" s="759"/>
      <c r="F422" s="759"/>
      <c r="G422" s="759"/>
      <c r="H422" s="759"/>
      <c r="I422" s="759"/>
      <c r="J422" s="759"/>
      <c r="K422" s="759"/>
      <c r="L422" s="759"/>
      <c r="M422" s="759"/>
      <c r="N422" s="759"/>
      <c r="O422" s="767"/>
      <c r="P422" s="764" t="s">
        <v>40</v>
      </c>
      <c r="Q422" s="765"/>
      <c r="R422" s="765"/>
      <c r="S422" s="765"/>
      <c r="T422" s="765"/>
      <c r="U422" s="765"/>
      <c r="V422" s="766"/>
      <c r="W422" s="40" t="s">
        <v>0</v>
      </c>
      <c r="X422" s="41">
        <f>IFERROR(SUM(X419:X420),"0")</f>
        <v>720</v>
      </c>
      <c r="Y422" s="41">
        <f>IFERROR(SUM(Y419:Y420),"0")</f>
        <v>720</v>
      </c>
      <c r="Z422" s="40"/>
      <c r="AA422" s="64"/>
      <c r="AB422" s="64"/>
      <c r="AC422" s="64"/>
    </row>
    <row r="423" spans="1:68" ht="14.25" customHeight="1" x14ac:dyDescent="0.25">
      <c r="A423" s="768" t="s">
        <v>78</v>
      </c>
      <c r="B423" s="768"/>
      <c r="C423" s="768"/>
      <c r="D423" s="768"/>
      <c r="E423" s="768"/>
      <c r="F423" s="768"/>
      <c r="G423" s="768"/>
      <c r="H423" s="768"/>
      <c r="I423" s="768"/>
      <c r="J423" s="768"/>
      <c r="K423" s="768"/>
      <c r="L423" s="768"/>
      <c r="M423" s="768"/>
      <c r="N423" s="768"/>
      <c r="O423" s="768"/>
      <c r="P423" s="768"/>
      <c r="Q423" s="768"/>
      <c r="R423" s="768"/>
      <c r="S423" s="768"/>
      <c r="T423" s="768"/>
      <c r="U423" s="768"/>
      <c r="V423" s="768"/>
      <c r="W423" s="768"/>
      <c r="X423" s="768"/>
      <c r="Y423" s="768"/>
      <c r="Z423" s="768"/>
      <c r="AA423" s="63"/>
      <c r="AB423" s="63"/>
      <c r="AC423" s="63"/>
    </row>
    <row r="424" spans="1:68" ht="27" customHeight="1" x14ac:dyDescent="0.25">
      <c r="A424" s="60" t="s">
        <v>673</v>
      </c>
      <c r="B424" s="60" t="s">
        <v>674</v>
      </c>
      <c r="C424" s="34">
        <v>4301051903</v>
      </c>
      <c r="D424" s="769">
        <v>4607091383928</v>
      </c>
      <c r="E424" s="769"/>
      <c r="F424" s="59">
        <v>1.5</v>
      </c>
      <c r="G424" s="35">
        <v>6</v>
      </c>
      <c r="H424" s="59">
        <v>9</v>
      </c>
      <c r="I424" s="59">
        <v>9.5250000000000004</v>
      </c>
      <c r="J424" s="35">
        <v>64</v>
      </c>
      <c r="K424" s="35" t="s">
        <v>107</v>
      </c>
      <c r="L424" s="35" t="s">
        <v>45</v>
      </c>
      <c r="M424" s="36" t="s">
        <v>106</v>
      </c>
      <c r="N424" s="36"/>
      <c r="O424" s="35">
        <v>40</v>
      </c>
      <c r="P424" s="901" t="s">
        <v>675</v>
      </c>
      <c r="Q424" s="771"/>
      <c r="R424" s="771"/>
      <c r="S424" s="771"/>
      <c r="T424" s="772"/>
      <c r="U424" s="37" t="s">
        <v>45</v>
      </c>
      <c r="V424" s="37" t="s">
        <v>45</v>
      </c>
      <c r="W424" s="38" t="s">
        <v>0</v>
      </c>
      <c r="X424" s="56">
        <v>1050</v>
      </c>
      <c r="Y424" s="53">
        <f>IFERROR(IF(X424="",0,CEILING((X424/$H424),1)*$H424),"")</f>
        <v>1053</v>
      </c>
      <c r="Z424" s="39">
        <f>IFERROR(IF(Y424=0,"",ROUNDUP(Y424/H424,0)*0.01898),"")</f>
        <v>2.2206600000000001</v>
      </c>
      <c r="AA424" s="65" t="s">
        <v>45</v>
      </c>
      <c r="AB424" s="66" t="s">
        <v>45</v>
      </c>
      <c r="AC424" s="507" t="s">
        <v>676</v>
      </c>
      <c r="AG424" s="75"/>
      <c r="AJ424" s="79" t="s">
        <v>45</v>
      </c>
      <c r="AK424" s="79">
        <v>0</v>
      </c>
      <c r="BB424" s="508" t="s">
        <v>66</v>
      </c>
      <c r="BM424" s="75">
        <f>IFERROR(X424*I424/H424,"0")</f>
        <v>1111.25</v>
      </c>
      <c r="BN424" s="75">
        <f>IFERROR(Y424*I424/H424,"0")</f>
        <v>1114.4250000000002</v>
      </c>
      <c r="BO424" s="75">
        <f>IFERROR(1/J424*(X424/H424),"0")</f>
        <v>1.8229166666666667</v>
      </c>
      <c r="BP424" s="75">
        <f>IFERROR(1/J424*(Y424/H424),"0")</f>
        <v>1.828125</v>
      </c>
    </row>
    <row r="425" spans="1:68" ht="27" customHeight="1" x14ac:dyDescent="0.25">
      <c r="A425" s="60" t="s">
        <v>677</v>
      </c>
      <c r="B425" s="60" t="s">
        <v>678</v>
      </c>
      <c r="C425" s="34">
        <v>4301051897</v>
      </c>
      <c r="D425" s="769">
        <v>4607091384260</v>
      </c>
      <c r="E425" s="769"/>
      <c r="F425" s="59">
        <v>1.5</v>
      </c>
      <c r="G425" s="35">
        <v>6</v>
      </c>
      <c r="H425" s="59">
        <v>9</v>
      </c>
      <c r="I425" s="59">
        <v>9.5190000000000001</v>
      </c>
      <c r="J425" s="35">
        <v>64</v>
      </c>
      <c r="K425" s="35" t="s">
        <v>107</v>
      </c>
      <c r="L425" s="35" t="s">
        <v>45</v>
      </c>
      <c r="M425" s="36" t="s">
        <v>106</v>
      </c>
      <c r="N425" s="36"/>
      <c r="O425" s="35">
        <v>40</v>
      </c>
      <c r="P425" s="893" t="s">
        <v>679</v>
      </c>
      <c r="Q425" s="771"/>
      <c r="R425" s="771"/>
      <c r="S425" s="771"/>
      <c r="T425" s="772"/>
      <c r="U425" s="37" t="s">
        <v>45</v>
      </c>
      <c r="V425" s="37" t="s">
        <v>45</v>
      </c>
      <c r="W425" s="38" t="s">
        <v>0</v>
      </c>
      <c r="X425" s="56">
        <v>210</v>
      </c>
      <c r="Y425" s="53">
        <f>IFERROR(IF(X425="",0,CEILING((X425/$H425),1)*$H425),"")</f>
        <v>216</v>
      </c>
      <c r="Z425" s="39">
        <f>IFERROR(IF(Y425=0,"",ROUNDUP(Y425/H425,0)*0.01898),"")</f>
        <v>0.45552000000000004</v>
      </c>
      <c r="AA425" s="65" t="s">
        <v>45</v>
      </c>
      <c r="AB425" s="66" t="s">
        <v>45</v>
      </c>
      <c r="AC425" s="509" t="s">
        <v>680</v>
      </c>
      <c r="AG425" s="75"/>
      <c r="AJ425" s="79" t="s">
        <v>45</v>
      </c>
      <c r="AK425" s="79">
        <v>0</v>
      </c>
      <c r="BB425" s="510" t="s">
        <v>66</v>
      </c>
      <c r="BM425" s="75">
        <f>IFERROR(X425*I425/H425,"0")</f>
        <v>222.11</v>
      </c>
      <c r="BN425" s="75">
        <f>IFERROR(Y425*I425/H425,"0")</f>
        <v>228.45599999999999</v>
      </c>
      <c r="BO425" s="75">
        <f>IFERROR(1/J425*(X425/H425),"0")</f>
        <v>0.36458333333333331</v>
      </c>
      <c r="BP425" s="75">
        <f>IFERROR(1/J425*(Y425/H425),"0")</f>
        <v>0.375</v>
      </c>
    </row>
    <row r="426" spans="1:68" x14ac:dyDescent="0.2">
      <c r="A426" s="759"/>
      <c r="B426" s="759"/>
      <c r="C426" s="759"/>
      <c r="D426" s="759"/>
      <c r="E426" s="759"/>
      <c r="F426" s="759"/>
      <c r="G426" s="759"/>
      <c r="H426" s="759"/>
      <c r="I426" s="759"/>
      <c r="J426" s="759"/>
      <c r="K426" s="759"/>
      <c r="L426" s="759"/>
      <c r="M426" s="759"/>
      <c r="N426" s="759"/>
      <c r="O426" s="767"/>
      <c r="P426" s="764" t="s">
        <v>40</v>
      </c>
      <c r="Q426" s="765"/>
      <c r="R426" s="765"/>
      <c r="S426" s="765"/>
      <c r="T426" s="765"/>
      <c r="U426" s="765"/>
      <c r="V426" s="766"/>
      <c r="W426" s="40" t="s">
        <v>39</v>
      </c>
      <c r="X426" s="41">
        <f>IFERROR(X424/H424,"0")+IFERROR(X425/H425,"0")</f>
        <v>140</v>
      </c>
      <c r="Y426" s="41">
        <f>IFERROR(Y424/H424,"0")+IFERROR(Y425/H425,"0")</f>
        <v>141</v>
      </c>
      <c r="Z426" s="41">
        <f>IFERROR(IF(Z424="",0,Z424),"0")+IFERROR(IF(Z425="",0,Z425),"0")</f>
        <v>2.67618</v>
      </c>
      <c r="AA426" s="64"/>
      <c r="AB426" s="64"/>
      <c r="AC426" s="64"/>
    </row>
    <row r="427" spans="1:68" x14ac:dyDescent="0.2">
      <c r="A427" s="759"/>
      <c r="B427" s="759"/>
      <c r="C427" s="759"/>
      <c r="D427" s="759"/>
      <c r="E427" s="759"/>
      <c r="F427" s="759"/>
      <c r="G427" s="759"/>
      <c r="H427" s="759"/>
      <c r="I427" s="759"/>
      <c r="J427" s="759"/>
      <c r="K427" s="759"/>
      <c r="L427" s="759"/>
      <c r="M427" s="759"/>
      <c r="N427" s="759"/>
      <c r="O427" s="767"/>
      <c r="P427" s="764" t="s">
        <v>40</v>
      </c>
      <c r="Q427" s="765"/>
      <c r="R427" s="765"/>
      <c r="S427" s="765"/>
      <c r="T427" s="765"/>
      <c r="U427" s="765"/>
      <c r="V427" s="766"/>
      <c r="W427" s="40" t="s">
        <v>0</v>
      </c>
      <c r="X427" s="41">
        <f>IFERROR(SUM(X424:X425),"0")</f>
        <v>1260</v>
      </c>
      <c r="Y427" s="41">
        <f>IFERROR(SUM(Y424:Y425),"0")</f>
        <v>1269</v>
      </c>
      <c r="Z427" s="40"/>
      <c r="AA427" s="64"/>
      <c r="AB427" s="64"/>
      <c r="AC427" s="64"/>
    </row>
    <row r="428" spans="1:68" ht="14.25" customHeight="1" x14ac:dyDescent="0.25">
      <c r="A428" s="768" t="s">
        <v>195</v>
      </c>
      <c r="B428" s="768"/>
      <c r="C428" s="768"/>
      <c r="D428" s="768"/>
      <c r="E428" s="768"/>
      <c r="F428" s="768"/>
      <c r="G428" s="768"/>
      <c r="H428" s="768"/>
      <c r="I428" s="768"/>
      <c r="J428" s="768"/>
      <c r="K428" s="768"/>
      <c r="L428" s="768"/>
      <c r="M428" s="768"/>
      <c r="N428" s="768"/>
      <c r="O428" s="768"/>
      <c r="P428" s="768"/>
      <c r="Q428" s="768"/>
      <c r="R428" s="768"/>
      <c r="S428" s="768"/>
      <c r="T428" s="768"/>
      <c r="U428" s="768"/>
      <c r="V428" s="768"/>
      <c r="W428" s="768"/>
      <c r="X428" s="768"/>
      <c r="Y428" s="768"/>
      <c r="Z428" s="768"/>
      <c r="AA428" s="63"/>
      <c r="AB428" s="63"/>
      <c r="AC428" s="63"/>
    </row>
    <row r="429" spans="1:68" ht="27" customHeight="1" x14ac:dyDescent="0.25">
      <c r="A429" s="60" t="s">
        <v>681</v>
      </c>
      <c r="B429" s="60" t="s">
        <v>682</v>
      </c>
      <c r="C429" s="34">
        <v>4301060439</v>
      </c>
      <c r="D429" s="769">
        <v>4607091384673</v>
      </c>
      <c r="E429" s="769"/>
      <c r="F429" s="59">
        <v>1.5</v>
      </c>
      <c r="G429" s="35">
        <v>6</v>
      </c>
      <c r="H429" s="59">
        <v>9</v>
      </c>
      <c r="I429" s="59">
        <v>9.5190000000000001</v>
      </c>
      <c r="J429" s="35">
        <v>64</v>
      </c>
      <c r="K429" s="35" t="s">
        <v>107</v>
      </c>
      <c r="L429" s="35" t="s">
        <v>45</v>
      </c>
      <c r="M429" s="36" t="s">
        <v>106</v>
      </c>
      <c r="N429" s="36"/>
      <c r="O429" s="35">
        <v>30</v>
      </c>
      <c r="P429" s="894" t="s">
        <v>683</v>
      </c>
      <c r="Q429" s="771"/>
      <c r="R429" s="771"/>
      <c r="S429" s="771"/>
      <c r="T429" s="772"/>
      <c r="U429" s="37" t="s">
        <v>45</v>
      </c>
      <c r="V429" s="37" t="s">
        <v>45</v>
      </c>
      <c r="W429" s="38" t="s">
        <v>0</v>
      </c>
      <c r="X429" s="56">
        <v>70</v>
      </c>
      <c r="Y429" s="53">
        <f>IFERROR(IF(X429="",0,CEILING((X429/$H429),1)*$H429),"")</f>
        <v>72</v>
      </c>
      <c r="Z429" s="39">
        <f>IFERROR(IF(Y429=0,"",ROUNDUP(Y429/H429,0)*0.01898),"")</f>
        <v>0.15184</v>
      </c>
      <c r="AA429" s="65" t="s">
        <v>45</v>
      </c>
      <c r="AB429" s="66" t="s">
        <v>45</v>
      </c>
      <c r="AC429" s="511" t="s">
        <v>684</v>
      </c>
      <c r="AG429" s="75"/>
      <c r="AJ429" s="79" t="s">
        <v>45</v>
      </c>
      <c r="AK429" s="79">
        <v>0</v>
      </c>
      <c r="BB429" s="512" t="s">
        <v>66</v>
      </c>
      <c r="BM429" s="75">
        <f>IFERROR(X429*I429/H429,"0")</f>
        <v>74.036666666666676</v>
      </c>
      <c r="BN429" s="75">
        <f>IFERROR(Y429*I429/H429,"0")</f>
        <v>76.152000000000001</v>
      </c>
      <c r="BO429" s="75">
        <f>IFERROR(1/J429*(X429/H429),"0")</f>
        <v>0.12152777777777778</v>
      </c>
      <c r="BP429" s="75">
        <f>IFERROR(1/J429*(Y429/H429),"0")</f>
        <v>0.125</v>
      </c>
    </row>
    <row r="430" spans="1:68" x14ac:dyDescent="0.2">
      <c r="A430" s="759"/>
      <c r="B430" s="759"/>
      <c r="C430" s="759"/>
      <c r="D430" s="759"/>
      <c r="E430" s="759"/>
      <c r="F430" s="759"/>
      <c r="G430" s="759"/>
      <c r="H430" s="759"/>
      <c r="I430" s="759"/>
      <c r="J430" s="759"/>
      <c r="K430" s="759"/>
      <c r="L430" s="759"/>
      <c r="M430" s="759"/>
      <c r="N430" s="759"/>
      <c r="O430" s="767"/>
      <c r="P430" s="764" t="s">
        <v>40</v>
      </c>
      <c r="Q430" s="765"/>
      <c r="R430" s="765"/>
      <c r="S430" s="765"/>
      <c r="T430" s="765"/>
      <c r="U430" s="765"/>
      <c r="V430" s="766"/>
      <c r="W430" s="40" t="s">
        <v>39</v>
      </c>
      <c r="X430" s="41">
        <f>IFERROR(X429/H429,"0")</f>
        <v>7.7777777777777777</v>
      </c>
      <c r="Y430" s="41">
        <f>IFERROR(Y429/H429,"0")</f>
        <v>8</v>
      </c>
      <c r="Z430" s="41">
        <f>IFERROR(IF(Z429="",0,Z429),"0")</f>
        <v>0.15184</v>
      </c>
      <c r="AA430" s="64"/>
      <c r="AB430" s="64"/>
      <c r="AC430" s="64"/>
    </row>
    <row r="431" spans="1:68" x14ac:dyDescent="0.2">
      <c r="A431" s="759"/>
      <c r="B431" s="759"/>
      <c r="C431" s="759"/>
      <c r="D431" s="759"/>
      <c r="E431" s="759"/>
      <c r="F431" s="759"/>
      <c r="G431" s="759"/>
      <c r="H431" s="759"/>
      <c r="I431" s="759"/>
      <c r="J431" s="759"/>
      <c r="K431" s="759"/>
      <c r="L431" s="759"/>
      <c r="M431" s="759"/>
      <c r="N431" s="759"/>
      <c r="O431" s="767"/>
      <c r="P431" s="764" t="s">
        <v>40</v>
      </c>
      <c r="Q431" s="765"/>
      <c r="R431" s="765"/>
      <c r="S431" s="765"/>
      <c r="T431" s="765"/>
      <c r="U431" s="765"/>
      <c r="V431" s="766"/>
      <c r="W431" s="40" t="s">
        <v>0</v>
      </c>
      <c r="X431" s="41">
        <f>IFERROR(SUM(X429:X429),"0")</f>
        <v>70</v>
      </c>
      <c r="Y431" s="41">
        <f>IFERROR(SUM(Y429:Y429),"0")</f>
        <v>72</v>
      </c>
      <c r="Z431" s="40"/>
      <c r="AA431" s="64"/>
      <c r="AB431" s="64"/>
      <c r="AC431" s="64"/>
    </row>
    <row r="432" spans="1:68" ht="16.5" customHeight="1" x14ac:dyDescent="0.25">
      <c r="A432" s="776" t="s">
        <v>685</v>
      </c>
      <c r="B432" s="776"/>
      <c r="C432" s="776"/>
      <c r="D432" s="776"/>
      <c r="E432" s="776"/>
      <c r="F432" s="776"/>
      <c r="G432" s="776"/>
      <c r="H432" s="776"/>
      <c r="I432" s="776"/>
      <c r="J432" s="776"/>
      <c r="K432" s="776"/>
      <c r="L432" s="776"/>
      <c r="M432" s="776"/>
      <c r="N432" s="776"/>
      <c r="O432" s="776"/>
      <c r="P432" s="776"/>
      <c r="Q432" s="776"/>
      <c r="R432" s="776"/>
      <c r="S432" s="776"/>
      <c r="T432" s="776"/>
      <c r="U432" s="776"/>
      <c r="V432" s="776"/>
      <c r="W432" s="776"/>
      <c r="X432" s="776"/>
      <c r="Y432" s="776"/>
      <c r="Z432" s="776"/>
      <c r="AA432" s="62"/>
      <c r="AB432" s="62"/>
      <c r="AC432" s="62"/>
    </row>
    <row r="433" spans="1:68" ht="14.25" customHeight="1" x14ac:dyDescent="0.25">
      <c r="A433" s="768" t="s">
        <v>101</v>
      </c>
      <c r="B433" s="768"/>
      <c r="C433" s="768"/>
      <c r="D433" s="768"/>
      <c r="E433" s="768"/>
      <c r="F433" s="768"/>
      <c r="G433" s="768"/>
      <c r="H433" s="768"/>
      <c r="I433" s="768"/>
      <c r="J433" s="768"/>
      <c r="K433" s="768"/>
      <c r="L433" s="768"/>
      <c r="M433" s="768"/>
      <c r="N433" s="768"/>
      <c r="O433" s="768"/>
      <c r="P433" s="768"/>
      <c r="Q433" s="768"/>
      <c r="R433" s="768"/>
      <c r="S433" s="768"/>
      <c r="T433" s="768"/>
      <c r="U433" s="768"/>
      <c r="V433" s="768"/>
      <c r="W433" s="768"/>
      <c r="X433" s="768"/>
      <c r="Y433" s="768"/>
      <c r="Z433" s="768"/>
      <c r="AA433" s="63"/>
      <c r="AB433" s="63"/>
      <c r="AC433" s="63"/>
    </row>
    <row r="434" spans="1:68" ht="37.5" customHeight="1" x14ac:dyDescent="0.25">
      <c r="A434" s="60" t="s">
        <v>686</v>
      </c>
      <c r="B434" s="60" t="s">
        <v>687</v>
      </c>
      <c r="C434" s="34">
        <v>4301011873</v>
      </c>
      <c r="D434" s="769">
        <v>4680115881907</v>
      </c>
      <c r="E434" s="769"/>
      <c r="F434" s="59">
        <v>1.8</v>
      </c>
      <c r="G434" s="35">
        <v>6</v>
      </c>
      <c r="H434" s="59">
        <v>10.8</v>
      </c>
      <c r="I434" s="59">
        <v>11.234999999999999</v>
      </c>
      <c r="J434" s="35">
        <v>64</v>
      </c>
      <c r="K434" s="35" t="s">
        <v>107</v>
      </c>
      <c r="L434" s="35" t="s">
        <v>45</v>
      </c>
      <c r="M434" s="36" t="s">
        <v>82</v>
      </c>
      <c r="N434" s="36"/>
      <c r="O434" s="35">
        <v>60</v>
      </c>
      <c r="P434" s="89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4" s="771"/>
      <c r="R434" s="771"/>
      <c r="S434" s="771"/>
      <c r="T434" s="772"/>
      <c r="U434" s="37" t="s">
        <v>45</v>
      </c>
      <c r="V434" s="37" t="s">
        <v>45</v>
      </c>
      <c r="W434" s="38" t="s">
        <v>0</v>
      </c>
      <c r="X434" s="56">
        <v>0</v>
      </c>
      <c r="Y434" s="53">
        <f t="shared" ref="Y434:Y441" si="86">IFERROR(IF(X434="",0,CEILING((X434/$H434),1)*$H434),"")</f>
        <v>0</v>
      </c>
      <c r="Z434" s="39" t="str">
        <f>IFERROR(IF(Y434=0,"",ROUNDUP(Y434/H434,0)*0.01898),"")</f>
        <v/>
      </c>
      <c r="AA434" s="65" t="s">
        <v>45</v>
      </c>
      <c r="AB434" s="66" t="s">
        <v>45</v>
      </c>
      <c r="AC434" s="513" t="s">
        <v>688</v>
      </c>
      <c r="AG434" s="75"/>
      <c r="AJ434" s="79" t="s">
        <v>45</v>
      </c>
      <c r="AK434" s="79">
        <v>0</v>
      </c>
      <c r="BB434" s="514" t="s">
        <v>66</v>
      </c>
      <c r="BM434" s="75">
        <f t="shared" ref="BM434:BM441" si="87">IFERROR(X434*I434/H434,"0")</f>
        <v>0</v>
      </c>
      <c r="BN434" s="75">
        <f t="shared" ref="BN434:BN441" si="88">IFERROR(Y434*I434/H434,"0")</f>
        <v>0</v>
      </c>
      <c r="BO434" s="75">
        <f t="shared" ref="BO434:BO441" si="89">IFERROR(1/J434*(X434/H434),"0")</f>
        <v>0</v>
      </c>
      <c r="BP434" s="75">
        <f t="shared" ref="BP434:BP441" si="90">IFERROR(1/J434*(Y434/H434),"0")</f>
        <v>0</v>
      </c>
    </row>
    <row r="435" spans="1:68" ht="27" customHeight="1" x14ac:dyDescent="0.25">
      <c r="A435" s="60" t="s">
        <v>686</v>
      </c>
      <c r="B435" s="60" t="s">
        <v>689</v>
      </c>
      <c r="C435" s="34">
        <v>4301011483</v>
      </c>
      <c r="D435" s="769">
        <v>4680115881907</v>
      </c>
      <c r="E435" s="769"/>
      <c r="F435" s="59">
        <v>1.8</v>
      </c>
      <c r="G435" s="35">
        <v>6</v>
      </c>
      <c r="H435" s="59">
        <v>10.8</v>
      </c>
      <c r="I435" s="59">
        <v>11.234999999999999</v>
      </c>
      <c r="J435" s="35">
        <v>64</v>
      </c>
      <c r="K435" s="35" t="s">
        <v>107</v>
      </c>
      <c r="L435" s="35" t="s">
        <v>45</v>
      </c>
      <c r="M435" s="36" t="s">
        <v>82</v>
      </c>
      <c r="N435" s="36"/>
      <c r="O435" s="35">
        <v>60</v>
      </c>
      <c r="P435" s="896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35" s="771"/>
      <c r="R435" s="771"/>
      <c r="S435" s="771"/>
      <c r="T435" s="772"/>
      <c r="U435" s="37" t="s">
        <v>45</v>
      </c>
      <c r="V435" s="37" t="s">
        <v>45</v>
      </c>
      <c r="W435" s="38" t="s">
        <v>0</v>
      </c>
      <c r="X435" s="56">
        <v>0</v>
      </c>
      <c r="Y435" s="53">
        <f t="shared" si="86"/>
        <v>0</v>
      </c>
      <c r="Z435" s="39" t="str">
        <f>IFERROR(IF(Y435=0,"",ROUNDUP(Y435/H435,0)*0.01898),"")</f>
        <v/>
      </c>
      <c r="AA435" s="65" t="s">
        <v>45</v>
      </c>
      <c r="AB435" s="66" t="s">
        <v>45</v>
      </c>
      <c r="AC435" s="515" t="s">
        <v>690</v>
      </c>
      <c r="AG435" s="75"/>
      <c r="AJ435" s="79" t="s">
        <v>45</v>
      </c>
      <c r="AK435" s="79">
        <v>0</v>
      </c>
      <c r="BB435" s="516" t="s">
        <v>66</v>
      </c>
      <c r="BM435" s="75">
        <f t="shared" si="87"/>
        <v>0</v>
      </c>
      <c r="BN435" s="75">
        <f t="shared" si="88"/>
        <v>0</v>
      </c>
      <c r="BO435" s="75">
        <f t="shared" si="89"/>
        <v>0</v>
      </c>
      <c r="BP435" s="75">
        <f t="shared" si="90"/>
        <v>0</v>
      </c>
    </row>
    <row r="436" spans="1:68" ht="27" customHeight="1" x14ac:dyDescent="0.25">
      <c r="A436" s="60" t="s">
        <v>691</v>
      </c>
      <c r="B436" s="60" t="s">
        <v>692</v>
      </c>
      <c r="C436" s="34">
        <v>4301011655</v>
      </c>
      <c r="D436" s="769">
        <v>4680115883925</v>
      </c>
      <c r="E436" s="769"/>
      <c r="F436" s="59">
        <v>2.5</v>
      </c>
      <c r="G436" s="35">
        <v>6</v>
      </c>
      <c r="H436" s="59">
        <v>15</v>
      </c>
      <c r="I436" s="59">
        <v>15.48</v>
      </c>
      <c r="J436" s="35">
        <v>48</v>
      </c>
      <c r="K436" s="35" t="s">
        <v>107</v>
      </c>
      <c r="L436" s="35" t="s">
        <v>45</v>
      </c>
      <c r="M436" s="36" t="s">
        <v>82</v>
      </c>
      <c r="N436" s="36"/>
      <c r="O436" s="35">
        <v>60</v>
      </c>
      <c r="P436" s="886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6" s="771"/>
      <c r="R436" s="771"/>
      <c r="S436" s="771"/>
      <c r="T436" s="772"/>
      <c r="U436" s="37" t="s">
        <v>45</v>
      </c>
      <c r="V436" s="37" t="s">
        <v>45</v>
      </c>
      <c r="W436" s="38" t="s">
        <v>0</v>
      </c>
      <c r="X436" s="56">
        <v>0</v>
      </c>
      <c r="Y436" s="53">
        <f t="shared" si="86"/>
        <v>0</v>
      </c>
      <c r="Z436" s="39" t="str">
        <f>IFERROR(IF(Y436=0,"",ROUNDUP(Y436/H436,0)*0.02175),"")</f>
        <v/>
      </c>
      <c r="AA436" s="65" t="s">
        <v>45</v>
      </c>
      <c r="AB436" s="66" t="s">
        <v>45</v>
      </c>
      <c r="AC436" s="517" t="s">
        <v>690</v>
      </c>
      <c r="AG436" s="75"/>
      <c r="AJ436" s="79" t="s">
        <v>45</v>
      </c>
      <c r="AK436" s="79">
        <v>0</v>
      </c>
      <c r="BB436" s="518" t="s">
        <v>66</v>
      </c>
      <c r="BM436" s="75">
        <f t="shared" si="87"/>
        <v>0</v>
      </c>
      <c r="BN436" s="75">
        <f t="shared" si="88"/>
        <v>0</v>
      </c>
      <c r="BO436" s="75">
        <f t="shared" si="89"/>
        <v>0</v>
      </c>
      <c r="BP436" s="75">
        <f t="shared" si="90"/>
        <v>0</v>
      </c>
    </row>
    <row r="437" spans="1:68" ht="37.5" customHeight="1" x14ac:dyDescent="0.25">
      <c r="A437" s="60" t="s">
        <v>691</v>
      </c>
      <c r="B437" s="60" t="s">
        <v>693</v>
      </c>
      <c r="C437" s="34">
        <v>4301011872</v>
      </c>
      <c r="D437" s="769">
        <v>4680115883925</v>
      </c>
      <c r="E437" s="769"/>
      <c r="F437" s="59">
        <v>2.5</v>
      </c>
      <c r="G437" s="35">
        <v>6</v>
      </c>
      <c r="H437" s="59">
        <v>15</v>
      </c>
      <c r="I437" s="59">
        <v>15.48</v>
      </c>
      <c r="J437" s="35">
        <v>48</v>
      </c>
      <c r="K437" s="35" t="s">
        <v>107</v>
      </c>
      <c r="L437" s="35" t="s">
        <v>45</v>
      </c>
      <c r="M437" s="36" t="s">
        <v>82</v>
      </c>
      <c r="N437" s="36"/>
      <c r="O437" s="35">
        <v>60</v>
      </c>
      <c r="P437" s="887" t="str">
        <f>HYPERLINK("https://abi.ru/products/Охлажденные/Особый рецепт/Особая Без свинины/Вареные колбасы/P004260/","Вареные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Q437" s="771"/>
      <c r="R437" s="771"/>
      <c r="S437" s="771"/>
      <c r="T437" s="772"/>
      <c r="U437" s="37" t="s">
        <v>45</v>
      </c>
      <c r="V437" s="37" t="s">
        <v>45</v>
      </c>
      <c r="W437" s="38" t="s">
        <v>0</v>
      </c>
      <c r="X437" s="56">
        <v>0</v>
      </c>
      <c r="Y437" s="53">
        <f t="shared" si="86"/>
        <v>0</v>
      </c>
      <c r="Z437" s="39" t="str">
        <f>IFERROR(IF(Y437=0,"",ROUNDUP(Y437/H437,0)*0.02175),"")</f>
        <v/>
      </c>
      <c r="AA437" s="65" t="s">
        <v>45</v>
      </c>
      <c r="AB437" s="66" t="s">
        <v>45</v>
      </c>
      <c r="AC437" s="519" t="s">
        <v>688</v>
      </c>
      <c r="AG437" s="75"/>
      <c r="AJ437" s="79" t="s">
        <v>45</v>
      </c>
      <c r="AK437" s="79">
        <v>0</v>
      </c>
      <c r="BB437" s="520" t="s">
        <v>66</v>
      </c>
      <c r="BM437" s="75">
        <f t="shared" si="87"/>
        <v>0</v>
      </c>
      <c r="BN437" s="75">
        <f t="shared" si="88"/>
        <v>0</v>
      </c>
      <c r="BO437" s="75">
        <f t="shared" si="89"/>
        <v>0</v>
      </c>
      <c r="BP437" s="75">
        <f t="shared" si="90"/>
        <v>0</v>
      </c>
    </row>
    <row r="438" spans="1:68" ht="37.5" customHeight="1" x14ac:dyDescent="0.25">
      <c r="A438" s="60" t="s">
        <v>694</v>
      </c>
      <c r="B438" s="60" t="s">
        <v>695</v>
      </c>
      <c r="C438" s="34">
        <v>4301011874</v>
      </c>
      <c r="D438" s="769">
        <v>4680115884892</v>
      </c>
      <c r="E438" s="769"/>
      <c r="F438" s="59">
        <v>1.8</v>
      </c>
      <c r="G438" s="35">
        <v>6</v>
      </c>
      <c r="H438" s="59">
        <v>10.8</v>
      </c>
      <c r="I438" s="59">
        <v>11.234999999999999</v>
      </c>
      <c r="J438" s="35">
        <v>64</v>
      </c>
      <c r="K438" s="35" t="s">
        <v>107</v>
      </c>
      <c r="L438" s="35" t="s">
        <v>45</v>
      </c>
      <c r="M438" s="36" t="s">
        <v>82</v>
      </c>
      <c r="N438" s="36"/>
      <c r="O438" s="35">
        <v>60</v>
      </c>
      <c r="P438" s="888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38" s="771"/>
      <c r="R438" s="771"/>
      <c r="S438" s="771"/>
      <c r="T438" s="772"/>
      <c r="U438" s="37" t="s">
        <v>45</v>
      </c>
      <c r="V438" s="37" t="s">
        <v>45</v>
      </c>
      <c r="W438" s="38" t="s">
        <v>0</v>
      </c>
      <c r="X438" s="56">
        <v>0</v>
      </c>
      <c r="Y438" s="53">
        <f t="shared" si="86"/>
        <v>0</v>
      </c>
      <c r="Z438" s="39" t="str">
        <f>IFERROR(IF(Y438=0,"",ROUNDUP(Y438/H438,0)*0.01898),"")</f>
        <v/>
      </c>
      <c r="AA438" s="65" t="s">
        <v>45</v>
      </c>
      <c r="AB438" s="66" t="s">
        <v>45</v>
      </c>
      <c r="AC438" s="521" t="s">
        <v>696</v>
      </c>
      <c r="AG438" s="75"/>
      <c r="AJ438" s="79" t="s">
        <v>45</v>
      </c>
      <c r="AK438" s="79">
        <v>0</v>
      </c>
      <c r="BB438" s="522" t="s">
        <v>66</v>
      </c>
      <c r="BM438" s="75">
        <f t="shared" si="87"/>
        <v>0</v>
      </c>
      <c r="BN438" s="75">
        <f t="shared" si="88"/>
        <v>0</v>
      </c>
      <c r="BO438" s="75">
        <f t="shared" si="89"/>
        <v>0</v>
      </c>
      <c r="BP438" s="75">
        <f t="shared" si="90"/>
        <v>0</v>
      </c>
    </row>
    <row r="439" spans="1:68" ht="37.5" customHeight="1" x14ac:dyDescent="0.25">
      <c r="A439" s="60" t="s">
        <v>697</v>
      </c>
      <c r="B439" s="60" t="s">
        <v>698</v>
      </c>
      <c r="C439" s="34">
        <v>4301011312</v>
      </c>
      <c r="D439" s="769">
        <v>4607091384192</v>
      </c>
      <c r="E439" s="769"/>
      <c r="F439" s="59">
        <v>1.8</v>
      </c>
      <c r="G439" s="35">
        <v>6</v>
      </c>
      <c r="H439" s="59">
        <v>10.8</v>
      </c>
      <c r="I439" s="59">
        <v>11.234999999999999</v>
      </c>
      <c r="J439" s="35">
        <v>64</v>
      </c>
      <c r="K439" s="35" t="s">
        <v>107</v>
      </c>
      <c r="L439" s="35" t="s">
        <v>45</v>
      </c>
      <c r="M439" s="36" t="s">
        <v>110</v>
      </c>
      <c r="N439" s="36"/>
      <c r="O439" s="35">
        <v>60</v>
      </c>
      <c r="P439" s="889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Q439" s="771"/>
      <c r="R439" s="771"/>
      <c r="S439" s="771"/>
      <c r="T439" s="772"/>
      <c r="U439" s="37" t="s">
        <v>45</v>
      </c>
      <c r="V439" s="37" t="s">
        <v>45</v>
      </c>
      <c r="W439" s="38" t="s">
        <v>0</v>
      </c>
      <c r="X439" s="56">
        <v>80</v>
      </c>
      <c r="Y439" s="53">
        <f t="shared" si="86"/>
        <v>86.4</v>
      </c>
      <c r="Z439" s="39">
        <f>IFERROR(IF(Y439=0,"",ROUNDUP(Y439/H439,0)*0.01898),"")</f>
        <v>0.15184</v>
      </c>
      <c r="AA439" s="65" t="s">
        <v>45</v>
      </c>
      <c r="AB439" s="66" t="s">
        <v>45</v>
      </c>
      <c r="AC439" s="523" t="s">
        <v>699</v>
      </c>
      <c r="AG439" s="75"/>
      <c r="AJ439" s="79" t="s">
        <v>45</v>
      </c>
      <c r="AK439" s="79">
        <v>0</v>
      </c>
      <c r="BB439" s="524" t="s">
        <v>66</v>
      </c>
      <c r="BM439" s="75">
        <f t="shared" si="87"/>
        <v>83.222222222222214</v>
      </c>
      <c r="BN439" s="75">
        <f t="shared" si="88"/>
        <v>89.88</v>
      </c>
      <c r="BO439" s="75">
        <f t="shared" si="89"/>
        <v>0.11574074074074073</v>
      </c>
      <c r="BP439" s="75">
        <f t="shared" si="90"/>
        <v>0.125</v>
      </c>
    </row>
    <row r="440" spans="1:68" ht="37.5" customHeight="1" x14ac:dyDescent="0.25">
      <c r="A440" s="60" t="s">
        <v>700</v>
      </c>
      <c r="B440" s="60" t="s">
        <v>701</v>
      </c>
      <c r="C440" s="34">
        <v>4301011875</v>
      </c>
      <c r="D440" s="769">
        <v>4680115884885</v>
      </c>
      <c r="E440" s="769"/>
      <c r="F440" s="59">
        <v>0.8</v>
      </c>
      <c r="G440" s="35">
        <v>15</v>
      </c>
      <c r="H440" s="59">
        <v>12</v>
      </c>
      <c r="I440" s="59">
        <v>12.435</v>
      </c>
      <c r="J440" s="35">
        <v>64</v>
      </c>
      <c r="K440" s="35" t="s">
        <v>107</v>
      </c>
      <c r="L440" s="35" t="s">
        <v>45</v>
      </c>
      <c r="M440" s="36" t="s">
        <v>82</v>
      </c>
      <c r="N440" s="36"/>
      <c r="O440" s="35">
        <v>60</v>
      </c>
      <c r="P440" s="89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40" s="771"/>
      <c r="R440" s="771"/>
      <c r="S440" s="771"/>
      <c r="T440" s="772"/>
      <c r="U440" s="37" t="s">
        <v>45</v>
      </c>
      <c r="V440" s="37" t="s">
        <v>45</v>
      </c>
      <c r="W440" s="38" t="s">
        <v>0</v>
      </c>
      <c r="X440" s="56">
        <v>0</v>
      </c>
      <c r="Y440" s="53">
        <f t="shared" si="86"/>
        <v>0</v>
      </c>
      <c r="Z440" s="39" t="str">
        <f>IFERROR(IF(Y440=0,"",ROUNDUP(Y440/H440,0)*0.01898),"")</f>
        <v/>
      </c>
      <c r="AA440" s="65" t="s">
        <v>45</v>
      </c>
      <c r="AB440" s="66" t="s">
        <v>45</v>
      </c>
      <c r="AC440" s="525" t="s">
        <v>696</v>
      </c>
      <c r="AG440" s="75"/>
      <c r="AJ440" s="79" t="s">
        <v>45</v>
      </c>
      <c r="AK440" s="79">
        <v>0</v>
      </c>
      <c r="BB440" s="526" t="s">
        <v>66</v>
      </c>
      <c r="BM440" s="75">
        <f t="shared" si="87"/>
        <v>0</v>
      </c>
      <c r="BN440" s="75">
        <f t="shared" si="88"/>
        <v>0</v>
      </c>
      <c r="BO440" s="75">
        <f t="shared" si="89"/>
        <v>0</v>
      </c>
      <c r="BP440" s="75">
        <f t="shared" si="90"/>
        <v>0</v>
      </c>
    </row>
    <row r="441" spans="1:68" ht="37.5" customHeight="1" x14ac:dyDescent="0.25">
      <c r="A441" s="60" t="s">
        <v>702</v>
      </c>
      <c r="B441" s="60" t="s">
        <v>703</v>
      </c>
      <c r="C441" s="34">
        <v>4301011871</v>
      </c>
      <c r="D441" s="769">
        <v>4680115884908</v>
      </c>
      <c r="E441" s="769"/>
      <c r="F441" s="59">
        <v>0.4</v>
      </c>
      <c r="G441" s="35">
        <v>10</v>
      </c>
      <c r="H441" s="59">
        <v>4</v>
      </c>
      <c r="I441" s="59">
        <v>4.21</v>
      </c>
      <c r="J441" s="35">
        <v>132</v>
      </c>
      <c r="K441" s="35" t="s">
        <v>116</v>
      </c>
      <c r="L441" s="35" t="s">
        <v>45</v>
      </c>
      <c r="M441" s="36" t="s">
        <v>82</v>
      </c>
      <c r="N441" s="36"/>
      <c r="O441" s="35">
        <v>60</v>
      </c>
      <c r="P441" s="891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41" s="771"/>
      <c r="R441" s="771"/>
      <c r="S441" s="771"/>
      <c r="T441" s="772"/>
      <c r="U441" s="37" t="s">
        <v>45</v>
      </c>
      <c r="V441" s="37" t="s">
        <v>45</v>
      </c>
      <c r="W441" s="38" t="s">
        <v>0</v>
      </c>
      <c r="X441" s="56">
        <v>0</v>
      </c>
      <c r="Y441" s="53">
        <f t="shared" si="86"/>
        <v>0</v>
      </c>
      <c r="Z441" s="39" t="str">
        <f>IFERROR(IF(Y441=0,"",ROUNDUP(Y441/H441,0)*0.00902),"")</f>
        <v/>
      </c>
      <c r="AA441" s="65" t="s">
        <v>45</v>
      </c>
      <c r="AB441" s="66" t="s">
        <v>45</v>
      </c>
      <c r="AC441" s="527" t="s">
        <v>696</v>
      </c>
      <c r="AG441" s="75"/>
      <c r="AJ441" s="79" t="s">
        <v>45</v>
      </c>
      <c r="AK441" s="79">
        <v>0</v>
      </c>
      <c r="BB441" s="528" t="s">
        <v>66</v>
      </c>
      <c r="BM441" s="75">
        <f t="shared" si="87"/>
        <v>0</v>
      </c>
      <c r="BN441" s="75">
        <f t="shared" si="88"/>
        <v>0</v>
      </c>
      <c r="BO441" s="75">
        <f t="shared" si="89"/>
        <v>0</v>
      </c>
      <c r="BP441" s="75">
        <f t="shared" si="90"/>
        <v>0</v>
      </c>
    </row>
    <row r="442" spans="1:68" x14ac:dyDescent="0.2">
      <c r="A442" s="759"/>
      <c r="B442" s="759"/>
      <c r="C442" s="759"/>
      <c r="D442" s="759"/>
      <c r="E442" s="759"/>
      <c r="F442" s="759"/>
      <c r="G442" s="759"/>
      <c r="H442" s="759"/>
      <c r="I442" s="759"/>
      <c r="J442" s="759"/>
      <c r="K442" s="759"/>
      <c r="L442" s="759"/>
      <c r="M442" s="759"/>
      <c r="N442" s="759"/>
      <c r="O442" s="767"/>
      <c r="P442" s="764" t="s">
        <v>40</v>
      </c>
      <c r="Q442" s="765"/>
      <c r="R442" s="765"/>
      <c r="S442" s="765"/>
      <c r="T442" s="765"/>
      <c r="U442" s="765"/>
      <c r="V442" s="766"/>
      <c r="W442" s="40" t="s">
        <v>39</v>
      </c>
      <c r="X442" s="41">
        <f>IFERROR(X434/H434,"0")+IFERROR(X435/H435,"0")+IFERROR(X436/H436,"0")+IFERROR(X437/H437,"0")+IFERROR(X438/H438,"0")+IFERROR(X439/H439,"0")+IFERROR(X440/H440,"0")+IFERROR(X441/H441,"0")</f>
        <v>7.4074074074074066</v>
      </c>
      <c r="Y442" s="41">
        <f>IFERROR(Y434/H434,"0")+IFERROR(Y435/H435,"0")+IFERROR(Y436/H436,"0")+IFERROR(Y437/H437,"0")+IFERROR(Y438/H438,"0")+IFERROR(Y439/H439,"0")+IFERROR(Y440/H440,"0")+IFERROR(Y441/H441,"0")</f>
        <v>8</v>
      </c>
      <c r="Z442" s="41">
        <f>IFERROR(IF(Z434="",0,Z434),"0")+IFERROR(IF(Z435="",0,Z435),"0")+IFERROR(IF(Z436="",0,Z436),"0")+IFERROR(IF(Z437="",0,Z437),"0")+IFERROR(IF(Z438="",0,Z438),"0")+IFERROR(IF(Z439="",0,Z439),"0")+IFERROR(IF(Z440="",0,Z440),"0")+IFERROR(IF(Z441="",0,Z441),"0")</f>
        <v>0.15184</v>
      </c>
      <c r="AA442" s="64"/>
      <c r="AB442" s="64"/>
      <c r="AC442" s="64"/>
    </row>
    <row r="443" spans="1:68" x14ac:dyDescent="0.2">
      <c r="A443" s="759"/>
      <c r="B443" s="759"/>
      <c r="C443" s="759"/>
      <c r="D443" s="759"/>
      <c r="E443" s="759"/>
      <c r="F443" s="759"/>
      <c r="G443" s="759"/>
      <c r="H443" s="759"/>
      <c r="I443" s="759"/>
      <c r="J443" s="759"/>
      <c r="K443" s="759"/>
      <c r="L443" s="759"/>
      <c r="M443" s="759"/>
      <c r="N443" s="759"/>
      <c r="O443" s="767"/>
      <c r="P443" s="764" t="s">
        <v>40</v>
      </c>
      <c r="Q443" s="765"/>
      <c r="R443" s="765"/>
      <c r="S443" s="765"/>
      <c r="T443" s="765"/>
      <c r="U443" s="765"/>
      <c r="V443" s="766"/>
      <c r="W443" s="40" t="s">
        <v>0</v>
      </c>
      <c r="X443" s="41">
        <f>IFERROR(SUM(X434:X441),"0")</f>
        <v>80</v>
      </c>
      <c r="Y443" s="41">
        <f>IFERROR(SUM(Y434:Y441),"0")</f>
        <v>86.4</v>
      </c>
      <c r="Z443" s="40"/>
      <c r="AA443" s="64"/>
      <c r="AB443" s="64"/>
      <c r="AC443" s="64"/>
    </row>
    <row r="444" spans="1:68" ht="14.25" customHeight="1" x14ac:dyDescent="0.25">
      <c r="A444" s="768" t="s">
        <v>164</v>
      </c>
      <c r="B444" s="768"/>
      <c r="C444" s="768"/>
      <c r="D444" s="768"/>
      <c r="E444" s="768"/>
      <c r="F444" s="768"/>
      <c r="G444" s="768"/>
      <c r="H444" s="768"/>
      <c r="I444" s="768"/>
      <c r="J444" s="768"/>
      <c r="K444" s="768"/>
      <c r="L444" s="768"/>
      <c r="M444" s="768"/>
      <c r="N444" s="768"/>
      <c r="O444" s="768"/>
      <c r="P444" s="768"/>
      <c r="Q444" s="768"/>
      <c r="R444" s="768"/>
      <c r="S444" s="768"/>
      <c r="T444" s="768"/>
      <c r="U444" s="768"/>
      <c r="V444" s="768"/>
      <c r="W444" s="768"/>
      <c r="X444" s="768"/>
      <c r="Y444" s="768"/>
      <c r="Z444" s="768"/>
      <c r="AA444" s="63"/>
      <c r="AB444" s="63"/>
      <c r="AC444" s="63"/>
    </row>
    <row r="445" spans="1:68" ht="27" customHeight="1" x14ac:dyDescent="0.25">
      <c r="A445" s="60" t="s">
        <v>704</v>
      </c>
      <c r="B445" s="60" t="s">
        <v>705</v>
      </c>
      <c r="C445" s="34">
        <v>4301031303</v>
      </c>
      <c r="D445" s="769">
        <v>4607091384802</v>
      </c>
      <c r="E445" s="769"/>
      <c r="F445" s="59">
        <v>0.73</v>
      </c>
      <c r="G445" s="35">
        <v>6</v>
      </c>
      <c r="H445" s="59">
        <v>4.38</v>
      </c>
      <c r="I445" s="59">
        <v>4.6500000000000004</v>
      </c>
      <c r="J445" s="35">
        <v>132</v>
      </c>
      <c r="K445" s="35" t="s">
        <v>116</v>
      </c>
      <c r="L445" s="35" t="s">
        <v>45</v>
      </c>
      <c r="M445" s="36" t="s">
        <v>82</v>
      </c>
      <c r="N445" s="36"/>
      <c r="O445" s="35">
        <v>35</v>
      </c>
      <c r="P445" s="89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45" s="771"/>
      <c r="R445" s="771"/>
      <c r="S445" s="771"/>
      <c r="T445" s="772"/>
      <c r="U445" s="37" t="s">
        <v>45</v>
      </c>
      <c r="V445" s="37" t="s">
        <v>45</v>
      </c>
      <c r="W445" s="38" t="s">
        <v>0</v>
      </c>
      <c r="X445" s="56">
        <v>40</v>
      </c>
      <c r="Y445" s="53">
        <f>IFERROR(IF(X445="",0,CEILING((X445/$H445),1)*$H445),"")</f>
        <v>43.8</v>
      </c>
      <c r="Z445" s="39">
        <f>IFERROR(IF(Y445=0,"",ROUNDUP(Y445/H445,0)*0.00902),"")</f>
        <v>9.0200000000000002E-2</v>
      </c>
      <c r="AA445" s="65" t="s">
        <v>45</v>
      </c>
      <c r="AB445" s="66" t="s">
        <v>45</v>
      </c>
      <c r="AC445" s="529" t="s">
        <v>706</v>
      </c>
      <c r="AG445" s="75"/>
      <c r="AJ445" s="79" t="s">
        <v>45</v>
      </c>
      <c r="AK445" s="79">
        <v>0</v>
      </c>
      <c r="BB445" s="530" t="s">
        <v>66</v>
      </c>
      <c r="BM445" s="75">
        <f>IFERROR(X445*I445/H445,"0")</f>
        <v>42.465753424657535</v>
      </c>
      <c r="BN445" s="75">
        <f>IFERROR(Y445*I445/H445,"0")</f>
        <v>46.500000000000007</v>
      </c>
      <c r="BO445" s="75">
        <f>IFERROR(1/J445*(X445/H445),"0")</f>
        <v>6.9185000691850018E-2</v>
      </c>
      <c r="BP445" s="75">
        <f>IFERROR(1/J445*(Y445/H445),"0")</f>
        <v>7.575757575757576E-2</v>
      </c>
    </row>
    <row r="446" spans="1:68" ht="27" customHeight="1" x14ac:dyDescent="0.25">
      <c r="A446" s="60" t="s">
        <v>707</v>
      </c>
      <c r="B446" s="60" t="s">
        <v>708</v>
      </c>
      <c r="C446" s="34">
        <v>4301031304</v>
      </c>
      <c r="D446" s="769">
        <v>4607091384826</v>
      </c>
      <c r="E446" s="769"/>
      <c r="F446" s="59">
        <v>0.35</v>
      </c>
      <c r="G446" s="35">
        <v>8</v>
      </c>
      <c r="H446" s="59">
        <v>2.8</v>
      </c>
      <c r="I446" s="59">
        <v>2.98</v>
      </c>
      <c r="J446" s="35">
        <v>234</v>
      </c>
      <c r="K446" s="35" t="s">
        <v>126</v>
      </c>
      <c r="L446" s="35" t="s">
        <v>45</v>
      </c>
      <c r="M446" s="36" t="s">
        <v>82</v>
      </c>
      <c r="N446" s="36"/>
      <c r="O446" s="35">
        <v>35</v>
      </c>
      <c r="P446" s="880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46" s="771"/>
      <c r="R446" s="771"/>
      <c r="S446" s="771"/>
      <c r="T446" s="772"/>
      <c r="U446" s="37" t="s">
        <v>45</v>
      </c>
      <c r="V446" s="37" t="s">
        <v>45</v>
      </c>
      <c r="W446" s="38" t="s">
        <v>0</v>
      </c>
      <c r="X446" s="56">
        <v>0</v>
      </c>
      <c r="Y446" s="53">
        <f>IFERROR(IF(X446="",0,CEILING((X446/$H446),1)*$H446),"")</f>
        <v>0</v>
      </c>
      <c r="Z446" s="39" t="str">
        <f>IFERROR(IF(Y446=0,"",ROUNDUP(Y446/H446,0)*0.00502),"")</f>
        <v/>
      </c>
      <c r="AA446" s="65" t="s">
        <v>45</v>
      </c>
      <c r="AB446" s="66" t="s">
        <v>45</v>
      </c>
      <c r="AC446" s="531" t="s">
        <v>706</v>
      </c>
      <c r="AG446" s="75"/>
      <c r="AJ446" s="79" t="s">
        <v>45</v>
      </c>
      <c r="AK446" s="79">
        <v>0</v>
      </c>
      <c r="BB446" s="532" t="s">
        <v>66</v>
      </c>
      <c r="BM446" s="75">
        <f>IFERROR(X446*I446/H446,"0")</f>
        <v>0</v>
      </c>
      <c r="BN446" s="75">
        <f>IFERROR(Y446*I446/H446,"0")</f>
        <v>0</v>
      </c>
      <c r="BO446" s="75">
        <f>IFERROR(1/J446*(X446/H446),"0")</f>
        <v>0</v>
      </c>
      <c r="BP446" s="75">
        <f>IFERROR(1/J446*(Y446/H446),"0")</f>
        <v>0</v>
      </c>
    </row>
    <row r="447" spans="1:68" x14ac:dyDescent="0.2">
      <c r="A447" s="759"/>
      <c r="B447" s="759"/>
      <c r="C447" s="759"/>
      <c r="D447" s="759"/>
      <c r="E447" s="759"/>
      <c r="F447" s="759"/>
      <c r="G447" s="759"/>
      <c r="H447" s="759"/>
      <c r="I447" s="759"/>
      <c r="J447" s="759"/>
      <c r="K447" s="759"/>
      <c r="L447" s="759"/>
      <c r="M447" s="759"/>
      <c r="N447" s="759"/>
      <c r="O447" s="767"/>
      <c r="P447" s="764" t="s">
        <v>40</v>
      </c>
      <c r="Q447" s="765"/>
      <c r="R447" s="765"/>
      <c r="S447" s="765"/>
      <c r="T447" s="765"/>
      <c r="U447" s="765"/>
      <c r="V447" s="766"/>
      <c r="W447" s="40" t="s">
        <v>39</v>
      </c>
      <c r="X447" s="41">
        <f>IFERROR(X445/H445,"0")+IFERROR(X446/H446,"0")</f>
        <v>9.1324200913242013</v>
      </c>
      <c r="Y447" s="41">
        <f>IFERROR(Y445/H445,"0")+IFERROR(Y446/H446,"0")</f>
        <v>10</v>
      </c>
      <c r="Z447" s="41">
        <f>IFERROR(IF(Z445="",0,Z445),"0")+IFERROR(IF(Z446="",0,Z446),"0")</f>
        <v>9.0200000000000002E-2</v>
      </c>
      <c r="AA447" s="64"/>
      <c r="AB447" s="64"/>
      <c r="AC447" s="64"/>
    </row>
    <row r="448" spans="1:68" x14ac:dyDescent="0.2">
      <c r="A448" s="759"/>
      <c r="B448" s="759"/>
      <c r="C448" s="759"/>
      <c r="D448" s="759"/>
      <c r="E448" s="759"/>
      <c r="F448" s="759"/>
      <c r="G448" s="759"/>
      <c r="H448" s="759"/>
      <c r="I448" s="759"/>
      <c r="J448" s="759"/>
      <c r="K448" s="759"/>
      <c r="L448" s="759"/>
      <c r="M448" s="759"/>
      <c r="N448" s="759"/>
      <c r="O448" s="767"/>
      <c r="P448" s="764" t="s">
        <v>40</v>
      </c>
      <c r="Q448" s="765"/>
      <c r="R448" s="765"/>
      <c r="S448" s="765"/>
      <c r="T448" s="765"/>
      <c r="U448" s="765"/>
      <c r="V448" s="766"/>
      <c r="W448" s="40" t="s">
        <v>0</v>
      </c>
      <c r="X448" s="41">
        <f>IFERROR(SUM(X445:X446),"0")</f>
        <v>40</v>
      </c>
      <c r="Y448" s="41">
        <f>IFERROR(SUM(Y445:Y446),"0")</f>
        <v>43.8</v>
      </c>
      <c r="Z448" s="40"/>
      <c r="AA448" s="64"/>
      <c r="AB448" s="64"/>
      <c r="AC448" s="64"/>
    </row>
    <row r="449" spans="1:68" ht="14.25" customHeight="1" x14ac:dyDescent="0.25">
      <c r="A449" s="768" t="s">
        <v>78</v>
      </c>
      <c r="B449" s="768"/>
      <c r="C449" s="768"/>
      <c r="D449" s="768"/>
      <c r="E449" s="768"/>
      <c r="F449" s="768"/>
      <c r="G449" s="768"/>
      <c r="H449" s="768"/>
      <c r="I449" s="768"/>
      <c r="J449" s="768"/>
      <c r="K449" s="768"/>
      <c r="L449" s="768"/>
      <c r="M449" s="768"/>
      <c r="N449" s="768"/>
      <c r="O449" s="768"/>
      <c r="P449" s="768"/>
      <c r="Q449" s="768"/>
      <c r="R449" s="768"/>
      <c r="S449" s="768"/>
      <c r="T449" s="768"/>
      <c r="U449" s="768"/>
      <c r="V449" s="768"/>
      <c r="W449" s="768"/>
      <c r="X449" s="768"/>
      <c r="Y449" s="768"/>
      <c r="Z449" s="768"/>
      <c r="AA449" s="63"/>
      <c r="AB449" s="63"/>
      <c r="AC449" s="63"/>
    </row>
    <row r="450" spans="1:68" ht="27" customHeight="1" x14ac:dyDescent="0.25">
      <c r="A450" s="60" t="s">
        <v>709</v>
      </c>
      <c r="B450" s="60" t="s">
        <v>710</v>
      </c>
      <c r="C450" s="34">
        <v>4301051899</v>
      </c>
      <c r="D450" s="769">
        <v>4607091384246</v>
      </c>
      <c r="E450" s="769"/>
      <c r="F450" s="59">
        <v>1.5</v>
      </c>
      <c r="G450" s="35">
        <v>6</v>
      </c>
      <c r="H450" s="59">
        <v>9</v>
      </c>
      <c r="I450" s="59">
        <v>9.5190000000000001</v>
      </c>
      <c r="J450" s="35">
        <v>64</v>
      </c>
      <c r="K450" s="35" t="s">
        <v>107</v>
      </c>
      <c r="L450" s="35" t="s">
        <v>45</v>
      </c>
      <c r="M450" s="36" t="s">
        <v>106</v>
      </c>
      <c r="N450" s="36"/>
      <c r="O450" s="35">
        <v>40</v>
      </c>
      <c r="P450" s="881" t="s">
        <v>711</v>
      </c>
      <c r="Q450" s="771"/>
      <c r="R450" s="771"/>
      <c r="S450" s="771"/>
      <c r="T450" s="772"/>
      <c r="U450" s="37" t="s">
        <v>45</v>
      </c>
      <c r="V450" s="37" t="s">
        <v>45</v>
      </c>
      <c r="W450" s="38" t="s">
        <v>0</v>
      </c>
      <c r="X450" s="56">
        <v>100</v>
      </c>
      <c r="Y450" s="53">
        <f>IFERROR(IF(X450="",0,CEILING((X450/$H450),1)*$H450),"")</f>
        <v>108</v>
      </c>
      <c r="Z450" s="39">
        <f>IFERROR(IF(Y450=0,"",ROUNDUP(Y450/H450,0)*0.01898),"")</f>
        <v>0.22776000000000002</v>
      </c>
      <c r="AA450" s="65" t="s">
        <v>45</v>
      </c>
      <c r="AB450" s="66" t="s">
        <v>45</v>
      </c>
      <c r="AC450" s="533" t="s">
        <v>712</v>
      </c>
      <c r="AG450" s="75"/>
      <c r="AJ450" s="79" t="s">
        <v>45</v>
      </c>
      <c r="AK450" s="79">
        <v>0</v>
      </c>
      <c r="BB450" s="534" t="s">
        <v>66</v>
      </c>
      <c r="BM450" s="75">
        <f>IFERROR(X450*I450/H450,"0")</f>
        <v>105.76666666666667</v>
      </c>
      <c r="BN450" s="75">
        <f>IFERROR(Y450*I450/H450,"0")</f>
        <v>114.22799999999999</v>
      </c>
      <c r="BO450" s="75">
        <f>IFERROR(1/J450*(X450/H450),"0")</f>
        <v>0.1736111111111111</v>
      </c>
      <c r="BP450" s="75">
        <f>IFERROR(1/J450*(Y450/H450),"0")</f>
        <v>0.1875</v>
      </c>
    </row>
    <row r="451" spans="1:68" ht="37.5" customHeight="1" x14ac:dyDescent="0.25">
      <c r="A451" s="60" t="s">
        <v>713</v>
      </c>
      <c r="B451" s="60" t="s">
        <v>714</v>
      </c>
      <c r="C451" s="34">
        <v>4301051901</v>
      </c>
      <c r="D451" s="769">
        <v>4680115881976</v>
      </c>
      <c r="E451" s="769"/>
      <c r="F451" s="59">
        <v>1.5</v>
      </c>
      <c r="G451" s="35">
        <v>6</v>
      </c>
      <c r="H451" s="59">
        <v>9</v>
      </c>
      <c r="I451" s="59">
        <v>9.4350000000000005</v>
      </c>
      <c r="J451" s="35">
        <v>64</v>
      </c>
      <c r="K451" s="35" t="s">
        <v>107</v>
      </c>
      <c r="L451" s="35" t="s">
        <v>45</v>
      </c>
      <c r="M451" s="36" t="s">
        <v>106</v>
      </c>
      <c r="N451" s="36"/>
      <c r="O451" s="35">
        <v>40</v>
      </c>
      <c r="P451" s="882" t="s">
        <v>715</v>
      </c>
      <c r="Q451" s="771"/>
      <c r="R451" s="771"/>
      <c r="S451" s="771"/>
      <c r="T451" s="772"/>
      <c r="U451" s="37" t="s">
        <v>45</v>
      </c>
      <c r="V451" s="37" t="s">
        <v>45</v>
      </c>
      <c r="W451" s="38" t="s">
        <v>0</v>
      </c>
      <c r="X451" s="56">
        <v>0</v>
      </c>
      <c r="Y451" s="53">
        <f>IFERROR(IF(X451="",0,CEILING((X451/$H451),1)*$H451),"")</f>
        <v>0</v>
      </c>
      <c r="Z451" s="39" t="str">
        <f>IFERROR(IF(Y451=0,"",ROUNDUP(Y451/H451,0)*0.01898),"")</f>
        <v/>
      </c>
      <c r="AA451" s="65" t="s">
        <v>45</v>
      </c>
      <c r="AB451" s="66" t="s">
        <v>45</v>
      </c>
      <c r="AC451" s="535" t="s">
        <v>716</v>
      </c>
      <c r="AG451" s="75"/>
      <c r="AJ451" s="79" t="s">
        <v>45</v>
      </c>
      <c r="AK451" s="79">
        <v>0</v>
      </c>
      <c r="BB451" s="536" t="s">
        <v>66</v>
      </c>
      <c r="BM451" s="75">
        <f>IFERROR(X451*I451/H451,"0")</f>
        <v>0</v>
      </c>
      <c r="BN451" s="75">
        <f>IFERROR(Y451*I451/H451,"0")</f>
        <v>0</v>
      </c>
      <c r="BO451" s="75">
        <f>IFERROR(1/J451*(X451/H451),"0")</f>
        <v>0</v>
      </c>
      <c r="BP451" s="75">
        <f>IFERROR(1/J451*(Y451/H451),"0")</f>
        <v>0</v>
      </c>
    </row>
    <row r="452" spans="1:68" ht="37.5" customHeight="1" x14ac:dyDescent="0.25">
      <c r="A452" s="60" t="s">
        <v>717</v>
      </c>
      <c r="B452" s="60" t="s">
        <v>718</v>
      </c>
      <c r="C452" s="34">
        <v>4301051634</v>
      </c>
      <c r="D452" s="769">
        <v>4607091384253</v>
      </c>
      <c r="E452" s="769"/>
      <c r="F452" s="59">
        <v>0.4</v>
      </c>
      <c r="G452" s="35">
        <v>6</v>
      </c>
      <c r="H452" s="59">
        <v>2.4</v>
      </c>
      <c r="I452" s="59">
        <v>2.6640000000000001</v>
      </c>
      <c r="J452" s="35">
        <v>182</v>
      </c>
      <c r="K452" s="35" t="s">
        <v>83</v>
      </c>
      <c r="L452" s="35" t="s">
        <v>45</v>
      </c>
      <c r="M452" s="36" t="s">
        <v>82</v>
      </c>
      <c r="N452" s="36"/>
      <c r="O452" s="35">
        <v>40</v>
      </c>
      <c r="P452" s="88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52" s="771"/>
      <c r="R452" s="771"/>
      <c r="S452" s="771"/>
      <c r="T452" s="772"/>
      <c r="U452" s="37" t="s">
        <v>45</v>
      </c>
      <c r="V452" s="37" t="s">
        <v>45</v>
      </c>
      <c r="W452" s="38" t="s">
        <v>0</v>
      </c>
      <c r="X452" s="56">
        <v>0</v>
      </c>
      <c r="Y452" s="53">
        <f>IFERROR(IF(X452="",0,CEILING((X452/$H452),1)*$H452),"")</f>
        <v>0</v>
      </c>
      <c r="Z452" s="39" t="str">
        <f>IFERROR(IF(Y452=0,"",ROUNDUP(Y452/H452,0)*0.00651),"")</f>
        <v/>
      </c>
      <c r="AA452" s="65" t="s">
        <v>45</v>
      </c>
      <c r="AB452" s="66" t="s">
        <v>45</v>
      </c>
      <c r="AC452" s="537" t="s">
        <v>719</v>
      </c>
      <c r="AG452" s="75"/>
      <c r="AJ452" s="79" t="s">
        <v>45</v>
      </c>
      <c r="AK452" s="79">
        <v>0</v>
      </c>
      <c r="BB452" s="538" t="s">
        <v>66</v>
      </c>
      <c r="BM452" s="75">
        <f>IFERROR(X452*I452/H452,"0")</f>
        <v>0</v>
      </c>
      <c r="BN452" s="75">
        <f>IFERROR(Y452*I452/H452,"0")</f>
        <v>0</v>
      </c>
      <c r="BO452" s="75">
        <f>IFERROR(1/J452*(X452/H452),"0")</f>
        <v>0</v>
      </c>
      <c r="BP452" s="75">
        <f>IFERROR(1/J452*(Y452/H452),"0")</f>
        <v>0</v>
      </c>
    </row>
    <row r="453" spans="1:68" ht="27" customHeight="1" x14ac:dyDescent="0.25">
      <c r="A453" s="60" t="s">
        <v>717</v>
      </c>
      <c r="B453" s="60" t="s">
        <v>720</v>
      </c>
      <c r="C453" s="34">
        <v>4301051297</v>
      </c>
      <c r="D453" s="769">
        <v>4607091384253</v>
      </c>
      <c r="E453" s="769"/>
      <c r="F453" s="59">
        <v>0.4</v>
      </c>
      <c r="G453" s="35">
        <v>6</v>
      </c>
      <c r="H453" s="59">
        <v>2.4</v>
      </c>
      <c r="I453" s="59">
        <v>2.6640000000000001</v>
      </c>
      <c r="J453" s="35">
        <v>182</v>
      </c>
      <c r="K453" s="35" t="s">
        <v>83</v>
      </c>
      <c r="L453" s="35" t="s">
        <v>45</v>
      </c>
      <c r="M453" s="36" t="s">
        <v>82</v>
      </c>
      <c r="N453" s="36"/>
      <c r="O453" s="35">
        <v>40</v>
      </c>
      <c r="P453" s="884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53" s="771"/>
      <c r="R453" s="771"/>
      <c r="S453" s="771"/>
      <c r="T453" s="772"/>
      <c r="U453" s="37" t="s">
        <v>45</v>
      </c>
      <c r="V453" s="37" t="s">
        <v>45</v>
      </c>
      <c r="W453" s="38" t="s">
        <v>0</v>
      </c>
      <c r="X453" s="56">
        <v>0</v>
      </c>
      <c r="Y453" s="53">
        <f>IFERROR(IF(X453="",0,CEILING((X453/$H453),1)*$H453),"")</f>
        <v>0</v>
      </c>
      <c r="Z453" s="39" t="str">
        <f>IFERROR(IF(Y453=0,"",ROUNDUP(Y453/H453,0)*0.00651),"")</f>
        <v/>
      </c>
      <c r="AA453" s="65" t="s">
        <v>45</v>
      </c>
      <c r="AB453" s="66" t="s">
        <v>45</v>
      </c>
      <c r="AC453" s="539" t="s">
        <v>721</v>
      </c>
      <c r="AG453" s="75"/>
      <c r="AJ453" s="79" t="s">
        <v>45</v>
      </c>
      <c r="AK453" s="79">
        <v>0</v>
      </c>
      <c r="BB453" s="540" t="s">
        <v>66</v>
      </c>
      <c r="BM453" s="75">
        <f>IFERROR(X453*I453/H453,"0")</f>
        <v>0</v>
      </c>
      <c r="BN453" s="75">
        <f>IFERROR(Y453*I453/H453,"0")</f>
        <v>0</v>
      </c>
      <c r="BO453" s="75">
        <f>IFERROR(1/J453*(X453/H453),"0")</f>
        <v>0</v>
      </c>
      <c r="BP453" s="75">
        <f>IFERROR(1/J453*(Y453/H453),"0")</f>
        <v>0</v>
      </c>
    </row>
    <row r="454" spans="1:68" ht="27" customHeight="1" x14ac:dyDescent="0.25">
      <c r="A454" s="60" t="s">
        <v>722</v>
      </c>
      <c r="B454" s="60" t="s">
        <v>723</v>
      </c>
      <c r="C454" s="34">
        <v>4301051444</v>
      </c>
      <c r="D454" s="769">
        <v>4680115881969</v>
      </c>
      <c r="E454" s="769"/>
      <c r="F454" s="59">
        <v>0.4</v>
      </c>
      <c r="G454" s="35">
        <v>6</v>
      </c>
      <c r="H454" s="59">
        <v>2.4</v>
      </c>
      <c r="I454" s="59">
        <v>2.58</v>
      </c>
      <c r="J454" s="35">
        <v>182</v>
      </c>
      <c r="K454" s="35" t="s">
        <v>83</v>
      </c>
      <c r="L454" s="35" t="s">
        <v>45</v>
      </c>
      <c r="M454" s="36" t="s">
        <v>82</v>
      </c>
      <c r="N454" s="36"/>
      <c r="O454" s="35">
        <v>40</v>
      </c>
      <c r="P454" s="885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54" s="771"/>
      <c r="R454" s="771"/>
      <c r="S454" s="771"/>
      <c r="T454" s="772"/>
      <c r="U454" s="37" t="s">
        <v>45</v>
      </c>
      <c r="V454" s="37" t="s">
        <v>45</v>
      </c>
      <c r="W454" s="38" t="s">
        <v>0</v>
      </c>
      <c r="X454" s="56">
        <v>0</v>
      </c>
      <c r="Y454" s="53">
        <f>IFERROR(IF(X454="",0,CEILING((X454/$H454),1)*$H454),"")</f>
        <v>0</v>
      </c>
      <c r="Z454" s="39" t="str">
        <f>IFERROR(IF(Y454=0,"",ROUNDUP(Y454/H454,0)*0.00651),"")</f>
        <v/>
      </c>
      <c r="AA454" s="65" t="s">
        <v>45</v>
      </c>
      <c r="AB454" s="66" t="s">
        <v>45</v>
      </c>
      <c r="AC454" s="541" t="s">
        <v>724</v>
      </c>
      <c r="AG454" s="75"/>
      <c r="AJ454" s="79" t="s">
        <v>45</v>
      </c>
      <c r="AK454" s="79">
        <v>0</v>
      </c>
      <c r="BB454" s="542" t="s">
        <v>66</v>
      </c>
      <c r="BM454" s="75">
        <f>IFERROR(X454*I454/H454,"0")</f>
        <v>0</v>
      </c>
      <c r="BN454" s="75">
        <f>IFERROR(Y454*I454/H454,"0")</f>
        <v>0</v>
      </c>
      <c r="BO454" s="75">
        <f>IFERROR(1/J454*(X454/H454),"0")</f>
        <v>0</v>
      </c>
      <c r="BP454" s="75">
        <f>IFERROR(1/J454*(Y454/H454),"0")</f>
        <v>0</v>
      </c>
    </row>
    <row r="455" spans="1:68" x14ac:dyDescent="0.2">
      <c r="A455" s="759"/>
      <c r="B455" s="759"/>
      <c r="C455" s="759"/>
      <c r="D455" s="759"/>
      <c r="E455" s="759"/>
      <c r="F455" s="759"/>
      <c r="G455" s="759"/>
      <c r="H455" s="759"/>
      <c r="I455" s="759"/>
      <c r="J455" s="759"/>
      <c r="K455" s="759"/>
      <c r="L455" s="759"/>
      <c r="M455" s="759"/>
      <c r="N455" s="759"/>
      <c r="O455" s="767"/>
      <c r="P455" s="764" t="s">
        <v>40</v>
      </c>
      <c r="Q455" s="765"/>
      <c r="R455" s="765"/>
      <c r="S455" s="765"/>
      <c r="T455" s="765"/>
      <c r="U455" s="765"/>
      <c r="V455" s="766"/>
      <c r="W455" s="40" t="s">
        <v>39</v>
      </c>
      <c r="X455" s="41">
        <f>IFERROR(X450/H450,"0")+IFERROR(X451/H451,"0")+IFERROR(X452/H452,"0")+IFERROR(X453/H453,"0")+IFERROR(X454/H454,"0")</f>
        <v>11.111111111111111</v>
      </c>
      <c r="Y455" s="41">
        <f>IFERROR(Y450/H450,"0")+IFERROR(Y451/H451,"0")+IFERROR(Y452/H452,"0")+IFERROR(Y453/H453,"0")+IFERROR(Y454/H454,"0")</f>
        <v>12</v>
      </c>
      <c r="Z455" s="41">
        <f>IFERROR(IF(Z450="",0,Z450),"0")+IFERROR(IF(Z451="",0,Z451),"0")+IFERROR(IF(Z452="",0,Z452),"0")+IFERROR(IF(Z453="",0,Z453),"0")+IFERROR(IF(Z454="",0,Z454),"0")</f>
        <v>0.22776000000000002</v>
      </c>
      <c r="AA455" s="64"/>
      <c r="AB455" s="64"/>
      <c r="AC455" s="64"/>
    </row>
    <row r="456" spans="1:68" x14ac:dyDescent="0.2">
      <c r="A456" s="759"/>
      <c r="B456" s="759"/>
      <c r="C456" s="759"/>
      <c r="D456" s="759"/>
      <c r="E456" s="759"/>
      <c r="F456" s="759"/>
      <c r="G456" s="759"/>
      <c r="H456" s="759"/>
      <c r="I456" s="759"/>
      <c r="J456" s="759"/>
      <c r="K456" s="759"/>
      <c r="L456" s="759"/>
      <c r="M456" s="759"/>
      <c r="N456" s="759"/>
      <c r="O456" s="767"/>
      <c r="P456" s="764" t="s">
        <v>40</v>
      </c>
      <c r="Q456" s="765"/>
      <c r="R456" s="765"/>
      <c r="S456" s="765"/>
      <c r="T456" s="765"/>
      <c r="U456" s="765"/>
      <c r="V456" s="766"/>
      <c r="W456" s="40" t="s">
        <v>0</v>
      </c>
      <c r="X456" s="41">
        <f>IFERROR(SUM(X450:X454),"0")</f>
        <v>100</v>
      </c>
      <c r="Y456" s="41">
        <f>IFERROR(SUM(Y450:Y454),"0")</f>
        <v>108</v>
      </c>
      <c r="Z456" s="40"/>
      <c r="AA456" s="64"/>
      <c r="AB456" s="64"/>
      <c r="AC456" s="64"/>
    </row>
    <row r="457" spans="1:68" ht="14.25" customHeight="1" x14ac:dyDescent="0.25">
      <c r="A457" s="768" t="s">
        <v>195</v>
      </c>
      <c r="B457" s="768"/>
      <c r="C457" s="768"/>
      <c r="D457" s="768"/>
      <c r="E457" s="768"/>
      <c r="F457" s="768"/>
      <c r="G457" s="768"/>
      <c r="H457" s="768"/>
      <c r="I457" s="768"/>
      <c r="J457" s="768"/>
      <c r="K457" s="768"/>
      <c r="L457" s="768"/>
      <c r="M457" s="768"/>
      <c r="N457" s="768"/>
      <c r="O457" s="768"/>
      <c r="P457" s="768"/>
      <c r="Q457" s="768"/>
      <c r="R457" s="768"/>
      <c r="S457" s="768"/>
      <c r="T457" s="768"/>
      <c r="U457" s="768"/>
      <c r="V457" s="768"/>
      <c r="W457" s="768"/>
      <c r="X457" s="768"/>
      <c r="Y457" s="768"/>
      <c r="Z457" s="768"/>
      <c r="AA457" s="63"/>
      <c r="AB457" s="63"/>
      <c r="AC457" s="63"/>
    </row>
    <row r="458" spans="1:68" ht="27" customHeight="1" x14ac:dyDescent="0.25">
      <c r="A458" s="60" t="s">
        <v>725</v>
      </c>
      <c r="B458" s="60" t="s">
        <v>726</v>
      </c>
      <c r="C458" s="34">
        <v>4301060441</v>
      </c>
      <c r="D458" s="769">
        <v>4607091389357</v>
      </c>
      <c r="E458" s="769"/>
      <c r="F458" s="59">
        <v>1.5</v>
      </c>
      <c r="G458" s="35">
        <v>6</v>
      </c>
      <c r="H458" s="59">
        <v>9</v>
      </c>
      <c r="I458" s="59">
        <v>9.4350000000000005</v>
      </c>
      <c r="J458" s="35">
        <v>64</v>
      </c>
      <c r="K458" s="35" t="s">
        <v>107</v>
      </c>
      <c r="L458" s="35" t="s">
        <v>45</v>
      </c>
      <c r="M458" s="36" t="s">
        <v>106</v>
      </c>
      <c r="N458" s="36"/>
      <c r="O458" s="35">
        <v>40</v>
      </c>
      <c r="P458" s="875" t="s">
        <v>727</v>
      </c>
      <c r="Q458" s="771"/>
      <c r="R458" s="771"/>
      <c r="S458" s="771"/>
      <c r="T458" s="772"/>
      <c r="U458" s="37" t="s">
        <v>45</v>
      </c>
      <c r="V458" s="37" t="s">
        <v>45</v>
      </c>
      <c r="W458" s="38" t="s">
        <v>0</v>
      </c>
      <c r="X458" s="56">
        <v>40</v>
      </c>
      <c r="Y458" s="53">
        <f>IFERROR(IF(X458="",0,CEILING((X458/$H458),1)*$H458),"")</f>
        <v>45</v>
      </c>
      <c r="Z458" s="39">
        <f>IFERROR(IF(Y458=0,"",ROUNDUP(Y458/H458,0)*0.01898),"")</f>
        <v>9.4899999999999998E-2</v>
      </c>
      <c r="AA458" s="65" t="s">
        <v>45</v>
      </c>
      <c r="AB458" s="66" t="s">
        <v>45</v>
      </c>
      <c r="AC458" s="543" t="s">
        <v>728</v>
      </c>
      <c r="AG458" s="75"/>
      <c r="AJ458" s="79" t="s">
        <v>45</v>
      </c>
      <c r="AK458" s="79">
        <v>0</v>
      </c>
      <c r="BB458" s="544" t="s">
        <v>66</v>
      </c>
      <c r="BM458" s="75">
        <f>IFERROR(X458*I458/H458,"0")</f>
        <v>41.933333333333337</v>
      </c>
      <c r="BN458" s="75">
        <f>IFERROR(Y458*I458/H458,"0")</f>
        <v>47.175000000000004</v>
      </c>
      <c r="BO458" s="75">
        <f>IFERROR(1/J458*(X458/H458),"0")</f>
        <v>6.9444444444444448E-2</v>
      </c>
      <c r="BP458" s="75">
        <f>IFERROR(1/J458*(Y458/H458),"0")</f>
        <v>7.8125E-2</v>
      </c>
    </row>
    <row r="459" spans="1:68" x14ac:dyDescent="0.2">
      <c r="A459" s="759"/>
      <c r="B459" s="759"/>
      <c r="C459" s="759"/>
      <c r="D459" s="759"/>
      <c r="E459" s="759"/>
      <c r="F459" s="759"/>
      <c r="G459" s="759"/>
      <c r="H459" s="759"/>
      <c r="I459" s="759"/>
      <c r="J459" s="759"/>
      <c r="K459" s="759"/>
      <c r="L459" s="759"/>
      <c r="M459" s="759"/>
      <c r="N459" s="759"/>
      <c r="O459" s="767"/>
      <c r="P459" s="764" t="s">
        <v>40</v>
      </c>
      <c r="Q459" s="765"/>
      <c r="R459" s="765"/>
      <c r="S459" s="765"/>
      <c r="T459" s="765"/>
      <c r="U459" s="765"/>
      <c r="V459" s="766"/>
      <c r="W459" s="40" t="s">
        <v>39</v>
      </c>
      <c r="X459" s="41">
        <f>IFERROR(X458/H458,"0")</f>
        <v>4.4444444444444446</v>
      </c>
      <c r="Y459" s="41">
        <f>IFERROR(Y458/H458,"0")</f>
        <v>5</v>
      </c>
      <c r="Z459" s="41">
        <f>IFERROR(IF(Z458="",0,Z458),"0")</f>
        <v>9.4899999999999998E-2</v>
      </c>
      <c r="AA459" s="64"/>
      <c r="AB459" s="64"/>
      <c r="AC459" s="64"/>
    </row>
    <row r="460" spans="1:68" x14ac:dyDescent="0.2">
      <c r="A460" s="759"/>
      <c r="B460" s="759"/>
      <c r="C460" s="759"/>
      <c r="D460" s="759"/>
      <c r="E460" s="759"/>
      <c r="F460" s="759"/>
      <c r="G460" s="759"/>
      <c r="H460" s="759"/>
      <c r="I460" s="759"/>
      <c r="J460" s="759"/>
      <c r="K460" s="759"/>
      <c r="L460" s="759"/>
      <c r="M460" s="759"/>
      <c r="N460" s="759"/>
      <c r="O460" s="767"/>
      <c r="P460" s="764" t="s">
        <v>40</v>
      </c>
      <c r="Q460" s="765"/>
      <c r="R460" s="765"/>
      <c r="S460" s="765"/>
      <c r="T460" s="765"/>
      <c r="U460" s="765"/>
      <c r="V460" s="766"/>
      <c r="W460" s="40" t="s">
        <v>0</v>
      </c>
      <c r="X460" s="41">
        <f>IFERROR(SUM(X458:X458),"0")</f>
        <v>40</v>
      </c>
      <c r="Y460" s="41">
        <f>IFERROR(SUM(Y458:Y458),"0")</f>
        <v>45</v>
      </c>
      <c r="Z460" s="40"/>
      <c r="AA460" s="64"/>
      <c r="AB460" s="64"/>
      <c r="AC460" s="64"/>
    </row>
    <row r="461" spans="1:68" ht="27.75" customHeight="1" x14ac:dyDescent="0.2">
      <c r="A461" s="809" t="s">
        <v>729</v>
      </c>
      <c r="B461" s="809"/>
      <c r="C461" s="809"/>
      <c r="D461" s="809"/>
      <c r="E461" s="809"/>
      <c r="F461" s="809"/>
      <c r="G461" s="809"/>
      <c r="H461" s="809"/>
      <c r="I461" s="809"/>
      <c r="J461" s="809"/>
      <c r="K461" s="809"/>
      <c r="L461" s="809"/>
      <c r="M461" s="809"/>
      <c r="N461" s="809"/>
      <c r="O461" s="809"/>
      <c r="P461" s="809"/>
      <c r="Q461" s="809"/>
      <c r="R461" s="809"/>
      <c r="S461" s="809"/>
      <c r="T461" s="809"/>
      <c r="U461" s="809"/>
      <c r="V461" s="809"/>
      <c r="W461" s="809"/>
      <c r="X461" s="809"/>
      <c r="Y461" s="809"/>
      <c r="Z461" s="809"/>
      <c r="AA461" s="52"/>
      <c r="AB461" s="52"/>
      <c r="AC461" s="52"/>
    </row>
    <row r="462" spans="1:68" ht="16.5" customHeight="1" x14ac:dyDescent="0.25">
      <c r="A462" s="776" t="s">
        <v>730</v>
      </c>
      <c r="B462" s="776"/>
      <c r="C462" s="776"/>
      <c r="D462" s="776"/>
      <c r="E462" s="776"/>
      <c r="F462" s="776"/>
      <c r="G462" s="776"/>
      <c r="H462" s="776"/>
      <c r="I462" s="776"/>
      <c r="J462" s="776"/>
      <c r="K462" s="776"/>
      <c r="L462" s="776"/>
      <c r="M462" s="776"/>
      <c r="N462" s="776"/>
      <c r="O462" s="776"/>
      <c r="P462" s="776"/>
      <c r="Q462" s="776"/>
      <c r="R462" s="776"/>
      <c r="S462" s="776"/>
      <c r="T462" s="776"/>
      <c r="U462" s="776"/>
      <c r="V462" s="776"/>
      <c r="W462" s="776"/>
      <c r="X462" s="776"/>
      <c r="Y462" s="776"/>
      <c r="Z462" s="776"/>
      <c r="AA462" s="62"/>
      <c r="AB462" s="62"/>
      <c r="AC462" s="62"/>
    </row>
    <row r="463" spans="1:68" ht="14.25" customHeight="1" x14ac:dyDescent="0.25">
      <c r="A463" s="768" t="s">
        <v>164</v>
      </c>
      <c r="B463" s="768"/>
      <c r="C463" s="768"/>
      <c r="D463" s="768"/>
      <c r="E463" s="768"/>
      <c r="F463" s="768"/>
      <c r="G463" s="768"/>
      <c r="H463" s="768"/>
      <c r="I463" s="768"/>
      <c r="J463" s="768"/>
      <c r="K463" s="768"/>
      <c r="L463" s="768"/>
      <c r="M463" s="768"/>
      <c r="N463" s="768"/>
      <c r="O463" s="768"/>
      <c r="P463" s="768"/>
      <c r="Q463" s="768"/>
      <c r="R463" s="768"/>
      <c r="S463" s="768"/>
      <c r="T463" s="768"/>
      <c r="U463" s="768"/>
      <c r="V463" s="768"/>
      <c r="W463" s="768"/>
      <c r="X463" s="768"/>
      <c r="Y463" s="768"/>
      <c r="Z463" s="768"/>
      <c r="AA463" s="63"/>
      <c r="AB463" s="63"/>
      <c r="AC463" s="63"/>
    </row>
    <row r="464" spans="1:68" ht="27" customHeight="1" x14ac:dyDescent="0.25">
      <c r="A464" s="60" t="s">
        <v>731</v>
      </c>
      <c r="B464" s="60" t="s">
        <v>732</v>
      </c>
      <c r="C464" s="34">
        <v>4301031405</v>
      </c>
      <c r="D464" s="769">
        <v>4680115886100</v>
      </c>
      <c r="E464" s="769"/>
      <c r="F464" s="59">
        <v>0.9</v>
      </c>
      <c r="G464" s="35">
        <v>6</v>
      </c>
      <c r="H464" s="59">
        <v>5.4</v>
      </c>
      <c r="I464" s="59">
        <v>5.61</v>
      </c>
      <c r="J464" s="35">
        <v>132</v>
      </c>
      <c r="K464" s="35" t="s">
        <v>116</v>
      </c>
      <c r="L464" s="35" t="s">
        <v>45</v>
      </c>
      <c r="M464" s="36" t="s">
        <v>82</v>
      </c>
      <c r="N464" s="36"/>
      <c r="O464" s="35">
        <v>50</v>
      </c>
      <c r="P464" s="876" t="s">
        <v>733</v>
      </c>
      <c r="Q464" s="771"/>
      <c r="R464" s="771"/>
      <c r="S464" s="771"/>
      <c r="T464" s="772"/>
      <c r="U464" s="37" t="s">
        <v>45</v>
      </c>
      <c r="V464" s="37" t="s">
        <v>45</v>
      </c>
      <c r="W464" s="38" t="s">
        <v>0</v>
      </c>
      <c r="X464" s="56">
        <v>0</v>
      </c>
      <c r="Y464" s="53">
        <f t="shared" ref="Y464:Y480" si="91">IFERROR(IF(X464="",0,CEILING((X464/$H464),1)*$H464),"")</f>
        <v>0</v>
      </c>
      <c r="Z464" s="39" t="str">
        <f>IFERROR(IF(Y464=0,"",ROUNDUP(Y464/H464,0)*0.00902),"")</f>
        <v/>
      </c>
      <c r="AA464" s="65" t="s">
        <v>45</v>
      </c>
      <c r="AB464" s="66" t="s">
        <v>45</v>
      </c>
      <c r="AC464" s="545" t="s">
        <v>734</v>
      </c>
      <c r="AG464" s="75"/>
      <c r="AJ464" s="79" t="s">
        <v>45</v>
      </c>
      <c r="AK464" s="79">
        <v>0</v>
      </c>
      <c r="BB464" s="546" t="s">
        <v>66</v>
      </c>
      <c r="BM464" s="75">
        <f t="shared" ref="BM464:BM480" si="92">IFERROR(X464*I464/H464,"0")</f>
        <v>0</v>
      </c>
      <c r="BN464" s="75">
        <f t="shared" ref="BN464:BN480" si="93">IFERROR(Y464*I464/H464,"0")</f>
        <v>0</v>
      </c>
      <c r="BO464" s="75">
        <f t="shared" ref="BO464:BO480" si="94">IFERROR(1/J464*(X464/H464),"0")</f>
        <v>0</v>
      </c>
      <c r="BP464" s="75">
        <f t="shared" ref="BP464:BP480" si="95">IFERROR(1/J464*(Y464/H464),"0")</f>
        <v>0</v>
      </c>
    </row>
    <row r="465" spans="1:68" ht="27" customHeight="1" x14ac:dyDescent="0.25">
      <c r="A465" s="60" t="s">
        <v>735</v>
      </c>
      <c r="B465" s="60" t="s">
        <v>736</v>
      </c>
      <c r="C465" s="34">
        <v>4301031406</v>
      </c>
      <c r="D465" s="769">
        <v>4680115886117</v>
      </c>
      <c r="E465" s="769"/>
      <c r="F465" s="59">
        <v>0.9</v>
      </c>
      <c r="G465" s="35">
        <v>6</v>
      </c>
      <c r="H465" s="59">
        <v>5.4</v>
      </c>
      <c r="I465" s="59">
        <v>5.61</v>
      </c>
      <c r="J465" s="35">
        <v>132</v>
      </c>
      <c r="K465" s="35" t="s">
        <v>116</v>
      </c>
      <c r="L465" s="35" t="s">
        <v>45</v>
      </c>
      <c r="M465" s="36" t="s">
        <v>82</v>
      </c>
      <c r="N465" s="36"/>
      <c r="O465" s="35">
        <v>50</v>
      </c>
      <c r="P465" s="877" t="s">
        <v>737</v>
      </c>
      <c r="Q465" s="771"/>
      <c r="R465" s="771"/>
      <c r="S465" s="771"/>
      <c r="T465" s="772"/>
      <c r="U465" s="37" t="s">
        <v>45</v>
      </c>
      <c r="V465" s="37" t="s">
        <v>45</v>
      </c>
      <c r="W465" s="38" t="s">
        <v>0</v>
      </c>
      <c r="X465" s="56">
        <v>0</v>
      </c>
      <c r="Y465" s="53">
        <f t="shared" si="91"/>
        <v>0</v>
      </c>
      <c r="Z465" s="39" t="str">
        <f>IFERROR(IF(Y465=0,"",ROUNDUP(Y465/H465,0)*0.00902),"")</f>
        <v/>
      </c>
      <c r="AA465" s="65" t="s">
        <v>45</v>
      </c>
      <c r="AB465" s="66" t="s">
        <v>45</v>
      </c>
      <c r="AC465" s="547" t="s">
        <v>738</v>
      </c>
      <c r="AG465" s="75"/>
      <c r="AJ465" s="79" t="s">
        <v>45</v>
      </c>
      <c r="AK465" s="79">
        <v>0</v>
      </c>
      <c r="BB465" s="548" t="s">
        <v>66</v>
      </c>
      <c r="BM465" s="75">
        <f t="shared" si="92"/>
        <v>0</v>
      </c>
      <c r="BN465" s="75">
        <f t="shared" si="93"/>
        <v>0</v>
      </c>
      <c r="BO465" s="75">
        <f t="shared" si="94"/>
        <v>0</v>
      </c>
      <c r="BP465" s="75">
        <f t="shared" si="95"/>
        <v>0</v>
      </c>
    </row>
    <row r="466" spans="1:68" ht="27" customHeight="1" x14ac:dyDescent="0.25">
      <c r="A466" s="60" t="s">
        <v>735</v>
      </c>
      <c r="B466" s="60" t="s">
        <v>739</v>
      </c>
      <c r="C466" s="34">
        <v>4301031382</v>
      </c>
      <c r="D466" s="769">
        <v>4680115886117</v>
      </c>
      <c r="E466" s="769"/>
      <c r="F466" s="59">
        <v>0.9</v>
      </c>
      <c r="G466" s="35">
        <v>6</v>
      </c>
      <c r="H466" s="59">
        <v>5.4</v>
      </c>
      <c r="I466" s="59">
        <v>5.61</v>
      </c>
      <c r="J466" s="35">
        <v>120</v>
      </c>
      <c r="K466" s="35" t="s">
        <v>116</v>
      </c>
      <c r="L466" s="35" t="s">
        <v>45</v>
      </c>
      <c r="M466" s="36" t="s">
        <v>82</v>
      </c>
      <c r="N466" s="36"/>
      <c r="O466" s="35">
        <v>50</v>
      </c>
      <c r="P466" s="878" t="s">
        <v>737</v>
      </c>
      <c r="Q466" s="771"/>
      <c r="R466" s="771"/>
      <c r="S466" s="771"/>
      <c r="T466" s="772"/>
      <c r="U466" s="37" t="s">
        <v>45</v>
      </c>
      <c r="V466" s="37" t="s">
        <v>45</v>
      </c>
      <c r="W466" s="38" t="s">
        <v>0</v>
      </c>
      <c r="X466" s="56">
        <v>0</v>
      </c>
      <c r="Y466" s="53">
        <f t="shared" si="91"/>
        <v>0</v>
      </c>
      <c r="Z466" s="39" t="str">
        <f>IFERROR(IF(Y466=0,"",ROUNDUP(Y466/H466,0)*0.00937),"")</f>
        <v/>
      </c>
      <c r="AA466" s="65" t="s">
        <v>45</v>
      </c>
      <c r="AB466" s="66" t="s">
        <v>45</v>
      </c>
      <c r="AC466" s="549" t="s">
        <v>738</v>
      </c>
      <c r="AG466" s="75"/>
      <c r="AJ466" s="79" t="s">
        <v>45</v>
      </c>
      <c r="AK466" s="79">
        <v>0</v>
      </c>
      <c r="BB466" s="550" t="s">
        <v>66</v>
      </c>
      <c r="BM466" s="75">
        <f t="shared" si="92"/>
        <v>0</v>
      </c>
      <c r="BN466" s="75">
        <f t="shared" si="93"/>
        <v>0</v>
      </c>
      <c r="BO466" s="75">
        <f t="shared" si="94"/>
        <v>0</v>
      </c>
      <c r="BP466" s="75">
        <f t="shared" si="95"/>
        <v>0</v>
      </c>
    </row>
    <row r="467" spans="1:68" ht="27" customHeight="1" x14ac:dyDescent="0.25">
      <c r="A467" s="60" t="s">
        <v>740</v>
      </c>
      <c r="B467" s="60" t="s">
        <v>741</v>
      </c>
      <c r="C467" s="34">
        <v>4301031335</v>
      </c>
      <c r="D467" s="769">
        <v>4680115883147</v>
      </c>
      <c r="E467" s="769"/>
      <c r="F467" s="59">
        <v>0.28000000000000003</v>
      </c>
      <c r="G467" s="35">
        <v>6</v>
      </c>
      <c r="H467" s="59">
        <v>1.68</v>
      </c>
      <c r="I467" s="59">
        <v>1.81</v>
      </c>
      <c r="J467" s="35">
        <v>234</v>
      </c>
      <c r="K467" s="35" t="s">
        <v>126</v>
      </c>
      <c r="L467" s="35" t="s">
        <v>45</v>
      </c>
      <c r="M467" s="36" t="s">
        <v>82</v>
      </c>
      <c r="N467" s="36"/>
      <c r="O467" s="35">
        <v>50</v>
      </c>
      <c r="P467" s="879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67" s="771"/>
      <c r="R467" s="771"/>
      <c r="S467" s="771"/>
      <c r="T467" s="772"/>
      <c r="U467" s="37" t="s">
        <v>45</v>
      </c>
      <c r="V467" s="37" t="s">
        <v>45</v>
      </c>
      <c r="W467" s="38" t="s">
        <v>0</v>
      </c>
      <c r="X467" s="56">
        <v>0</v>
      </c>
      <c r="Y467" s="53">
        <f t="shared" si="91"/>
        <v>0</v>
      </c>
      <c r="Z467" s="39" t="str">
        <f t="shared" ref="Z467:Z480" si="96">IFERROR(IF(Y467=0,"",ROUNDUP(Y467/H467,0)*0.00502),"")</f>
        <v/>
      </c>
      <c r="AA467" s="65" t="s">
        <v>45</v>
      </c>
      <c r="AB467" s="66" t="s">
        <v>45</v>
      </c>
      <c r="AC467" s="551" t="s">
        <v>734</v>
      </c>
      <c r="AG467" s="75"/>
      <c r="AJ467" s="79" t="s">
        <v>45</v>
      </c>
      <c r="AK467" s="79">
        <v>0</v>
      </c>
      <c r="BB467" s="552" t="s">
        <v>66</v>
      </c>
      <c r="BM467" s="75">
        <f t="shared" si="92"/>
        <v>0</v>
      </c>
      <c r="BN467" s="75">
        <f t="shared" si="93"/>
        <v>0</v>
      </c>
      <c r="BO467" s="75">
        <f t="shared" si="94"/>
        <v>0</v>
      </c>
      <c r="BP467" s="75">
        <f t="shared" si="95"/>
        <v>0</v>
      </c>
    </row>
    <row r="468" spans="1:68" ht="27" customHeight="1" x14ac:dyDescent="0.25">
      <c r="A468" s="60" t="s">
        <v>740</v>
      </c>
      <c r="B468" s="60" t="s">
        <v>742</v>
      </c>
      <c r="C468" s="34">
        <v>4301031366</v>
      </c>
      <c r="D468" s="769">
        <v>4680115883147</v>
      </c>
      <c r="E468" s="769"/>
      <c r="F468" s="59">
        <v>0.28000000000000003</v>
      </c>
      <c r="G468" s="35">
        <v>6</v>
      </c>
      <c r="H468" s="59">
        <v>1.68</v>
      </c>
      <c r="I468" s="59">
        <v>1.81</v>
      </c>
      <c r="J468" s="35">
        <v>234</v>
      </c>
      <c r="K468" s="35" t="s">
        <v>126</v>
      </c>
      <c r="L468" s="35" t="s">
        <v>45</v>
      </c>
      <c r="M468" s="36" t="s">
        <v>82</v>
      </c>
      <c r="N468" s="36"/>
      <c r="O468" s="35">
        <v>50</v>
      </c>
      <c r="P468" s="866" t="s">
        <v>743</v>
      </c>
      <c r="Q468" s="771"/>
      <c r="R468" s="771"/>
      <c r="S468" s="771"/>
      <c r="T468" s="772"/>
      <c r="U468" s="37" t="s">
        <v>45</v>
      </c>
      <c r="V468" s="37" t="s">
        <v>45</v>
      </c>
      <c r="W468" s="38" t="s">
        <v>0</v>
      </c>
      <c r="X468" s="56">
        <v>0</v>
      </c>
      <c r="Y468" s="53">
        <f t="shared" si="91"/>
        <v>0</v>
      </c>
      <c r="Z468" s="39" t="str">
        <f t="shared" si="96"/>
        <v/>
      </c>
      <c r="AA468" s="65" t="s">
        <v>45</v>
      </c>
      <c r="AB468" s="66" t="s">
        <v>45</v>
      </c>
      <c r="AC468" s="553" t="s">
        <v>734</v>
      </c>
      <c r="AG468" s="75"/>
      <c r="AJ468" s="79" t="s">
        <v>45</v>
      </c>
      <c r="AK468" s="79">
        <v>0</v>
      </c>
      <c r="BB468" s="554" t="s">
        <v>66</v>
      </c>
      <c r="BM468" s="75">
        <f t="shared" si="92"/>
        <v>0</v>
      </c>
      <c r="BN468" s="75">
        <f t="shared" si="93"/>
        <v>0</v>
      </c>
      <c r="BO468" s="75">
        <f t="shared" si="94"/>
        <v>0</v>
      </c>
      <c r="BP468" s="75">
        <f t="shared" si="95"/>
        <v>0</v>
      </c>
    </row>
    <row r="469" spans="1:68" ht="27" customHeight="1" x14ac:dyDescent="0.25">
      <c r="A469" s="60" t="s">
        <v>744</v>
      </c>
      <c r="B469" s="60" t="s">
        <v>745</v>
      </c>
      <c r="C469" s="34">
        <v>4301031362</v>
      </c>
      <c r="D469" s="769">
        <v>4607091384338</v>
      </c>
      <c r="E469" s="769"/>
      <c r="F469" s="59">
        <v>0.35</v>
      </c>
      <c r="G469" s="35">
        <v>6</v>
      </c>
      <c r="H469" s="59">
        <v>2.1</v>
      </c>
      <c r="I469" s="59">
        <v>2.23</v>
      </c>
      <c r="J469" s="35">
        <v>234</v>
      </c>
      <c r="K469" s="35" t="s">
        <v>126</v>
      </c>
      <c r="L469" s="35" t="s">
        <v>45</v>
      </c>
      <c r="M469" s="36" t="s">
        <v>82</v>
      </c>
      <c r="N469" s="36"/>
      <c r="O469" s="35">
        <v>50</v>
      </c>
      <c r="P469" s="86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69" s="771"/>
      <c r="R469" s="771"/>
      <c r="S469" s="771"/>
      <c r="T469" s="772"/>
      <c r="U469" s="37" t="s">
        <v>45</v>
      </c>
      <c r="V469" s="37" t="s">
        <v>45</v>
      </c>
      <c r="W469" s="38" t="s">
        <v>0</v>
      </c>
      <c r="X469" s="56">
        <v>0</v>
      </c>
      <c r="Y469" s="53">
        <f t="shared" si="91"/>
        <v>0</v>
      </c>
      <c r="Z469" s="39" t="str">
        <f t="shared" si="96"/>
        <v/>
      </c>
      <c r="AA469" s="65" t="s">
        <v>45</v>
      </c>
      <c r="AB469" s="66" t="s">
        <v>45</v>
      </c>
      <c r="AC469" s="555" t="s">
        <v>734</v>
      </c>
      <c r="AG469" s="75"/>
      <c r="AJ469" s="79" t="s">
        <v>45</v>
      </c>
      <c r="AK469" s="79">
        <v>0</v>
      </c>
      <c r="BB469" s="556" t="s">
        <v>66</v>
      </c>
      <c r="BM469" s="75">
        <f t="shared" si="92"/>
        <v>0</v>
      </c>
      <c r="BN469" s="75">
        <f t="shared" si="93"/>
        <v>0</v>
      </c>
      <c r="BO469" s="75">
        <f t="shared" si="94"/>
        <v>0</v>
      </c>
      <c r="BP469" s="75">
        <f t="shared" si="95"/>
        <v>0</v>
      </c>
    </row>
    <row r="470" spans="1:68" ht="37.5" customHeight="1" x14ac:dyDescent="0.25">
      <c r="A470" s="60" t="s">
        <v>746</v>
      </c>
      <c r="B470" s="60" t="s">
        <v>747</v>
      </c>
      <c r="C470" s="34">
        <v>4301031336</v>
      </c>
      <c r="D470" s="769">
        <v>4680115883154</v>
      </c>
      <c r="E470" s="769"/>
      <c r="F470" s="59">
        <v>0.28000000000000003</v>
      </c>
      <c r="G470" s="35">
        <v>6</v>
      </c>
      <c r="H470" s="59">
        <v>1.68</v>
      </c>
      <c r="I470" s="59">
        <v>1.81</v>
      </c>
      <c r="J470" s="35">
        <v>234</v>
      </c>
      <c r="K470" s="35" t="s">
        <v>126</v>
      </c>
      <c r="L470" s="35" t="s">
        <v>45</v>
      </c>
      <c r="M470" s="36" t="s">
        <v>82</v>
      </c>
      <c r="N470" s="36"/>
      <c r="O470" s="35">
        <v>50</v>
      </c>
      <c r="P470" s="868" t="str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Q470" s="771"/>
      <c r="R470" s="771"/>
      <c r="S470" s="771"/>
      <c r="T470" s="772"/>
      <c r="U470" s="37" t="s">
        <v>45</v>
      </c>
      <c r="V470" s="37" t="s">
        <v>45</v>
      </c>
      <c r="W470" s="38" t="s">
        <v>0</v>
      </c>
      <c r="X470" s="56">
        <v>0</v>
      </c>
      <c r="Y470" s="53">
        <f t="shared" si="91"/>
        <v>0</v>
      </c>
      <c r="Z470" s="39" t="str">
        <f t="shared" si="96"/>
        <v/>
      </c>
      <c r="AA470" s="65" t="s">
        <v>45</v>
      </c>
      <c r="AB470" s="66" t="s">
        <v>45</v>
      </c>
      <c r="AC470" s="557" t="s">
        <v>748</v>
      </c>
      <c r="AG470" s="75"/>
      <c r="AJ470" s="79" t="s">
        <v>45</v>
      </c>
      <c r="AK470" s="79">
        <v>0</v>
      </c>
      <c r="BB470" s="558" t="s">
        <v>66</v>
      </c>
      <c r="BM470" s="75">
        <f t="shared" si="92"/>
        <v>0</v>
      </c>
      <c r="BN470" s="75">
        <f t="shared" si="93"/>
        <v>0</v>
      </c>
      <c r="BO470" s="75">
        <f t="shared" si="94"/>
        <v>0</v>
      </c>
      <c r="BP470" s="75">
        <f t="shared" si="95"/>
        <v>0</v>
      </c>
    </row>
    <row r="471" spans="1:68" ht="37.5" customHeight="1" x14ac:dyDescent="0.25">
      <c r="A471" s="60" t="s">
        <v>746</v>
      </c>
      <c r="B471" s="60" t="s">
        <v>749</v>
      </c>
      <c r="C471" s="34">
        <v>4301031374</v>
      </c>
      <c r="D471" s="769">
        <v>4680115883154</v>
      </c>
      <c r="E471" s="769"/>
      <c r="F471" s="59">
        <v>0.28000000000000003</v>
      </c>
      <c r="G471" s="35">
        <v>6</v>
      </c>
      <c r="H471" s="59">
        <v>1.68</v>
      </c>
      <c r="I471" s="59">
        <v>1.81</v>
      </c>
      <c r="J471" s="35">
        <v>234</v>
      </c>
      <c r="K471" s="35" t="s">
        <v>126</v>
      </c>
      <c r="L471" s="35" t="s">
        <v>45</v>
      </c>
      <c r="M471" s="36" t="s">
        <v>82</v>
      </c>
      <c r="N471" s="36"/>
      <c r="O471" s="35">
        <v>50</v>
      </c>
      <c r="P471" s="869" t="s">
        <v>750</v>
      </c>
      <c r="Q471" s="771"/>
      <c r="R471" s="771"/>
      <c r="S471" s="771"/>
      <c r="T471" s="772"/>
      <c r="U471" s="37" t="s">
        <v>45</v>
      </c>
      <c r="V471" s="37" t="s">
        <v>45</v>
      </c>
      <c r="W471" s="38" t="s">
        <v>0</v>
      </c>
      <c r="X471" s="56">
        <v>0</v>
      </c>
      <c r="Y471" s="53">
        <f t="shared" si="91"/>
        <v>0</v>
      </c>
      <c r="Z471" s="39" t="str">
        <f t="shared" si="96"/>
        <v/>
      </c>
      <c r="AA471" s="65" t="s">
        <v>45</v>
      </c>
      <c r="AB471" s="66" t="s">
        <v>45</v>
      </c>
      <c r="AC471" s="559" t="s">
        <v>748</v>
      </c>
      <c r="AG471" s="75"/>
      <c r="AJ471" s="79" t="s">
        <v>45</v>
      </c>
      <c r="AK471" s="79">
        <v>0</v>
      </c>
      <c r="BB471" s="560" t="s">
        <v>66</v>
      </c>
      <c r="BM471" s="75">
        <f t="shared" si="92"/>
        <v>0</v>
      </c>
      <c r="BN471" s="75">
        <f t="shared" si="93"/>
        <v>0</v>
      </c>
      <c r="BO471" s="75">
        <f t="shared" si="94"/>
        <v>0</v>
      </c>
      <c r="BP471" s="75">
        <f t="shared" si="95"/>
        <v>0</v>
      </c>
    </row>
    <row r="472" spans="1:68" ht="37.5" customHeight="1" x14ac:dyDescent="0.25">
      <c r="A472" s="60" t="s">
        <v>751</v>
      </c>
      <c r="B472" s="60" t="s">
        <v>752</v>
      </c>
      <c r="C472" s="34">
        <v>4301031331</v>
      </c>
      <c r="D472" s="769">
        <v>4607091389524</v>
      </c>
      <c r="E472" s="769"/>
      <c r="F472" s="59">
        <v>0.35</v>
      </c>
      <c r="G472" s="35">
        <v>6</v>
      </c>
      <c r="H472" s="59">
        <v>2.1</v>
      </c>
      <c r="I472" s="59">
        <v>2.23</v>
      </c>
      <c r="J472" s="35">
        <v>234</v>
      </c>
      <c r="K472" s="35" t="s">
        <v>126</v>
      </c>
      <c r="L472" s="35" t="s">
        <v>45</v>
      </c>
      <c r="M472" s="36" t="s">
        <v>82</v>
      </c>
      <c r="N472" s="36"/>
      <c r="O472" s="35">
        <v>50</v>
      </c>
      <c r="P472" s="870" t="str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2" s="771"/>
      <c r="R472" s="771"/>
      <c r="S472" s="771"/>
      <c r="T472" s="772"/>
      <c r="U472" s="37" t="s">
        <v>45</v>
      </c>
      <c r="V472" s="37" t="s">
        <v>45</v>
      </c>
      <c r="W472" s="38" t="s">
        <v>0</v>
      </c>
      <c r="X472" s="56">
        <v>0</v>
      </c>
      <c r="Y472" s="53">
        <f t="shared" si="91"/>
        <v>0</v>
      </c>
      <c r="Z472" s="39" t="str">
        <f t="shared" si="96"/>
        <v/>
      </c>
      <c r="AA472" s="65" t="s">
        <v>45</v>
      </c>
      <c r="AB472" s="66" t="s">
        <v>45</v>
      </c>
      <c r="AC472" s="561" t="s">
        <v>748</v>
      </c>
      <c r="AG472" s="75"/>
      <c r="AJ472" s="79" t="s">
        <v>45</v>
      </c>
      <c r="AK472" s="79">
        <v>0</v>
      </c>
      <c r="BB472" s="562" t="s">
        <v>66</v>
      </c>
      <c r="BM472" s="75">
        <f t="shared" si="92"/>
        <v>0</v>
      </c>
      <c r="BN472" s="75">
        <f t="shared" si="93"/>
        <v>0</v>
      </c>
      <c r="BO472" s="75">
        <f t="shared" si="94"/>
        <v>0</v>
      </c>
      <c r="BP472" s="75">
        <f t="shared" si="95"/>
        <v>0</v>
      </c>
    </row>
    <row r="473" spans="1:68" ht="37.5" customHeight="1" x14ac:dyDescent="0.25">
      <c r="A473" s="60" t="s">
        <v>751</v>
      </c>
      <c r="B473" s="60" t="s">
        <v>753</v>
      </c>
      <c r="C473" s="34">
        <v>4301031361</v>
      </c>
      <c r="D473" s="769">
        <v>4607091389524</v>
      </c>
      <c r="E473" s="769"/>
      <c r="F473" s="59">
        <v>0.35</v>
      </c>
      <c r="G473" s="35">
        <v>6</v>
      </c>
      <c r="H473" s="59">
        <v>2.1</v>
      </c>
      <c r="I473" s="59">
        <v>2.23</v>
      </c>
      <c r="J473" s="35">
        <v>234</v>
      </c>
      <c r="K473" s="35" t="s">
        <v>126</v>
      </c>
      <c r="L473" s="35" t="s">
        <v>45</v>
      </c>
      <c r="M473" s="36" t="s">
        <v>82</v>
      </c>
      <c r="N473" s="36"/>
      <c r="O473" s="35">
        <v>50</v>
      </c>
      <c r="P473" s="87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73" s="771"/>
      <c r="R473" s="771"/>
      <c r="S473" s="771"/>
      <c r="T473" s="772"/>
      <c r="U473" s="37" t="s">
        <v>45</v>
      </c>
      <c r="V473" s="37" t="s">
        <v>45</v>
      </c>
      <c r="W473" s="38" t="s">
        <v>0</v>
      </c>
      <c r="X473" s="56">
        <v>0</v>
      </c>
      <c r="Y473" s="53">
        <f t="shared" si="91"/>
        <v>0</v>
      </c>
      <c r="Z473" s="39" t="str">
        <f t="shared" si="96"/>
        <v/>
      </c>
      <c r="AA473" s="65" t="s">
        <v>45</v>
      </c>
      <c r="AB473" s="66" t="s">
        <v>45</v>
      </c>
      <c r="AC473" s="563" t="s">
        <v>748</v>
      </c>
      <c r="AG473" s="75"/>
      <c r="AJ473" s="79" t="s">
        <v>45</v>
      </c>
      <c r="AK473" s="79">
        <v>0</v>
      </c>
      <c r="BB473" s="564" t="s">
        <v>66</v>
      </c>
      <c r="BM473" s="75">
        <f t="shared" si="92"/>
        <v>0</v>
      </c>
      <c r="BN473" s="75">
        <f t="shared" si="93"/>
        <v>0</v>
      </c>
      <c r="BO473" s="75">
        <f t="shared" si="94"/>
        <v>0</v>
      </c>
      <c r="BP473" s="75">
        <f t="shared" si="95"/>
        <v>0</v>
      </c>
    </row>
    <row r="474" spans="1:68" ht="27" customHeight="1" x14ac:dyDescent="0.25">
      <c r="A474" s="60" t="s">
        <v>754</v>
      </c>
      <c r="B474" s="60" t="s">
        <v>755</v>
      </c>
      <c r="C474" s="34">
        <v>4301031337</v>
      </c>
      <c r="D474" s="769">
        <v>4680115883161</v>
      </c>
      <c r="E474" s="769"/>
      <c r="F474" s="59">
        <v>0.28000000000000003</v>
      </c>
      <c r="G474" s="35">
        <v>6</v>
      </c>
      <c r="H474" s="59">
        <v>1.68</v>
      </c>
      <c r="I474" s="59">
        <v>1.81</v>
      </c>
      <c r="J474" s="35">
        <v>234</v>
      </c>
      <c r="K474" s="35" t="s">
        <v>126</v>
      </c>
      <c r="L474" s="35" t="s">
        <v>45</v>
      </c>
      <c r="M474" s="36" t="s">
        <v>82</v>
      </c>
      <c r="N474" s="36"/>
      <c r="O474" s="35">
        <v>50</v>
      </c>
      <c r="P474" s="87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74" s="771"/>
      <c r="R474" s="771"/>
      <c r="S474" s="771"/>
      <c r="T474" s="772"/>
      <c r="U474" s="37" t="s">
        <v>45</v>
      </c>
      <c r="V474" s="37" t="s">
        <v>45</v>
      </c>
      <c r="W474" s="38" t="s">
        <v>0</v>
      </c>
      <c r="X474" s="56">
        <v>0</v>
      </c>
      <c r="Y474" s="53">
        <f t="shared" si="91"/>
        <v>0</v>
      </c>
      <c r="Z474" s="39" t="str">
        <f t="shared" si="96"/>
        <v/>
      </c>
      <c r="AA474" s="65" t="s">
        <v>45</v>
      </c>
      <c r="AB474" s="66" t="s">
        <v>45</v>
      </c>
      <c r="AC474" s="565" t="s">
        <v>756</v>
      </c>
      <c r="AG474" s="75"/>
      <c r="AJ474" s="79" t="s">
        <v>45</v>
      </c>
      <c r="AK474" s="79">
        <v>0</v>
      </c>
      <c r="BB474" s="566" t="s">
        <v>66</v>
      </c>
      <c r="BM474" s="75">
        <f t="shared" si="92"/>
        <v>0</v>
      </c>
      <c r="BN474" s="75">
        <f t="shared" si="93"/>
        <v>0</v>
      </c>
      <c r="BO474" s="75">
        <f t="shared" si="94"/>
        <v>0</v>
      </c>
      <c r="BP474" s="75">
        <f t="shared" si="95"/>
        <v>0</v>
      </c>
    </row>
    <row r="475" spans="1:68" ht="27" customHeight="1" x14ac:dyDescent="0.25">
      <c r="A475" s="60" t="s">
        <v>754</v>
      </c>
      <c r="B475" s="60" t="s">
        <v>757</v>
      </c>
      <c r="C475" s="34">
        <v>4301031364</v>
      </c>
      <c r="D475" s="769">
        <v>4680115883161</v>
      </c>
      <c r="E475" s="769"/>
      <c r="F475" s="59">
        <v>0.28000000000000003</v>
      </c>
      <c r="G475" s="35">
        <v>6</v>
      </c>
      <c r="H475" s="59">
        <v>1.68</v>
      </c>
      <c r="I475" s="59">
        <v>1.81</v>
      </c>
      <c r="J475" s="35">
        <v>234</v>
      </c>
      <c r="K475" s="35" t="s">
        <v>126</v>
      </c>
      <c r="L475" s="35" t="s">
        <v>45</v>
      </c>
      <c r="M475" s="36" t="s">
        <v>82</v>
      </c>
      <c r="N475" s="36"/>
      <c r="O475" s="35">
        <v>50</v>
      </c>
      <c r="P475" s="873" t="s">
        <v>758</v>
      </c>
      <c r="Q475" s="771"/>
      <c r="R475" s="771"/>
      <c r="S475" s="771"/>
      <c r="T475" s="772"/>
      <c r="U475" s="37" t="s">
        <v>45</v>
      </c>
      <c r="V475" s="37" t="s">
        <v>45</v>
      </c>
      <c r="W475" s="38" t="s">
        <v>0</v>
      </c>
      <c r="X475" s="56">
        <v>0</v>
      </c>
      <c r="Y475" s="53">
        <f t="shared" si="91"/>
        <v>0</v>
      </c>
      <c r="Z475" s="39" t="str">
        <f t="shared" si="96"/>
        <v/>
      </c>
      <c r="AA475" s="65" t="s">
        <v>45</v>
      </c>
      <c r="AB475" s="66" t="s">
        <v>45</v>
      </c>
      <c r="AC475" s="567" t="s">
        <v>756</v>
      </c>
      <c r="AG475" s="75"/>
      <c r="AJ475" s="79" t="s">
        <v>45</v>
      </c>
      <c r="AK475" s="79">
        <v>0</v>
      </c>
      <c r="BB475" s="568" t="s">
        <v>66</v>
      </c>
      <c r="BM475" s="75">
        <f t="shared" si="92"/>
        <v>0</v>
      </c>
      <c r="BN475" s="75">
        <f t="shared" si="93"/>
        <v>0</v>
      </c>
      <c r="BO475" s="75">
        <f t="shared" si="94"/>
        <v>0</v>
      </c>
      <c r="BP475" s="75">
        <f t="shared" si="95"/>
        <v>0</v>
      </c>
    </row>
    <row r="476" spans="1:68" ht="27" customHeight="1" x14ac:dyDescent="0.25">
      <c r="A476" s="60" t="s">
        <v>759</v>
      </c>
      <c r="B476" s="60" t="s">
        <v>760</v>
      </c>
      <c r="C476" s="34">
        <v>4301031333</v>
      </c>
      <c r="D476" s="769">
        <v>4607091389531</v>
      </c>
      <c r="E476" s="769"/>
      <c r="F476" s="59">
        <v>0.35</v>
      </c>
      <c r="G476" s="35">
        <v>6</v>
      </c>
      <c r="H476" s="59">
        <v>2.1</v>
      </c>
      <c r="I476" s="59">
        <v>2.23</v>
      </c>
      <c r="J476" s="35">
        <v>234</v>
      </c>
      <c r="K476" s="35" t="s">
        <v>126</v>
      </c>
      <c r="L476" s="35" t="s">
        <v>45</v>
      </c>
      <c r="M476" s="36" t="s">
        <v>82</v>
      </c>
      <c r="N476" s="36"/>
      <c r="O476" s="35">
        <v>50</v>
      </c>
      <c r="P476" s="874" t="str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6" s="771"/>
      <c r="R476" s="771"/>
      <c r="S476" s="771"/>
      <c r="T476" s="772"/>
      <c r="U476" s="37" t="s">
        <v>45</v>
      </c>
      <c r="V476" s="37" t="s">
        <v>45</v>
      </c>
      <c r="W476" s="38" t="s">
        <v>0</v>
      </c>
      <c r="X476" s="56">
        <v>0</v>
      </c>
      <c r="Y476" s="53">
        <f t="shared" si="91"/>
        <v>0</v>
      </c>
      <c r="Z476" s="39" t="str">
        <f t="shared" si="96"/>
        <v/>
      </c>
      <c r="AA476" s="65" t="s">
        <v>45</v>
      </c>
      <c r="AB476" s="66" t="s">
        <v>45</v>
      </c>
      <c r="AC476" s="569" t="s">
        <v>761</v>
      </c>
      <c r="AG476" s="75"/>
      <c r="AJ476" s="79" t="s">
        <v>45</v>
      </c>
      <c r="AK476" s="79">
        <v>0</v>
      </c>
      <c r="BB476" s="570" t="s">
        <v>66</v>
      </c>
      <c r="BM476" s="75">
        <f t="shared" si="92"/>
        <v>0</v>
      </c>
      <c r="BN476" s="75">
        <f t="shared" si="93"/>
        <v>0</v>
      </c>
      <c r="BO476" s="75">
        <f t="shared" si="94"/>
        <v>0</v>
      </c>
      <c r="BP476" s="75">
        <f t="shared" si="95"/>
        <v>0</v>
      </c>
    </row>
    <row r="477" spans="1:68" ht="27" customHeight="1" x14ac:dyDescent="0.25">
      <c r="A477" s="60" t="s">
        <v>759</v>
      </c>
      <c r="B477" s="60" t="s">
        <v>762</v>
      </c>
      <c r="C477" s="34">
        <v>4301031358</v>
      </c>
      <c r="D477" s="769">
        <v>4607091389531</v>
      </c>
      <c r="E477" s="769"/>
      <c r="F477" s="59">
        <v>0.35</v>
      </c>
      <c r="G477" s="35">
        <v>6</v>
      </c>
      <c r="H477" s="59">
        <v>2.1</v>
      </c>
      <c r="I477" s="59">
        <v>2.23</v>
      </c>
      <c r="J477" s="35">
        <v>234</v>
      </c>
      <c r="K477" s="35" t="s">
        <v>126</v>
      </c>
      <c r="L477" s="35" t="s">
        <v>45</v>
      </c>
      <c r="M477" s="36" t="s">
        <v>82</v>
      </c>
      <c r="N477" s="36"/>
      <c r="O477" s="35">
        <v>50</v>
      </c>
      <c r="P477" s="86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77" s="771"/>
      <c r="R477" s="771"/>
      <c r="S477" s="771"/>
      <c r="T477" s="772"/>
      <c r="U477" s="37" t="s">
        <v>45</v>
      </c>
      <c r="V477" s="37" t="s">
        <v>45</v>
      </c>
      <c r="W477" s="38" t="s">
        <v>0</v>
      </c>
      <c r="X477" s="56">
        <v>0</v>
      </c>
      <c r="Y477" s="53">
        <f t="shared" si="91"/>
        <v>0</v>
      </c>
      <c r="Z477" s="39" t="str">
        <f t="shared" si="96"/>
        <v/>
      </c>
      <c r="AA477" s="65" t="s">
        <v>45</v>
      </c>
      <c r="AB477" s="66" t="s">
        <v>45</v>
      </c>
      <c r="AC477" s="571" t="s">
        <v>761</v>
      </c>
      <c r="AG477" s="75"/>
      <c r="AJ477" s="79" t="s">
        <v>45</v>
      </c>
      <c r="AK477" s="79">
        <v>0</v>
      </c>
      <c r="BB477" s="572" t="s">
        <v>66</v>
      </c>
      <c r="BM477" s="75">
        <f t="shared" si="92"/>
        <v>0</v>
      </c>
      <c r="BN477" s="75">
        <f t="shared" si="93"/>
        <v>0</v>
      </c>
      <c r="BO477" s="75">
        <f t="shared" si="94"/>
        <v>0</v>
      </c>
      <c r="BP477" s="75">
        <f t="shared" si="95"/>
        <v>0</v>
      </c>
    </row>
    <row r="478" spans="1:68" ht="37.5" customHeight="1" x14ac:dyDescent="0.25">
      <c r="A478" s="60" t="s">
        <v>763</v>
      </c>
      <c r="B478" s="60" t="s">
        <v>764</v>
      </c>
      <c r="C478" s="34">
        <v>4301031360</v>
      </c>
      <c r="D478" s="769">
        <v>4607091384345</v>
      </c>
      <c r="E478" s="769"/>
      <c r="F478" s="59">
        <v>0.35</v>
      </c>
      <c r="G478" s="35">
        <v>6</v>
      </c>
      <c r="H478" s="59">
        <v>2.1</v>
      </c>
      <c r="I478" s="59">
        <v>2.23</v>
      </c>
      <c r="J478" s="35">
        <v>234</v>
      </c>
      <c r="K478" s="35" t="s">
        <v>126</v>
      </c>
      <c r="L478" s="35" t="s">
        <v>45</v>
      </c>
      <c r="M478" s="36" t="s">
        <v>82</v>
      </c>
      <c r="N478" s="36"/>
      <c r="O478" s="35">
        <v>50</v>
      </c>
      <c r="P478" s="8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78" s="771"/>
      <c r="R478" s="771"/>
      <c r="S478" s="771"/>
      <c r="T478" s="772"/>
      <c r="U478" s="37" t="s">
        <v>45</v>
      </c>
      <c r="V478" s="37" t="s">
        <v>45</v>
      </c>
      <c r="W478" s="38" t="s">
        <v>0</v>
      </c>
      <c r="X478" s="56">
        <v>0</v>
      </c>
      <c r="Y478" s="53">
        <f t="shared" si="91"/>
        <v>0</v>
      </c>
      <c r="Z478" s="39" t="str">
        <f t="shared" si="96"/>
        <v/>
      </c>
      <c r="AA478" s="65" t="s">
        <v>45</v>
      </c>
      <c r="AB478" s="66" t="s">
        <v>45</v>
      </c>
      <c r="AC478" s="573" t="s">
        <v>756</v>
      </c>
      <c r="AG478" s="75"/>
      <c r="AJ478" s="79" t="s">
        <v>45</v>
      </c>
      <c r="AK478" s="79">
        <v>0</v>
      </c>
      <c r="BB478" s="574" t="s">
        <v>66</v>
      </c>
      <c r="BM478" s="75">
        <f t="shared" si="92"/>
        <v>0</v>
      </c>
      <c r="BN478" s="75">
        <f t="shared" si="93"/>
        <v>0</v>
      </c>
      <c r="BO478" s="75">
        <f t="shared" si="94"/>
        <v>0</v>
      </c>
      <c r="BP478" s="75">
        <f t="shared" si="95"/>
        <v>0</v>
      </c>
    </row>
    <row r="479" spans="1:68" ht="27" customHeight="1" x14ac:dyDescent="0.25">
      <c r="A479" s="60" t="s">
        <v>765</v>
      </c>
      <c r="B479" s="60" t="s">
        <v>766</v>
      </c>
      <c r="C479" s="34">
        <v>4301031255</v>
      </c>
      <c r="D479" s="769">
        <v>4680115883185</v>
      </c>
      <c r="E479" s="769"/>
      <c r="F479" s="59">
        <v>0.28000000000000003</v>
      </c>
      <c r="G479" s="35">
        <v>6</v>
      </c>
      <c r="H479" s="59">
        <v>1.68</v>
      </c>
      <c r="I479" s="59">
        <v>1.81</v>
      </c>
      <c r="J479" s="35">
        <v>234</v>
      </c>
      <c r="K479" s="35" t="s">
        <v>126</v>
      </c>
      <c r="L479" s="35" t="s">
        <v>45</v>
      </c>
      <c r="M479" s="36" t="s">
        <v>82</v>
      </c>
      <c r="N479" s="36"/>
      <c r="O479" s="35">
        <v>45</v>
      </c>
      <c r="P479" s="86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Q479" s="771"/>
      <c r="R479" s="771"/>
      <c r="S479" s="771"/>
      <c r="T479" s="772"/>
      <c r="U479" s="37" t="s">
        <v>45</v>
      </c>
      <c r="V479" s="37" t="s">
        <v>45</v>
      </c>
      <c r="W479" s="38" t="s">
        <v>0</v>
      </c>
      <c r="X479" s="56">
        <v>0</v>
      </c>
      <c r="Y479" s="53">
        <f t="shared" si="91"/>
        <v>0</v>
      </c>
      <c r="Z479" s="39" t="str">
        <f t="shared" si="96"/>
        <v/>
      </c>
      <c r="AA479" s="65" t="s">
        <v>45</v>
      </c>
      <c r="AB479" s="66" t="s">
        <v>45</v>
      </c>
      <c r="AC479" s="575" t="s">
        <v>767</v>
      </c>
      <c r="AG479" s="75"/>
      <c r="AJ479" s="79" t="s">
        <v>45</v>
      </c>
      <c r="AK479" s="79">
        <v>0</v>
      </c>
      <c r="BB479" s="576" t="s">
        <v>66</v>
      </c>
      <c r="BM479" s="75">
        <f t="shared" si="92"/>
        <v>0</v>
      </c>
      <c r="BN479" s="75">
        <f t="shared" si="93"/>
        <v>0</v>
      </c>
      <c r="BO479" s="75">
        <f t="shared" si="94"/>
        <v>0</v>
      </c>
      <c r="BP479" s="75">
        <f t="shared" si="95"/>
        <v>0</v>
      </c>
    </row>
    <row r="480" spans="1:68" ht="27" customHeight="1" x14ac:dyDescent="0.25">
      <c r="A480" s="60" t="s">
        <v>765</v>
      </c>
      <c r="B480" s="60" t="s">
        <v>768</v>
      </c>
      <c r="C480" s="34">
        <v>4301031368</v>
      </c>
      <c r="D480" s="769">
        <v>4680115883185</v>
      </c>
      <c r="E480" s="769"/>
      <c r="F480" s="59">
        <v>0.28000000000000003</v>
      </c>
      <c r="G480" s="35">
        <v>6</v>
      </c>
      <c r="H480" s="59">
        <v>1.68</v>
      </c>
      <c r="I480" s="59">
        <v>1.81</v>
      </c>
      <c r="J480" s="35">
        <v>234</v>
      </c>
      <c r="K480" s="35" t="s">
        <v>126</v>
      </c>
      <c r="L480" s="35" t="s">
        <v>45</v>
      </c>
      <c r="M480" s="36" t="s">
        <v>82</v>
      </c>
      <c r="N480" s="36"/>
      <c r="O480" s="35">
        <v>50</v>
      </c>
      <c r="P480" s="863" t="s">
        <v>769</v>
      </c>
      <c r="Q480" s="771"/>
      <c r="R480" s="771"/>
      <c r="S480" s="771"/>
      <c r="T480" s="772"/>
      <c r="U480" s="37" t="s">
        <v>45</v>
      </c>
      <c r="V480" s="37" t="s">
        <v>45</v>
      </c>
      <c r="W480" s="38" t="s">
        <v>0</v>
      </c>
      <c r="X480" s="56">
        <v>0</v>
      </c>
      <c r="Y480" s="53">
        <f t="shared" si="91"/>
        <v>0</v>
      </c>
      <c r="Z480" s="39" t="str">
        <f t="shared" si="96"/>
        <v/>
      </c>
      <c r="AA480" s="65" t="s">
        <v>45</v>
      </c>
      <c r="AB480" s="66" t="s">
        <v>45</v>
      </c>
      <c r="AC480" s="577" t="s">
        <v>738</v>
      </c>
      <c r="AG480" s="75"/>
      <c r="AJ480" s="79" t="s">
        <v>45</v>
      </c>
      <c r="AK480" s="79">
        <v>0</v>
      </c>
      <c r="BB480" s="578" t="s">
        <v>66</v>
      </c>
      <c r="BM480" s="75">
        <f t="shared" si="92"/>
        <v>0</v>
      </c>
      <c r="BN480" s="75">
        <f t="shared" si="93"/>
        <v>0</v>
      </c>
      <c r="BO480" s="75">
        <f t="shared" si="94"/>
        <v>0</v>
      </c>
      <c r="BP480" s="75">
        <f t="shared" si="95"/>
        <v>0</v>
      </c>
    </row>
    <row r="481" spans="1:68" x14ac:dyDescent="0.2">
      <c r="A481" s="759"/>
      <c r="B481" s="759"/>
      <c r="C481" s="759"/>
      <c r="D481" s="759"/>
      <c r="E481" s="759"/>
      <c r="F481" s="759"/>
      <c r="G481" s="759"/>
      <c r="H481" s="759"/>
      <c r="I481" s="759"/>
      <c r="J481" s="759"/>
      <c r="K481" s="759"/>
      <c r="L481" s="759"/>
      <c r="M481" s="759"/>
      <c r="N481" s="759"/>
      <c r="O481" s="767"/>
      <c r="P481" s="764" t="s">
        <v>40</v>
      </c>
      <c r="Q481" s="765"/>
      <c r="R481" s="765"/>
      <c r="S481" s="765"/>
      <c r="T481" s="765"/>
      <c r="U481" s="765"/>
      <c r="V481" s="766"/>
      <c r="W481" s="40" t="s">
        <v>39</v>
      </c>
      <c r="X481" s="41">
        <f>IFERROR(X464/H464,"0")+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0</v>
      </c>
      <c r="Y481" s="41">
        <f>IFERROR(Y464/H464,"0")+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0</v>
      </c>
      <c r="Z481" s="41">
        <f>IFERROR(IF(Z464="",0,Z464),"0")+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</v>
      </c>
      <c r="AA481" s="64"/>
      <c r="AB481" s="64"/>
      <c r="AC481" s="64"/>
    </row>
    <row r="482" spans="1:68" x14ac:dyDescent="0.2">
      <c r="A482" s="759"/>
      <c r="B482" s="759"/>
      <c r="C482" s="759"/>
      <c r="D482" s="759"/>
      <c r="E482" s="759"/>
      <c r="F482" s="759"/>
      <c r="G482" s="759"/>
      <c r="H482" s="759"/>
      <c r="I482" s="759"/>
      <c r="J482" s="759"/>
      <c r="K482" s="759"/>
      <c r="L482" s="759"/>
      <c r="M482" s="759"/>
      <c r="N482" s="759"/>
      <c r="O482" s="767"/>
      <c r="P482" s="764" t="s">
        <v>40</v>
      </c>
      <c r="Q482" s="765"/>
      <c r="R482" s="765"/>
      <c r="S482" s="765"/>
      <c r="T482" s="765"/>
      <c r="U482" s="765"/>
      <c r="V482" s="766"/>
      <c r="W482" s="40" t="s">
        <v>0</v>
      </c>
      <c r="X482" s="41">
        <f>IFERROR(SUM(X464:X480),"0")</f>
        <v>0</v>
      </c>
      <c r="Y482" s="41">
        <f>IFERROR(SUM(Y464:Y480),"0")</f>
        <v>0</v>
      </c>
      <c r="Z482" s="40"/>
      <c r="AA482" s="64"/>
      <c r="AB482" s="64"/>
      <c r="AC482" s="64"/>
    </row>
    <row r="483" spans="1:68" ht="14.25" customHeight="1" x14ac:dyDescent="0.25">
      <c r="A483" s="768" t="s">
        <v>78</v>
      </c>
      <c r="B483" s="768"/>
      <c r="C483" s="768"/>
      <c r="D483" s="768"/>
      <c r="E483" s="768"/>
      <c r="F483" s="768"/>
      <c r="G483" s="768"/>
      <c r="H483" s="768"/>
      <c r="I483" s="768"/>
      <c r="J483" s="768"/>
      <c r="K483" s="768"/>
      <c r="L483" s="768"/>
      <c r="M483" s="768"/>
      <c r="N483" s="768"/>
      <c r="O483" s="768"/>
      <c r="P483" s="768"/>
      <c r="Q483" s="768"/>
      <c r="R483" s="768"/>
      <c r="S483" s="768"/>
      <c r="T483" s="768"/>
      <c r="U483" s="768"/>
      <c r="V483" s="768"/>
      <c r="W483" s="768"/>
      <c r="X483" s="768"/>
      <c r="Y483" s="768"/>
      <c r="Z483" s="768"/>
      <c r="AA483" s="63"/>
      <c r="AB483" s="63"/>
      <c r="AC483" s="63"/>
    </row>
    <row r="484" spans="1:68" ht="27" customHeight="1" x14ac:dyDescent="0.25">
      <c r="A484" s="60" t="s">
        <v>770</v>
      </c>
      <c r="B484" s="60" t="s">
        <v>771</v>
      </c>
      <c r="C484" s="34">
        <v>4301051284</v>
      </c>
      <c r="D484" s="769">
        <v>4607091384352</v>
      </c>
      <c r="E484" s="769"/>
      <c r="F484" s="59">
        <v>0.6</v>
      </c>
      <c r="G484" s="35">
        <v>4</v>
      </c>
      <c r="H484" s="59">
        <v>2.4</v>
      </c>
      <c r="I484" s="59">
        <v>2.6459999999999999</v>
      </c>
      <c r="J484" s="35">
        <v>132</v>
      </c>
      <c r="K484" s="35" t="s">
        <v>116</v>
      </c>
      <c r="L484" s="35" t="s">
        <v>45</v>
      </c>
      <c r="M484" s="36" t="s">
        <v>106</v>
      </c>
      <c r="N484" s="36"/>
      <c r="O484" s="35">
        <v>45</v>
      </c>
      <c r="P484" s="86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84" s="771"/>
      <c r="R484" s="771"/>
      <c r="S484" s="771"/>
      <c r="T484" s="772"/>
      <c r="U484" s="37" t="s">
        <v>45</v>
      </c>
      <c r="V484" s="37" t="s">
        <v>45</v>
      </c>
      <c r="W484" s="38" t="s">
        <v>0</v>
      </c>
      <c r="X484" s="56">
        <v>0</v>
      </c>
      <c r="Y484" s="53">
        <f>IFERROR(IF(X484="",0,CEILING((X484/$H484),1)*$H484),"")</f>
        <v>0</v>
      </c>
      <c r="Z484" s="39" t="str">
        <f>IFERROR(IF(Y484=0,"",ROUNDUP(Y484/H484,0)*0.00902),"")</f>
        <v/>
      </c>
      <c r="AA484" s="65" t="s">
        <v>45</v>
      </c>
      <c r="AB484" s="66" t="s">
        <v>45</v>
      </c>
      <c r="AC484" s="579" t="s">
        <v>772</v>
      </c>
      <c r="AG484" s="75"/>
      <c r="AJ484" s="79" t="s">
        <v>45</v>
      </c>
      <c r="AK484" s="79">
        <v>0</v>
      </c>
      <c r="BB484" s="580" t="s">
        <v>66</v>
      </c>
      <c r="BM484" s="75">
        <f>IFERROR(X484*I484/H484,"0")</f>
        <v>0</v>
      </c>
      <c r="BN484" s="75">
        <f>IFERROR(Y484*I484/H484,"0")</f>
        <v>0</v>
      </c>
      <c r="BO484" s="75">
        <f>IFERROR(1/J484*(X484/H484),"0")</f>
        <v>0</v>
      </c>
      <c r="BP484" s="75">
        <f>IFERROR(1/J484*(Y484/H484),"0")</f>
        <v>0</v>
      </c>
    </row>
    <row r="485" spans="1:68" ht="27" customHeight="1" x14ac:dyDescent="0.25">
      <c r="A485" s="60" t="s">
        <v>773</v>
      </c>
      <c r="B485" s="60" t="s">
        <v>774</v>
      </c>
      <c r="C485" s="34">
        <v>4301051431</v>
      </c>
      <c r="D485" s="769">
        <v>4607091389654</v>
      </c>
      <c r="E485" s="769"/>
      <c r="F485" s="59">
        <v>0.33</v>
      </c>
      <c r="G485" s="35">
        <v>6</v>
      </c>
      <c r="H485" s="59">
        <v>1.98</v>
      </c>
      <c r="I485" s="59">
        <v>2.238</v>
      </c>
      <c r="J485" s="35">
        <v>182</v>
      </c>
      <c r="K485" s="35" t="s">
        <v>83</v>
      </c>
      <c r="L485" s="35" t="s">
        <v>45</v>
      </c>
      <c r="M485" s="36" t="s">
        <v>106</v>
      </c>
      <c r="N485" s="36"/>
      <c r="O485" s="35">
        <v>45</v>
      </c>
      <c r="P485" s="865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85" s="771"/>
      <c r="R485" s="771"/>
      <c r="S485" s="771"/>
      <c r="T485" s="772"/>
      <c r="U485" s="37" t="s">
        <v>45</v>
      </c>
      <c r="V485" s="37" t="s">
        <v>45</v>
      </c>
      <c r="W485" s="38" t="s">
        <v>0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 t="s">
        <v>45</v>
      </c>
      <c r="AB485" s="66" t="s">
        <v>45</v>
      </c>
      <c r="AC485" s="581" t="s">
        <v>775</v>
      </c>
      <c r="AG485" s="75"/>
      <c r="AJ485" s="79" t="s">
        <v>45</v>
      </c>
      <c r="AK485" s="79">
        <v>0</v>
      </c>
      <c r="BB485" s="582" t="s">
        <v>66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x14ac:dyDescent="0.2">
      <c r="A486" s="759"/>
      <c r="B486" s="759"/>
      <c r="C486" s="759"/>
      <c r="D486" s="759"/>
      <c r="E486" s="759"/>
      <c r="F486" s="759"/>
      <c r="G486" s="759"/>
      <c r="H486" s="759"/>
      <c r="I486" s="759"/>
      <c r="J486" s="759"/>
      <c r="K486" s="759"/>
      <c r="L486" s="759"/>
      <c r="M486" s="759"/>
      <c r="N486" s="759"/>
      <c r="O486" s="767"/>
      <c r="P486" s="764" t="s">
        <v>40</v>
      </c>
      <c r="Q486" s="765"/>
      <c r="R486" s="765"/>
      <c r="S486" s="765"/>
      <c r="T486" s="765"/>
      <c r="U486" s="765"/>
      <c r="V486" s="766"/>
      <c r="W486" s="40" t="s">
        <v>39</v>
      </c>
      <c r="X486" s="41">
        <f>IFERROR(X484/H484,"0")+IFERROR(X485/H485,"0")</f>
        <v>0</v>
      </c>
      <c r="Y486" s="41">
        <f>IFERROR(Y484/H484,"0")+IFERROR(Y485/H485,"0")</f>
        <v>0</v>
      </c>
      <c r="Z486" s="41">
        <f>IFERROR(IF(Z484="",0,Z484),"0")+IFERROR(IF(Z485="",0,Z485),"0")</f>
        <v>0</v>
      </c>
      <c r="AA486" s="64"/>
      <c r="AB486" s="64"/>
      <c r="AC486" s="64"/>
    </row>
    <row r="487" spans="1:68" x14ac:dyDescent="0.2">
      <c r="A487" s="759"/>
      <c r="B487" s="759"/>
      <c r="C487" s="759"/>
      <c r="D487" s="759"/>
      <c r="E487" s="759"/>
      <c r="F487" s="759"/>
      <c r="G487" s="759"/>
      <c r="H487" s="759"/>
      <c r="I487" s="759"/>
      <c r="J487" s="759"/>
      <c r="K487" s="759"/>
      <c r="L487" s="759"/>
      <c r="M487" s="759"/>
      <c r="N487" s="759"/>
      <c r="O487" s="767"/>
      <c r="P487" s="764" t="s">
        <v>40</v>
      </c>
      <c r="Q487" s="765"/>
      <c r="R487" s="765"/>
      <c r="S487" s="765"/>
      <c r="T487" s="765"/>
      <c r="U487" s="765"/>
      <c r="V487" s="766"/>
      <c r="W487" s="40" t="s">
        <v>0</v>
      </c>
      <c r="X487" s="41">
        <f>IFERROR(SUM(X484:X485),"0")</f>
        <v>0</v>
      </c>
      <c r="Y487" s="41">
        <f>IFERROR(SUM(Y484:Y485),"0")</f>
        <v>0</v>
      </c>
      <c r="Z487" s="40"/>
      <c r="AA487" s="64"/>
      <c r="AB487" s="64"/>
      <c r="AC487" s="64"/>
    </row>
    <row r="488" spans="1:68" ht="14.25" customHeight="1" x14ac:dyDescent="0.25">
      <c r="A488" s="768" t="s">
        <v>93</v>
      </c>
      <c r="B488" s="768"/>
      <c r="C488" s="768"/>
      <c r="D488" s="768"/>
      <c r="E488" s="768"/>
      <c r="F488" s="768"/>
      <c r="G488" s="768"/>
      <c r="H488" s="768"/>
      <c r="I488" s="768"/>
      <c r="J488" s="768"/>
      <c r="K488" s="768"/>
      <c r="L488" s="768"/>
      <c r="M488" s="768"/>
      <c r="N488" s="768"/>
      <c r="O488" s="768"/>
      <c r="P488" s="768"/>
      <c r="Q488" s="768"/>
      <c r="R488" s="768"/>
      <c r="S488" s="768"/>
      <c r="T488" s="768"/>
      <c r="U488" s="768"/>
      <c r="V488" s="768"/>
      <c r="W488" s="768"/>
      <c r="X488" s="768"/>
      <c r="Y488" s="768"/>
      <c r="Z488" s="768"/>
      <c r="AA488" s="63"/>
      <c r="AB488" s="63"/>
      <c r="AC488" s="63"/>
    </row>
    <row r="489" spans="1:68" ht="27" customHeight="1" x14ac:dyDescent="0.25">
      <c r="A489" s="60" t="s">
        <v>776</v>
      </c>
      <c r="B489" s="60" t="s">
        <v>777</v>
      </c>
      <c r="C489" s="34">
        <v>4301170011</v>
      </c>
      <c r="D489" s="769">
        <v>4680115884113</v>
      </c>
      <c r="E489" s="769"/>
      <c r="F489" s="59">
        <v>0.11</v>
      </c>
      <c r="G489" s="35">
        <v>12</v>
      </c>
      <c r="H489" s="59">
        <v>1.32</v>
      </c>
      <c r="I489" s="59">
        <v>1.88</v>
      </c>
      <c r="J489" s="35">
        <v>200</v>
      </c>
      <c r="K489" s="35" t="s">
        <v>780</v>
      </c>
      <c r="L489" s="35" t="s">
        <v>45</v>
      </c>
      <c r="M489" s="36" t="s">
        <v>779</v>
      </c>
      <c r="N489" s="36"/>
      <c r="O489" s="35">
        <v>150</v>
      </c>
      <c r="P489" s="856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Q489" s="771"/>
      <c r="R489" s="771"/>
      <c r="S489" s="771"/>
      <c r="T489" s="772"/>
      <c r="U489" s="37" t="s">
        <v>45</v>
      </c>
      <c r="V489" s="37" t="s">
        <v>45</v>
      </c>
      <c r="W489" s="38" t="s">
        <v>0</v>
      </c>
      <c r="X489" s="56">
        <v>0</v>
      </c>
      <c r="Y489" s="53">
        <f>IFERROR(IF(X489="",0,CEILING((X489/$H489),1)*$H489),"")</f>
        <v>0</v>
      </c>
      <c r="Z489" s="39" t="str">
        <f>IFERROR(IF(Y489=0,"",ROUNDUP(Y489/H489,0)*0.00627),"")</f>
        <v/>
      </c>
      <c r="AA489" s="65" t="s">
        <v>45</v>
      </c>
      <c r="AB489" s="66" t="s">
        <v>45</v>
      </c>
      <c r="AC489" s="583" t="s">
        <v>778</v>
      </c>
      <c r="AG489" s="75"/>
      <c r="AJ489" s="79" t="s">
        <v>45</v>
      </c>
      <c r="AK489" s="79">
        <v>0</v>
      </c>
      <c r="BB489" s="584" t="s">
        <v>66</v>
      </c>
      <c r="BM489" s="75">
        <f>IFERROR(X489*I489/H489,"0")</f>
        <v>0</v>
      </c>
      <c r="BN489" s="75">
        <f>IFERROR(Y489*I489/H489,"0")</f>
        <v>0</v>
      </c>
      <c r="BO489" s="75">
        <f>IFERROR(1/J489*(X489/H489),"0")</f>
        <v>0</v>
      </c>
      <c r="BP489" s="75">
        <f>IFERROR(1/J489*(Y489/H489),"0")</f>
        <v>0</v>
      </c>
    </row>
    <row r="490" spans="1:68" x14ac:dyDescent="0.2">
      <c r="A490" s="759"/>
      <c r="B490" s="759"/>
      <c r="C490" s="759"/>
      <c r="D490" s="759"/>
      <c r="E490" s="759"/>
      <c r="F490" s="759"/>
      <c r="G490" s="759"/>
      <c r="H490" s="759"/>
      <c r="I490" s="759"/>
      <c r="J490" s="759"/>
      <c r="K490" s="759"/>
      <c r="L490" s="759"/>
      <c r="M490" s="759"/>
      <c r="N490" s="759"/>
      <c r="O490" s="767"/>
      <c r="P490" s="764" t="s">
        <v>40</v>
      </c>
      <c r="Q490" s="765"/>
      <c r="R490" s="765"/>
      <c r="S490" s="765"/>
      <c r="T490" s="765"/>
      <c r="U490" s="765"/>
      <c r="V490" s="766"/>
      <c r="W490" s="40" t="s">
        <v>39</v>
      </c>
      <c r="X490" s="41">
        <f>IFERROR(X489/H489,"0")</f>
        <v>0</v>
      </c>
      <c r="Y490" s="41">
        <f>IFERROR(Y489/H489,"0")</f>
        <v>0</v>
      </c>
      <c r="Z490" s="41">
        <f>IFERROR(IF(Z489="",0,Z489),"0")</f>
        <v>0</v>
      </c>
      <c r="AA490" s="64"/>
      <c r="AB490" s="64"/>
      <c r="AC490" s="64"/>
    </row>
    <row r="491" spans="1:68" x14ac:dyDescent="0.2">
      <c r="A491" s="759"/>
      <c r="B491" s="759"/>
      <c r="C491" s="759"/>
      <c r="D491" s="759"/>
      <c r="E491" s="759"/>
      <c r="F491" s="759"/>
      <c r="G491" s="759"/>
      <c r="H491" s="759"/>
      <c r="I491" s="759"/>
      <c r="J491" s="759"/>
      <c r="K491" s="759"/>
      <c r="L491" s="759"/>
      <c r="M491" s="759"/>
      <c r="N491" s="759"/>
      <c r="O491" s="767"/>
      <c r="P491" s="764" t="s">
        <v>40</v>
      </c>
      <c r="Q491" s="765"/>
      <c r="R491" s="765"/>
      <c r="S491" s="765"/>
      <c r="T491" s="765"/>
      <c r="U491" s="765"/>
      <c r="V491" s="766"/>
      <c r="W491" s="40" t="s">
        <v>0</v>
      </c>
      <c r="X491" s="41">
        <f>IFERROR(SUM(X489:X489),"0")</f>
        <v>0</v>
      </c>
      <c r="Y491" s="41">
        <f>IFERROR(SUM(Y489:Y489),"0")</f>
        <v>0</v>
      </c>
      <c r="Z491" s="40"/>
      <c r="AA491" s="64"/>
      <c r="AB491" s="64"/>
      <c r="AC491" s="64"/>
    </row>
    <row r="492" spans="1:68" ht="16.5" customHeight="1" x14ac:dyDescent="0.25">
      <c r="A492" s="776" t="s">
        <v>781</v>
      </c>
      <c r="B492" s="776"/>
      <c r="C492" s="776"/>
      <c r="D492" s="776"/>
      <c r="E492" s="776"/>
      <c r="F492" s="776"/>
      <c r="G492" s="776"/>
      <c r="H492" s="776"/>
      <c r="I492" s="776"/>
      <c r="J492" s="776"/>
      <c r="K492" s="776"/>
      <c r="L492" s="776"/>
      <c r="M492" s="776"/>
      <c r="N492" s="776"/>
      <c r="O492" s="776"/>
      <c r="P492" s="776"/>
      <c r="Q492" s="776"/>
      <c r="R492" s="776"/>
      <c r="S492" s="776"/>
      <c r="T492" s="776"/>
      <c r="U492" s="776"/>
      <c r="V492" s="776"/>
      <c r="W492" s="776"/>
      <c r="X492" s="776"/>
      <c r="Y492" s="776"/>
      <c r="Z492" s="776"/>
      <c r="AA492" s="62"/>
      <c r="AB492" s="62"/>
      <c r="AC492" s="62"/>
    </row>
    <row r="493" spans="1:68" ht="14.25" customHeight="1" x14ac:dyDescent="0.25">
      <c r="A493" s="768" t="s">
        <v>153</v>
      </c>
      <c r="B493" s="768"/>
      <c r="C493" s="768"/>
      <c r="D493" s="768"/>
      <c r="E493" s="768"/>
      <c r="F493" s="768"/>
      <c r="G493" s="768"/>
      <c r="H493" s="768"/>
      <c r="I493" s="768"/>
      <c r="J493" s="768"/>
      <c r="K493" s="768"/>
      <c r="L493" s="768"/>
      <c r="M493" s="768"/>
      <c r="N493" s="768"/>
      <c r="O493" s="768"/>
      <c r="P493" s="768"/>
      <c r="Q493" s="768"/>
      <c r="R493" s="768"/>
      <c r="S493" s="768"/>
      <c r="T493" s="768"/>
      <c r="U493" s="768"/>
      <c r="V493" s="768"/>
      <c r="W493" s="768"/>
      <c r="X493" s="768"/>
      <c r="Y493" s="768"/>
      <c r="Z493" s="768"/>
      <c r="AA493" s="63"/>
      <c r="AB493" s="63"/>
      <c r="AC493" s="63"/>
    </row>
    <row r="494" spans="1:68" ht="27" customHeight="1" x14ac:dyDescent="0.25">
      <c r="A494" s="60" t="s">
        <v>782</v>
      </c>
      <c r="B494" s="60" t="s">
        <v>783</v>
      </c>
      <c r="C494" s="34">
        <v>4301020315</v>
      </c>
      <c r="D494" s="769">
        <v>4607091389364</v>
      </c>
      <c r="E494" s="769"/>
      <c r="F494" s="59">
        <v>0.42</v>
      </c>
      <c r="G494" s="35">
        <v>6</v>
      </c>
      <c r="H494" s="59">
        <v>2.52</v>
      </c>
      <c r="I494" s="59">
        <v>2.73</v>
      </c>
      <c r="J494" s="35">
        <v>182</v>
      </c>
      <c r="K494" s="35" t="s">
        <v>83</v>
      </c>
      <c r="L494" s="35" t="s">
        <v>45</v>
      </c>
      <c r="M494" s="36" t="s">
        <v>82</v>
      </c>
      <c r="N494" s="36"/>
      <c r="O494" s="35">
        <v>40</v>
      </c>
      <c r="P494" s="85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94" s="771"/>
      <c r="R494" s="771"/>
      <c r="S494" s="771"/>
      <c r="T494" s="772"/>
      <c r="U494" s="37" t="s">
        <v>45</v>
      </c>
      <c r="V494" s="37" t="s">
        <v>45</v>
      </c>
      <c r="W494" s="38" t="s">
        <v>0</v>
      </c>
      <c r="X494" s="56">
        <v>0</v>
      </c>
      <c r="Y494" s="53">
        <f>IFERROR(IF(X494="",0,CEILING((X494/$H494),1)*$H494),"")</f>
        <v>0</v>
      </c>
      <c r="Z494" s="39" t="str">
        <f>IFERROR(IF(Y494=0,"",ROUNDUP(Y494/H494,0)*0.00651),"")</f>
        <v/>
      </c>
      <c r="AA494" s="65" t="s">
        <v>45</v>
      </c>
      <c r="AB494" s="66" t="s">
        <v>45</v>
      </c>
      <c r="AC494" s="585" t="s">
        <v>784</v>
      </c>
      <c r="AG494" s="75"/>
      <c r="AJ494" s="79" t="s">
        <v>45</v>
      </c>
      <c r="AK494" s="79">
        <v>0</v>
      </c>
      <c r="BB494" s="586" t="s">
        <v>66</v>
      </c>
      <c r="BM494" s="75">
        <f>IFERROR(X494*I494/H494,"0")</f>
        <v>0</v>
      </c>
      <c r="BN494" s="75">
        <f>IFERROR(Y494*I494/H494,"0")</f>
        <v>0</v>
      </c>
      <c r="BO494" s="75">
        <f>IFERROR(1/J494*(X494/H494),"0")</f>
        <v>0</v>
      </c>
      <c r="BP494" s="75">
        <f>IFERROR(1/J494*(Y494/H494),"0")</f>
        <v>0</v>
      </c>
    </row>
    <row r="495" spans="1:68" x14ac:dyDescent="0.2">
      <c r="A495" s="759"/>
      <c r="B495" s="759"/>
      <c r="C495" s="759"/>
      <c r="D495" s="759"/>
      <c r="E495" s="759"/>
      <c r="F495" s="759"/>
      <c r="G495" s="759"/>
      <c r="H495" s="759"/>
      <c r="I495" s="759"/>
      <c r="J495" s="759"/>
      <c r="K495" s="759"/>
      <c r="L495" s="759"/>
      <c r="M495" s="759"/>
      <c r="N495" s="759"/>
      <c r="O495" s="767"/>
      <c r="P495" s="764" t="s">
        <v>40</v>
      </c>
      <c r="Q495" s="765"/>
      <c r="R495" s="765"/>
      <c r="S495" s="765"/>
      <c r="T495" s="765"/>
      <c r="U495" s="765"/>
      <c r="V495" s="766"/>
      <c r="W495" s="40" t="s">
        <v>39</v>
      </c>
      <c r="X495" s="41">
        <f>IFERROR(X494/H494,"0")</f>
        <v>0</v>
      </c>
      <c r="Y495" s="41">
        <f>IFERROR(Y494/H494,"0")</f>
        <v>0</v>
      </c>
      <c r="Z495" s="41">
        <f>IFERROR(IF(Z494="",0,Z494),"0")</f>
        <v>0</v>
      </c>
      <c r="AA495" s="64"/>
      <c r="AB495" s="64"/>
      <c r="AC495" s="64"/>
    </row>
    <row r="496" spans="1:68" x14ac:dyDescent="0.2">
      <c r="A496" s="759"/>
      <c r="B496" s="759"/>
      <c r="C496" s="759"/>
      <c r="D496" s="759"/>
      <c r="E496" s="759"/>
      <c r="F496" s="759"/>
      <c r="G496" s="759"/>
      <c r="H496" s="759"/>
      <c r="I496" s="759"/>
      <c r="J496" s="759"/>
      <c r="K496" s="759"/>
      <c r="L496" s="759"/>
      <c r="M496" s="759"/>
      <c r="N496" s="759"/>
      <c r="O496" s="767"/>
      <c r="P496" s="764" t="s">
        <v>40</v>
      </c>
      <c r="Q496" s="765"/>
      <c r="R496" s="765"/>
      <c r="S496" s="765"/>
      <c r="T496" s="765"/>
      <c r="U496" s="765"/>
      <c r="V496" s="766"/>
      <c r="W496" s="40" t="s">
        <v>0</v>
      </c>
      <c r="X496" s="41">
        <f>IFERROR(SUM(X494:X494),"0")</f>
        <v>0</v>
      </c>
      <c r="Y496" s="41">
        <f>IFERROR(SUM(Y494:Y494),"0")</f>
        <v>0</v>
      </c>
      <c r="Z496" s="40"/>
      <c r="AA496" s="64"/>
      <c r="AB496" s="64"/>
      <c r="AC496" s="64"/>
    </row>
    <row r="497" spans="1:68" ht="14.25" customHeight="1" x14ac:dyDescent="0.25">
      <c r="A497" s="768" t="s">
        <v>164</v>
      </c>
      <c r="B497" s="768"/>
      <c r="C497" s="768"/>
      <c r="D497" s="768"/>
      <c r="E497" s="768"/>
      <c r="F497" s="768"/>
      <c r="G497" s="768"/>
      <c r="H497" s="768"/>
      <c r="I497" s="768"/>
      <c r="J497" s="768"/>
      <c r="K497" s="768"/>
      <c r="L497" s="768"/>
      <c r="M497" s="768"/>
      <c r="N497" s="768"/>
      <c r="O497" s="768"/>
      <c r="P497" s="768"/>
      <c r="Q497" s="768"/>
      <c r="R497" s="768"/>
      <c r="S497" s="768"/>
      <c r="T497" s="768"/>
      <c r="U497" s="768"/>
      <c r="V497" s="768"/>
      <c r="W497" s="768"/>
      <c r="X497" s="768"/>
      <c r="Y497" s="768"/>
      <c r="Z497" s="768"/>
      <c r="AA497" s="63"/>
      <c r="AB497" s="63"/>
      <c r="AC497" s="63"/>
    </row>
    <row r="498" spans="1:68" ht="27" customHeight="1" x14ac:dyDescent="0.25">
      <c r="A498" s="60" t="s">
        <v>785</v>
      </c>
      <c r="B498" s="60" t="s">
        <v>786</v>
      </c>
      <c r="C498" s="34">
        <v>4301031403</v>
      </c>
      <c r="D498" s="769">
        <v>4680115886094</v>
      </c>
      <c r="E498" s="769"/>
      <c r="F498" s="59">
        <v>0.9</v>
      </c>
      <c r="G498" s="35">
        <v>6</v>
      </c>
      <c r="H498" s="59">
        <v>5.4</v>
      </c>
      <c r="I498" s="59">
        <v>5.61</v>
      </c>
      <c r="J498" s="35">
        <v>132</v>
      </c>
      <c r="K498" s="35" t="s">
        <v>116</v>
      </c>
      <c r="L498" s="35" t="s">
        <v>45</v>
      </c>
      <c r="M498" s="36" t="s">
        <v>110</v>
      </c>
      <c r="N498" s="36"/>
      <c r="O498" s="35">
        <v>50</v>
      </c>
      <c r="P498" s="858" t="s">
        <v>787</v>
      </c>
      <c r="Q498" s="771"/>
      <c r="R498" s="771"/>
      <c r="S498" s="771"/>
      <c r="T498" s="772"/>
      <c r="U498" s="37" t="s">
        <v>45</v>
      </c>
      <c r="V498" s="37" t="s">
        <v>45</v>
      </c>
      <c r="W498" s="38" t="s">
        <v>0</v>
      </c>
      <c r="X498" s="56">
        <v>0</v>
      </c>
      <c r="Y498" s="53">
        <f>IFERROR(IF(X498="",0,CEILING((X498/$H498),1)*$H498),"")</f>
        <v>0</v>
      </c>
      <c r="Z498" s="39" t="str">
        <f>IFERROR(IF(Y498=0,"",ROUNDUP(Y498/H498,0)*0.00902),"")</f>
        <v/>
      </c>
      <c r="AA498" s="65" t="s">
        <v>45</v>
      </c>
      <c r="AB498" s="66" t="s">
        <v>45</v>
      </c>
      <c r="AC498" s="587" t="s">
        <v>788</v>
      </c>
      <c r="AG498" s="75"/>
      <c r="AJ498" s="79" t="s">
        <v>45</v>
      </c>
      <c r="AK498" s="79">
        <v>0</v>
      </c>
      <c r="BB498" s="588" t="s">
        <v>66</v>
      </c>
      <c r="BM498" s="75">
        <f>IFERROR(X498*I498/H498,"0")</f>
        <v>0</v>
      </c>
      <c r="BN498" s="75">
        <f>IFERROR(Y498*I498/H498,"0")</f>
        <v>0</v>
      </c>
      <c r="BO498" s="75">
        <f>IFERROR(1/J498*(X498/H498),"0")</f>
        <v>0</v>
      </c>
      <c r="BP498" s="75">
        <f>IFERROR(1/J498*(Y498/H498),"0")</f>
        <v>0</v>
      </c>
    </row>
    <row r="499" spans="1:68" ht="27" customHeight="1" x14ac:dyDescent="0.25">
      <c r="A499" s="60" t="s">
        <v>789</v>
      </c>
      <c r="B499" s="60" t="s">
        <v>790</v>
      </c>
      <c r="C499" s="34">
        <v>4301031363</v>
      </c>
      <c r="D499" s="769">
        <v>4607091389425</v>
      </c>
      <c r="E499" s="769"/>
      <c r="F499" s="59">
        <v>0.35</v>
      </c>
      <c r="G499" s="35">
        <v>6</v>
      </c>
      <c r="H499" s="59">
        <v>2.1</v>
      </c>
      <c r="I499" s="59">
        <v>2.23</v>
      </c>
      <c r="J499" s="35">
        <v>234</v>
      </c>
      <c r="K499" s="35" t="s">
        <v>126</v>
      </c>
      <c r="L499" s="35" t="s">
        <v>45</v>
      </c>
      <c r="M499" s="36" t="s">
        <v>82</v>
      </c>
      <c r="N499" s="36"/>
      <c r="O499" s="35">
        <v>50</v>
      </c>
      <c r="P499" s="859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99" s="771"/>
      <c r="R499" s="771"/>
      <c r="S499" s="771"/>
      <c r="T499" s="772"/>
      <c r="U499" s="37" t="s">
        <v>45</v>
      </c>
      <c r="V499" s="37" t="s">
        <v>45</v>
      </c>
      <c r="W499" s="38" t="s">
        <v>0</v>
      </c>
      <c r="X499" s="56">
        <v>0</v>
      </c>
      <c r="Y499" s="53">
        <f>IFERROR(IF(X499="",0,CEILING((X499/$H499),1)*$H499),"")</f>
        <v>0</v>
      </c>
      <c r="Z499" s="39" t="str">
        <f>IFERROR(IF(Y499=0,"",ROUNDUP(Y499/H499,0)*0.00502),"")</f>
        <v/>
      </c>
      <c r="AA499" s="65" t="s">
        <v>45</v>
      </c>
      <c r="AB499" s="66" t="s">
        <v>45</v>
      </c>
      <c r="AC499" s="589" t="s">
        <v>791</v>
      </c>
      <c r="AG499" s="75"/>
      <c r="AJ499" s="79" t="s">
        <v>45</v>
      </c>
      <c r="AK499" s="79">
        <v>0</v>
      </c>
      <c r="BB499" s="590" t="s">
        <v>66</v>
      </c>
      <c r="BM499" s="75">
        <f>IFERROR(X499*I499/H499,"0")</f>
        <v>0</v>
      </c>
      <c r="BN499" s="75">
        <f>IFERROR(Y499*I499/H499,"0")</f>
        <v>0</v>
      </c>
      <c r="BO499" s="75">
        <f>IFERROR(1/J499*(X499/H499),"0")</f>
        <v>0</v>
      </c>
      <c r="BP499" s="75">
        <f>IFERROR(1/J499*(Y499/H499),"0")</f>
        <v>0</v>
      </c>
    </row>
    <row r="500" spans="1:68" ht="27" customHeight="1" x14ac:dyDescent="0.25">
      <c r="A500" s="60" t="s">
        <v>792</v>
      </c>
      <c r="B500" s="60" t="s">
        <v>793</v>
      </c>
      <c r="C500" s="34">
        <v>4301031373</v>
      </c>
      <c r="D500" s="769">
        <v>4680115880771</v>
      </c>
      <c r="E500" s="769"/>
      <c r="F500" s="59">
        <v>0.28000000000000003</v>
      </c>
      <c r="G500" s="35">
        <v>6</v>
      </c>
      <c r="H500" s="59">
        <v>1.68</v>
      </c>
      <c r="I500" s="59">
        <v>1.81</v>
      </c>
      <c r="J500" s="35">
        <v>234</v>
      </c>
      <c r="K500" s="35" t="s">
        <v>126</v>
      </c>
      <c r="L500" s="35" t="s">
        <v>45</v>
      </c>
      <c r="M500" s="36" t="s">
        <v>82</v>
      </c>
      <c r="N500" s="36"/>
      <c r="O500" s="35">
        <v>50</v>
      </c>
      <c r="P500" s="850" t="s">
        <v>794</v>
      </c>
      <c r="Q500" s="771"/>
      <c r="R500" s="771"/>
      <c r="S500" s="771"/>
      <c r="T500" s="772"/>
      <c r="U500" s="37" t="s">
        <v>45</v>
      </c>
      <c r="V500" s="37" t="s">
        <v>45</v>
      </c>
      <c r="W500" s="38" t="s">
        <v>0</v>
      </c>
      <c r="X500" s="56">
        <v>0</v>
      </c>
      <c r="Y500" s="53">
        <f>IFERROR(IF(X500="",0,CEILING((X500/$H500),1)*$H500),"")</f>
        <v>0</v>
      </c>
      <c r="Z500" s="39" t="str">
        <f>IFERROR(IF(Y500=0,"",ROUNDUP(Y500/H500,0)*0.00502),"")</f>
        <v/>
      </c>
      <c r="AA500" s="65" t="s">
        <v>45</v>
      </c>
      <c r="AB500" s="66" t="s">
        <v>45</v>
      </c>
      <c r="AC500" s="591" t="s">
        <v>795</v>
      </c>
      <c r="AG500" s="75"/>
      <c r="AJ500" s="79" t="s">
        <v>45</v>
      </c>
      <c r="AK500" s="79">
        <v>0</v>
      </c>
      <c r="BB500" s="592" t="s">
        <v>66</v>
      </c>
      <c r="BM500" s="75">
        <f>IFERROR(X500*I500/H500,"0")</f>
        <v>0</v>
      </c>
      <c r="BN500" s="75">
        <f>IFERROR(Y500*I500/H500,"0")</f>
        <v>0</v>
      </c>
      <c r="BO500" s="75">
        <f>IFERROR(1/J500*(X500/H500),"0")</f>
        <v>0</v>
      </c>
      <c r="BP500" s="75">
        <f>IFERROR(1/J500*(Y500/H500),"0")</f>
        <v>0</v>
      </c>
    </row>
    <row r="501" spans="1:68" ht="27" customHeight="1" x14ac:dyDescent="0.25">
      <c r="A501" s="60" t="s">
        <v>796</v>
      </c>
      <c r="B501" s="60" t="s">
        <v>797</v>
      </c>
      <c r="C501" s="34">
        <v>4301031327</v>
      </c>
      <c r="D501" s="769">
        <v>4607091389500</v>
      </c>
      <c r="E501" s="769"/>
      <c r="F501" s="59">
        <v>0.35</v>
      </c>
      <c r="G501" s="35">
        <v>6</v>
      </c>
      <c r="H501" s="59">
        <v>2.1</v>
      </c>
      <c r="I501" s="59">
        <v>2.23</v>
      </c>
      <c r="J501" s="35">
        <v>234</v>
      </c>
      <c r="K501" s="35" t="s">
        <v>126</v>
      </c>
      <c r="L501" s="35" t="s">
        <v>45</v>
      </c>
      <c r="M501" s="36" t="s">
        <v>82</v>
      </c>
      <c r="N501" s="36"/>
      <c r="O501" s="35">
        <v>50</v>
      </c>
      <c r="P501" s="851" t="str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1" s="771"/>
      <c r="R501" s="771"/>
      <c r="S501" s="771"/>
      <c r="T501" s="772"/>
      <c r="U501" s="37" t="s">
        <v>45</v>
      </c>
      <c r="V501" s="37" t="s">
        <v>45</v>
      </c>
      <c r="W501" s="38" t="s">
        <v>0</v>
      </c>
      <c r="X501" s="56">
        <v>0</v>
      </c>
      <c r="Y501" s="53">
        <f>IFERROR(IF(X501="",0,CEILING((X501/$H501),1)*$H501),"")</f>
        <v>0</v>
      </c>
      <c r="Z501" s="39" t="str">
        <f>IFERROR(IF(Y501=0,"",ROUNDUP(Y501/H501,0)*0.00502),"")</f>
        <v/>
      </c>
      <c r="AA501" s="65" t="s">
        <v>45</v>
      </c>
      <c r="AB501" s="66" t="s">
        <v>45</v>
      </c>
      <c r="AC501" s="593" t="s">
        <v>795</v>
      </c>
      <c r="AG501" s="75"/>
      <c r="AJ501" s="79" t="s">
        <v>45</v>
      </c>
      <c r="AK501" s="79">
        <v>0</v>
      </c>
      <c r="BB501" s="594" t="s">
        <v>66</v>
      </c>
      <c r="BM501" s="75">
        <f>IFERROR(X501*I501/H501,"0")</f>
        <v>0</v>
      </c>
      <c r="BN501" s="75">
        <f>IFERROR(Y501*I501/H501,"0")</f>
        <v>0</v>
      </c>
      <c r="BO501" s="75">
        <f>IFERROR(1/J501*(X501/H501),"0")</f>
        <v>0</v>
      </c>
      <c r="BP501" s="75">
        <f>IFERROR(1/J501*(Y501/H501),"0")</f>
        <v>0</v>
      </c>
    </row>
    <row r="502" spans="1:68" ht="27" customHeight="1" x14ac:dyDescent="0.25">
      <c r="A502" s="60" t="s">
        <v>796</v>
      </c>
      <c r="B502" s="60" t="s">
        <v>798</v>
      </c>
      <c r="C502" s="34">
        <v>4301031359</v>
      </c>
      <c r="D502" s="769">
        <v>4607091389500</v>
      </c>
      <c r="E502" s="769"/>
      <c r="F502" s="59">
        <v>0.35</v>
      </c>
      <c r="G502" s="35">
        <v>6</v>
      </c>
      <c r="H502" s="59">
        <v>2.1</v>
      </c>
      <c r="I502" s="59">
        <v>2.23</v>
      </c>
      <c r="J502" s="35">
        <v>234</v>
      </c>
      <c r="K502" s="35" t="s">
        <v>126</v>
      </c>
      <c r="L502" s="35" t="s">
        <v>45</v>
      </c>
      <c r="M502" s="36" t="s">
        <v>82</v>
      </c>
      <c r="N502" s="36"/>
      <c r="O502" s="35">
        <v>50</v>
      </c>
      <c r="P502" s="85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502" s="771"/>
      <c r="R502" s="771"/>
      <c r="S502" s="771"/>
      <c r="T502" s="772"/>
      <c r="U502" s="37" t="s">
        <v>45</v>
      </c>
      <c r="V502" s="37" t="s">
        <v>45</v>
      </c>
      <c r="W502" s="38" t="s">
        <v>0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IFERROR(IF(Y502=0,"",ROUNDUP(Y502/H502,0)*0.00502),"")</f>
        <v/>
      </c>
      <c r="AA502" s="65" t="s">
        <v>45</v>
      </c>
      <c r="AB502" s="66" t="s">
        <v>45</v>
      </c>
      <c r="AC502" s="595" t="s">
        <v>795</v>
      </c>
      <c r="AG502" s="75"/>
      <c r="AJ502" s="79" t="s">
        <v>45</v>
      </c>
      <c r="AK502" s="79">
        <v>0</v>
      </c>
      <c r="BB502" s="596" t="s">
        <v>66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x14ac:dyDescent="0.2">
      <c r="A503" s="759"/>
      <c r="B503" s="759"/>
      <c r="C503" s="759"/>
      <c r="D503" s="759"/>
      <c r="E503" s="759"/>
      <c r="F503" s="759"/>
      <c r="G503" s="759"/>
      <c r="H503" s="759"/>
      <c r="I503" s="759"/>
      <c r="J503" s="759"/>
      <c r="K503" s="759"/>
      <c r="L503" s="759"/>
      <c r="M503" s="759"/>
      <c r="N503" s="759"/>
      <c r="O503" s="767"/>
      <c r="P503" s="764" t="s">
        <v>40</v>
      </c>
      <c r="Q503" s="765"/>
      <c r="R503" s="765"/>
      <c r="S503" s="765"/>
      <c r="T503" s="765"/>
      <c r="U503" s="765"/>
      <c r="V503" s="766"/>
      <c r="W503" s="40" t="s">
        <v>39</v>
      </c>
      <c r="X503" s="41">
        <f>IFERROR(X498/H498,"0")+IFERROR(X499/H499,"0")+IFERROR(X500/H500,"0")+IFERROR(X501/H501,"0")+IFERROR(X502/H502,"0")</f>
        <v>0</v>
      </c>
      <c r="Y503" s="41">
        <f>IFERROR(Y498/H498,"0")+IFERROR(Y499/H499,"0")+IFERROR(Y500/H500,"0")+IFERROR(Y501/H501,"0")+IFERROR(Y502/H502,"0")</f>
        <v>0</v>
      </c>
      <c r="Z503" s="41">
        <f>IFERROR(IF(Z498="",0,Z498),"0")+IFERROR(IF(Z499="",0,Z499),"0")+IFERROR(IF(Z500="",0,Z500),"0")+IFERROR(IF(Z501="",0,Z501),"0")+IFERROR(IF(Z502="",0,Z502),"0")</f>
        <v>0</v>
      </c>
      <c r="AA503" s="64"/>
      <c r="AB503" s="64"/>
      <c r="AC503" s="64"/>
    </row>
    <row r="504" spans="1:68" x14ac:dyDescent="0.2">
      <c r="A504" s="759"/>
      <c r="B504" s="759"/>
      <c r="C504" s="759"/>
      <c r="D504" s="759"/>
      <c r="E504" s="759"/>
      <c r="F504" s="759"/>
      <c r="G504" s="759"/>
      <c r="H504" s="759"/>
      <c r="I504" s="759"/>
      <c r="J504" s="759"/>
      <c r="K504" s="759"/>
      <c r="L504" s="759"/>
      <c r="M504" s="759"/>
      <c r="N504" s="759"/>
      <c r="O504" s="767"/>
      <c r="P504" s="764" t="s">
        <v>40</v>
      </c>
      <c r="Q504" s="765"/>
      <c r="R504" s="765"/>
      <c r="S504" s="765"/>
      <c r="T504" s="765"/>
      <c r="U504" s="765"/>
      <c r="V504" s="766"/>
      <c r="W504" s="40" t="s">
        <v>0</v>
      </c>
      <c r="X504" s="41">
        <f>IFERROR(SUM(X498:X502),"0")</f>
        <v>0</v>
      </c>
      <c r="Y504" s="41">
        <f>IFERROR(SUM(Y498:Y502),"0")</f>
        <v>0</v>
      </c>
      <c r="Z504" s="40"/>
      <c r="AA504" s="64"/>
      <c r="AB504" s="64"/>
      <c r="AC504" s="64"/>
    </row>
    <row r="505" spans="1:68" ht="16.5" customHeight="1" x14ac:dyDescent="0.25">
      <c r="A505" s="776" t="s">
        <v>799</v>
      </c>
      <c r="B505" s="776"/>
      <c r="C505" s="776"/>
      <c r="D505" s="776"/>
      <c r="E505" s="776"/>
      <c r="F505" s="776"/>
      <c r="G505" s="776"/>
      <c r="H505" s="776"/>
      <c r="I505" s="776"/>
      <c r="J505" s="776"/>
      <c r="K505" s="776"/>
      <c r="L505" s="776"/>
      <c r="M505" s="776"/>
      <c r="N505" s="776"/>
      <c r="O505" s="776"/>
      <c r="P505" s="776"/>
      <c r="Q505" s="776"/>
      <c r="R505" s="776"/>
      <c r="S505" s="776"/>
      <c r="T505" s="776"/>
      <c r="U505" s="776"/>
      <c r="V505" s="776"/>
      <c r="W505" s="776"/>
      <c r="X505" s="776"/>
      <c r="Y505" s="776"/>
      <c r="Z505" s="776"/>
      <c r="AA505" s="62"/>
      <c r="AB505" s="62"/>
      <c r="AC505" s="62"/>
    </row>
    <row r="506" spans="1:68" ht="14.25" customHeight="1" x14ac:dyDescent="0.25">
      <c r="A506" s="768" t="s">
        <v>164</v>
      </c>
      <c r="B506" s="768"/>
      <c r="C506" s="768"/>
      <c r="D506" s="768"/>
      <c r="E506" s="768"/>
      <c r="F506" s="768"/>
      <c r="G506" s="768"/>
      <c r="H506" s="768"/>
      <c r="I506" s="768"/>
      <c r="J506" s="768"/>
      <c r="K506" s="768"/>
      <c r="L506" s="768"/>
      <c r="M506" s="768"/>
      <c r="N506" s="768"/>
      <c r="O506" s="768"/>
      <c r="P506" s="768"/>
      <c r="Q506" s="768"/>
      <c r="R506" s="768"/>
      <c r="S506" s="768"/>
      <c r="T506" s="768"/>
      <c r="U506" s="768"/>
      <c r="V506" s="768"/>
      <c r="W506" s="768"/>
      <c r="X506" s="768"/>
      <c r="Y506" s="768"/>
      <c r="Z506" s="768"/>
      <c r="AA506" s="63"/>
      <c r="AB506" s="63"/>
      <c r="AC506" s="63"/>
    </row>
    <row r="507" spans="1:68" ht="27" customHeight="1" x14ac:dyDescent="0.25">
      <c r="A507" s="60" t="s">
        <v>800</v>
      </c>
      <c r="B507" s="60" t="s">
        <v>801</v>
      </c>
      <c r="C507" s="34">
        <v>4301031294</v>
      </c>
      <c r="D507" s="769">
        <v>4680115885189</v>
      </c>
      <c r="E507" s="769"/>
      <c r="F507" s="59">
        <v>0.2</v>
      </c>
      <c r="G507" s="35">
        <v>6</v>
      </c>
      <c r="H507" s="59">
        <v>1.2</v>
      </c>
      <c r="I507" s="59">
        <v>1.3720000000000001</v>
      </c>
      <c r="J507" s="35">
        <v>234</v>
      </c>
      <c r="K507" s="35" t="s">
        <v>126</v>
      </c>
      <c r="L507" s="35" t="s">
        <v>45</v>
      </c>
      <c r="M507" s="36" t="s">
        <v>82</v>
      </c>
      <c r="N507" s="36"/>
      <c r="O507" s="35">
        <v>40</v>
      </c>
      <c r="P507" s="853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507" s="771"/>
      <c r="R507" s="771"/>
      <c r="S507" s="771"/>
      <c r="T507" s="772"/>
      <c r="U507" s="37" t="s">
        <v>45</v>
      </c>
      <c r="V507" s="37" t="s">
        <v>45</v>
      </c>
      <c r="W507" s="38" t="s">
        <v>0</v>
      </c>
      <c r="X507" s="56">
        <v>0</v>
      </c>
      <c r="Y507" s="53">
        <f>IFERROR(IF(X507="",0,CEILING((X507/$H507),1)*$H507),"")</f>
        <v>0</v>
      </c>
      <c r="Z507" s="39" t="str">
        <f>IFERROR(IF(Y507=0,"",ROUNDUP(Y507/H507,0)*0.00502),"")</f>
        <v/>
      </c>
      <c r="AA507" s="65" t="s">
        <v>45</v>
      </c>
      <c r="AB507" s="66" t="s">
        <v>45</v>
      </c>
      <c r="AC507" s="597" t="s">
        <v>802</v>
      </c>
      <c r="AG507" s="75"/>
      <c r="AJ507" s="79" t="s">
        <v>45</v>
      </c>
      <c r="AK507" s="79">
        <v>0</v>
      </c>
      <c r="BB507" s="598" t="s">
        <v>66</v>
      </c>
      <c r="BM507" s="75">
        <f>IFERROR(X507*I507/H507,"0")</f>
        <v>0</v>
      </c>
      <c r="BN507" s="75">
        <f>IFERROR(Y507*I507/H507,"0")</f>
        <v>0</v>
      </c>
      <c r="BO507" s="75">
        <f>IFERROR(1/J507*(X507/H507),"0")</f>
        <v>0</v>
      </c>
      <c r="BP507" s="75">
        <f>IFERROR(1/J507*(Y507/H507),"0")</f>
        <v>0</v>
      </c>
    </row>
    <row r="508" spans="1:68" ht="27" customHeight="1" x14ac:dyDescent="0.25">
      <c r="A508" s="60" t="s">
        <v>803</v>
      </c>
      <c r="B508" s="60" t="s">
        <v>804</v>
      </c>
      <c r="C508" s="34">
        <v>4301031347</v>
      </c>
      <c r="D508" s="769">
        <v>4680115885110</v>
      </c>
      <c r="E508" s="769"/>
      <c r="F508" s="59">
        <v>0.2</v>
      </c>
      <c r="G508" s="35">
        <v>6</v>
      </c>
      <c r="H508" s="59">
        <v>1.2</v>
      </c>
      <c r="I508" s="59">
        <v>2.1</v>
      </c>
      <c r="J508" s="35">
        <v>182</v>
      </c>
      <c r="K508" s="35" t="s">
        <v>83</v>
      </c>
      <c r="L508" s="35" t="s">
        <v>45</v>
      </c>
      <c r="M508" s="36" t="s">
        <v>82</v>
      </c>
      <c r="N508" s="36"/>
      <c r="O508" s="35">
        <v>50</v>
      </c>
      <c r="P508" s="854" t="s">
        <v>805</v>
      </c>
      <c r="Q508" s="771"/>
      <c r="R508" s="771"/>
      <c r="S508" s="771"/>
      <c r="T508" s="772"/>
      <c r="U508" s="37" t="s">
        <v>45</v>
      </c>
      <c r="V508" s="37" t="s">
        <v>45</v>
      </c>
      <c r="W508" s="38" t="s">
        <v>0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IFERROR(IF(Y508=0,"",ROUNDUP(Y508/H508,0)*0.00651),"")</f>
        <v/>
      </c>
      <c r="AA508" s="65" t="s">
        <v>45</v>
      </c>
      <c r="AB508" s="66" t="s">
        <v>45</v>
      </c>
      <c r="AC508" s="599" t="s">
        <v>806</v>
      </c>
      <c r="AG508" s="75"/>
      <c r="AJ508" s="79" t="s">
        <v>45</v>
      </c>
      <c r="AK508" s="79">
        <v>0</v>
      </c>
      <c r="BB508" s="600" t="s">
        <v>66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customHeight="1" x14ac:dyDescent="0.25">
      <c r="A509" s="60" t="s">
        <v>807</v>
      </c>
      <c r="B509" s="60" t="s">
        <v>808</v>
      </c>
      <c r="C509" s="34">
        <v>4301031416</v>
      </c>
      <c r="D509" s="769">
        <v>4680115885219</v>
      </c>
      <c r="E509" s="769"/>
      <c r="F509" s="59">
        <v>0.28000000000000003</v>
      </c>
      <c r="G509" s="35">
        <v>6</v>
      </c>
      <c r="H509" s="59">
        <v>1.68</v>
      </c>
      <c r="I509" s="59">
        <v>2.5</v>
      </c>
      <c r="J509" s="35">
        <v>234</v>
      </c>
      <c r="K509" s="35" t="s">
        <v>126</v>
      </c>
      <c r="L509" s="35" t="s">
        <v>45</v>
      </c>
      <c r="M509" s="36" t="s">
        <v>82</v>
      </c>
      <c r="N509" s="36"/>
      <c r="O509" s="35">
        <v>50</v>
      </c>
      <c r="P509" s="855" t="s">
        <v>809</v>
      </c>
      <c r="Q509" s="771"/>
      <c r="R509" s="771"/>
      <c r="S509" s="771"/>
      <c r="T509" s="772"/>
      <c r="U509" s="37" t="s">
        <v>45</v>
      </c>
      <c r="V509" s="37" t="s">
        <v>45</v>
      </c>
      <c r="W509" s="38" t="s">
        <v>0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IFERROR(IF(Y509=0,"",ROUNDUP(Y509/H509,0)*0.00502),"")</f>
        <v/>
      </c>
      <c r="AA509" s="65" t="s">
        <v>45</v>
      </c>
      <c r="AB509" s="66" t="s">
        <v>45</v>
      </c>
      <c r="AC509" s="601" t="s">
        <v>810</v>
      </c>
      <c r="AG509" s="75"/>
      <c r="AJ509" s="79" t="s">
        <v>45</v>
      </c>
      <c r="AK509" s="79">
        <v>0</v>
      </c>
      <c r="BB509" s="602" t="s">
        <v>66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x14ac:dyDescent="0.2">
      <c r="A510" s="759"/>
      <c r="B510" s="759"/>
      <c r="C510" s="759"/>
      <c r="D510" s="759"/>
      <c r="E510" s="759"/>
      <c r="F510" s="759"/>
      <c r="G510" s="759"/>
      <c r="H510" s="759"/>
      <c r="I510" s="759"/>
      <c r="J510" s="759"/>
      <c r="K510" s="759"/>
      <c r="L510" s="759"/>
      <c r="M510" s="759"/>
      <c r="N510" s="759"/>
      <c r="O510" s="767"/>
      <c r="P510" s="764" t="s">
        <v>40</v>
      </c>
      <c r="Q510" s="765"/>
      <c r="R510" s="765"/>
      <c r="S510" s="765"/>
      <c r="T510" s="765"/>
      <c r="U510" s="765"/>
      <c r="V510" s="766"/>
      <c r="W510" s="40" t="s">
        <v>39</v>
      </c>
      <c r="X510" s="41">
        <f>IFERROR(X507/H507,"0")+IFERROR(X508/H508,"0")+IFERROR(X509/H509,"0")</f>
        <v>0</v>
      </c>
      <c r="Y510" s="41">
        <f>IFERROR(Y507/H507,"0")+IFERROR(Y508/H508,"0")+IFERROR(Y509/H509,"0")</f>
        <v>0</v>
      </c>
      <c r="Z510" s="41">
        <f>IFERROR(IF(Z507="",0,Z507),"0")+IFERROR(IF(Z508="",0,Z508),"0")+IFERROR(IF(Z509="",0,Z509),"0")</f>
        <v>0</v>
      </c>
      <c r="AA510" s="64"/>
      <c r="AB510" s="64"/>
      <c r="AC510" s="64"/>
    </row>
    <row r="511" spans="1:68" x14ac:dyDescent="0.2">
      <c r="A511" s="759"/>
      <c r="B511" s="759"/>
      <c r="C511" s="759"/>
      <c r="D511" s="759"/>
      <c r="E511" s="759"/>
      <c r="F511" s="759"/>
      <c r="G511" s="759"/>
      <c r="H511" s="759"/>
      <c r="I511" s="759"/>
      <c r="J511" s="759"/>
      <c r="K511" s="759"/>
      <c r="L511" s="759"/>
      <c r="M511" s="759"/>
      <c r="N511" s="759"/>
      <c r="O511" s="767"/>
      <c r="P511" s="764" t="s">
        <v>40</v>
      </c>
      <c r="Q511" s="765"/>
      <c r="R511" s="765"/>
      <c r="S511" s="765"/>
      <c r="T511" s="765"/>
      <c r="U511" s="765"/>
      <c r="V511" s="766"/>
      <c r="W511" s="40" t="s">
        <v>0</v>
      </c>
      <c r="X511" s="41">
        <f>IFERROR(SUM(X507:X509),"0")</f>
        <v>0</v>
      </c>
      <c r="Y511" s="41">
        <f>IFERROR(SUM(Y507:Y509),"0")</f>
        <v>0</v>
      </c>
      <c r="Z511" s="40"/>
      <c r="AA511" s="64"/>
      <c r="AB511" s="64"/>
      <c r="AC511" s="64"/>
    </row>
    <row r="512" spans="1:68" ht="16.5" customHeight="1" x14ac:dyDescent="0.25">
      <c r="A512" s="776" t="s">
        <v>811</v>
      </c>
      <c r="B512" s="776"/>
      <c r="C512" s="776"/>
      <c r="D512" s="776"/>
      <c r="E512" s="776"/>
      <c r="F512" s="776"/>
      <c r="G512" s="776"/>
      <c r="H512" s="776"/>
      <c r="I512" s="776"/>
      <c r="J512" s="776"/>
      <c r="K512" s="776"/>
      <c r="L512" s="776"/>
      <c r="M512" s="776"/>
      <c r="N512" s="776"/>
      <c r="O512" s="776"/>
      <c r="P512" s="776"/>
      <c r="Q512" s="776"/>
      <c r="R512" s="776"/>
      <c r="S512" s="776"/>
      <c r="T512" s="776"/>
      <c r="U512" s="776"/>
      <c r="V512" s="776"/>
      <c r="W512" s="776"/>
      <c r="X512" s="776"/>
      <c r="Y512" s="776"/>
      <c r="Z512" s="776"/>
      <c r="AA512" s="62"/>
      <c r="AB512" s="62"/>
      <c r="AC512" s="62"/>
    </row>
    <row r="513" spans="1:68" ht="14.25" customHeight="1" x14ac:dyDescent="0.25">
      <c r="A513" s="768" t="s">
        <v>164</v>
      </c>
      <c r="B513" s="768"/>
      <c r="C513" s="768"/>
      <c r="D513" s="768"/>
      <c r="E513" s="768"/>
      <c r="F513" s="768"/>
      <c r="G513" s="768"/>
      <c r="H513" s="768"/>
      <c r="I513" s="768"/>
      <c r="J513" s="768"/>
      <c r="K513" s="768"/>
      <c r="L513" s="768"/>
      <c r="M513" s="768"/>
      <c r="N513" s="768"/>
      <c r="O513" s="768"/>
      <c r="P513" s="768"/>
      <c r="Q513" s="768"/>
      <c r="R513" s="768"/>
      <c r="S513" s="768"/>
      <c r="T513" s="768"/>
      <c r="U513" s="768"/>
      <c r="V513" s="768"/>
      <c r="W513" s="768"/>
      <c r="X513" s="768"/>
      <c r="Y513" s="768"/>
      <c r="Z513" s="768"/>
      <c r="AA513" s="63"/>
      <c r="AB513" s="63"/>
      <c r="AC513" s="63"/>
    </row>
    <row r="514" spans="1:68" ht="27" customHeight="1" x14ac:dyDescent="0.25">
      <c r="A514" s="60" t="s">
        <v>812</v>
      </c>
      <c r="B514" s="60" t="s">
        <v>813</v>
      </c>
      <c r="C514" s="34">
        <v>4301031261</v>
      </c>
      <c r="D514" s="769">
        <v>4680115885103</v>
      </c>
      <c r="E514" s="769"/>
      <c r="F514" s="59">
        <v>0.27</v>
      </c>
      <c r="G514" s="35">
        <v>6</v>
      </c>
      <c r="H514" s="59">
        <v>1.62</v>
      </c>
      <c r="I514" s="59">
        <v>1.8</v>
      </c>
      <c r="J514" s="35">
        <v>182</v>
      </c>
      <c r="K514" s="35" t="s">
        <v>83</v>
      </c>
      <c r="L514" s="35" t="s">
        <v>45</v>
      </c>
      <c r="M514" s="36" t="s">
        <v>82</v>
      </c>
      <c r="N514" s="36"/>
      <c r="O514" s="35">
        <v>40</v>
      </c>
      <c r="P514" s="848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514" s="771"/>
      <c r="R514" s="771"/>
      <c r="S514" s="771"/>
      <c r="T514" s="772"/>
      <c r="U514" s="37" t="s">
        <v>45</v>
      </c>
      <c r="V514" s="37" t="s">
        <v>45</v>
      </c>
      <c r="W514" s="38" t="s">
        <v>0</v>
      </c>
      <c r="X514" s="56">
        <v>0</v>
      </c>
      <c r="Y514" s="53">
        <f>IFERROR(IF(X514="",0,CEILING((X514/$H514),1)*$H514),"")</f>
        <v>0</v>
      </c>
      <c r="Z514" s="39" t="str">
        <f>IFERROR(IF(Y514=0,"",ROUNDUP(Y514/H514,0)*0.00651),"")</f>
        <v/>
      </c>
      <c r="AA514" s="65" t="s">
        <v>45</v>
      </c>
      <c r="AB514" s="66" t="s">
        <v>45</v>
      </c>
      <c r="AC514" s="603" t="s">
        <v>814</v>
      </c>
      <c r="AG514" s="75"/>
      <c r="AJ514" s="79" t="s">
        <v>45</v>
      </c>
      <c r="AK514" s="79">
        <v>0</v>
      </c>
      <c r="BB514" s="604" t="s">
        <v>66</v>
      </c>
      <c r="BM514" s="75">
        <f>IFERROR(X514*I514/H514,"0")</f>
        <v>0</v>
      </c>
      <c r="BN514" s="75">
        <f>IFERROR(Y514*I514/H514,"0")</f>
        <v>0</v>
      </c>
      <c r="BO514" s="75">
        <f>IFERROR(1/J514*(X514/H514),"0")</f>
        <v>0</v>
      </c>
      <c r="BP514" s="75">
        <f>IFERROR(1/J514*(Y514/H514),"0")</f>
        <v>0</v>
      </c>
    </row>
    <row r="515" spans="1:68" x14ac:dyDescent="0.2">
      <c r="A515" s="759"/>
      <c r="B515" s="759"/>
      <c r="C515" s="759"/>
      <c r="D515" s="759"/>
      <c r="E515" s="759"/>
      <c r="F515" s="759"/>
      <c r="G515" s="759"/>
      <c r="H515" s="759"/>
      <c r="I515" s="759"/>
      <c r="J515" s="759"/>
      <c r="K515" s="759"/>
      <c r="L515" s="759"/>
      <c r="M515" s="759"/>
      <c r="N515" s="759"/>
      <c r="O515" s="767"/>
      <c r="P515" s="764" t="s">
        <v>40</v>
      </c>
      <c r="Q515" s="765"/>
      <c r="R515" s="765"/>
      <c r="S515" s="765"/>
      <c r="T515" s="765"/>
      <c r="U515" s="765"/>
      <c r="V515" s="766"/>
      <c r="W515" s="40" t="s">
        <v>39</v>
      </c>
      <c r="X515" s="41">
        <f>IFERROR(X514/H514,"0")</f>
        <v>0</v>
      </c>
      <c r="Y515" s="41">
        <f>IFERROR(Y514/H514,"0")</f>
        <v>0</v>
      </c>
      <c r="Z515" s="41">
        <f>IFERROR(IF(Z514="",0,Z514),"0")</f>
        <v>0</v>
      </c>
      <c r="AA515" s="64"/>
      <c r="AB515" s="64"/>
      <c r="AC515" s="64"/>
    </row>
    <row r="516" spans="1:68" x14ac:dyDescent="0.2">
      <c r="A516" s="759"/>
      <c r="B516" s="759"/>
      <c r="C516" s="759"/>
      <c r="D516" s="759"/>
      <c r="E516" s="759"/>
      <c r="F516" s="759"/>
      <c r="G516" s="759"/>
      <c r="H516" s="759"/>
      <c r="I516" s="759"/>
      <c r="J516" s="759"/>
      <c r="K516" s="759"/>
      <c r="L516" s="759"/>
      <c r="M516" s="759"/>
      <c r="N516" s="759"/>
      <c r="O516" s="767"/>
      <c r="P516" s="764" t="s">
        <v>40</v>
      </c>
      <c r="Q516" s="765"/>
      <c r="R516" s="765"/>
      <c r="S516" s="765"/>
      <c r="T516" s="765"/>
      <c r="U516" s="765"/>
      <c r="V516" s="766"/>
      <c r="W516" s="40" t="s">
        <v>0</v>
      </c>
      <c r="X516" s="41">
        <f>IFERROR(SUM(X514:X514),"0")</f>
        <v>0</v>
      </c>
      <c r="Y516" s="41">
        <f>IFERROR(SUM(Y514:Y514),"0")</f>
        <v>0</v>
      </c>
      <c r="Z516" s="40"/>
      <c r="AA516" s="64"/>
      <c r="AB516" s="64"/>
      <c r="AC516" s="64"/>
    </row>
    <row r="517" spans="1:68" ht="14.25" customHeight="1" x14ac:dyDescent="0.25">
      <c r="A517" s="768" t="s">
        <v>195</v>
      </c>
      <c r="B517" s="768"/>
      <c r="C517" s="768"/>
      <c r="D517" s="768"/>
      <c r="E517" s="768"/>
      <c r="F517" s="768"/>
      <c r="G517" s="768"/>
      <c r="H517" s="768"/>
      <c r="I517" s="768"/>
      <c r="J517" s="768"/>
      <c r="K517" s="768"/>
      <c r="L517" s="768"/>
      <c r="M517" s="768"/>
      <c r="N517" s="768"/>
      <c r="O517" s="768"/>
      <c r="P517" s="768"/>
      <c r="Q517" s="768"/>
      <c r="R517" s="768"/>
      <c r="S517" s="768"/>
      <c r="T517" s="768"/>
      <c r="U517" s="768"/>
      <c r="V517" s="768"/>
      <c r="W517" s="768"/>
      <c r="X517" s="768"/>
      <c r="Y517" s="768"/>
      <c r="Z517" s="768"/>
      <c r="AA517" s="63"/>
      <c r="AB517" s="63"/>
      <c r="AC517" s="63"/>
    </row>
    <row r="518" spans="1:68" ht="27" customHeight="1" x14ac:dyDescent="0.25">
      <c r="A518" s="60" t="s">
        <v>815</v>
      </c>
      <c r="B518" s="60" t="s">
        <v>816</v>
      </c>
      <c r="C518" s="34">
        <v>4301060412</v>
      </c>
      <c r="D518" s="769">
        <v>4680115885509</v>
      </c>
      <c r="E518" s="769"/>
      <c r="F518" s="59">
        <v>0.27</v>
      </c>
      <c r="G518" s="35">
        <v>6</v>
      </c>
      <c r="H518" s="59">
        <v>1.62</v>
      </c>
      <c r="I518" s="59">
        <v>1.8660000000000001</v>
      </c>
      <c r="J518" s="35">
        <v>182</v>
      </c>
      <c r="K518" s="35" t="s">
        <v>83</v>
      </c>
      <c r="L518" s="35" t="s">
        <v>45</v>
      </c>
      <c r="M518" s="36" t="s">
        <v>82</v>
      </c>
      <c r="N518" s="36"/>
      <c r="O518" s="35">
        <v>35</v>
      </c>
      <c r="P518" s="849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518" s="771"/>
      <c r="R518" s="771"/>
      <c r="S518" s="771"/>
      <c r="T518" s="772"/>
      <c r="U518" s="37" t="s">
        <v>45</v>
      </c>
      <c r="V518" s="37" t="s">
        <v>45</v>
      </c>
      <c r="W518" s="38" t="s">
        <v>0</v>
      </c>
      <c r="X518" s="56">
        <v>0</v>
      </c>
      <c r="Y518" s="53">
        <f>IFERROR(IF(X518="",0,CEILING((X518/$H518),1)*$H518),"")</f>
        <v>0</v>
      </c>
      <c r="Z518" s="39" t="str">
        <f>IFERROR(IF(Y518=0,"",ROUNDUP(Y518/H518,0)*0.00651),"")</f>
        <v/>
      </c>
      <c r="AA518" s="65" t="s">
        <v>45</v>
      </c>
      <c r="AB518" s="66" t="s">
        <v>45</v>
      </c>
      <c r="AC518" s="605" t="s">
        <v>817</v>
      </c>
      <c r="AG518" s="75"/>
      <c r="AJ518" s="79" t="s">
        <v>45</v>
      </c>
      <c r="AK518" s="79">
        <v>0</v>
      </c>
      <c r="BB518" s="606" t="s">
        <v>66</v>
      </c>
      <c r="BM518" s="75">
        <f>IFERROR(X518*I518/H518,"0")</f>
        <v>0</v>
      </c>
      <c r="BN518" s="75">
        <f>IFERROR(Y518*I518/H518,"0")</f>
        <v>0</v>
      </c>
      <c r="BO518" s="75">
        <f>IFERROR(1/J518*(X518/H518),"0")</f>
        <v>0</v>
      </c>
      <c r="BP518" s="75">
        <f>IFERROR(1/J518*(Y518/H518),"0")</f>
        <v>0</v>
      </c>
    </row>
    <row r="519" spans="1:68" x14ac:dyDescent="0.2">
      <c r="A519" s="759"/>
      <c r="B519" s="759"/>
      <c r="C519" s="759"/>
      <c r="D519" s="759"/>
      <c r="E519" s="759"/>
      <c r="F519" s="759"/>
      <c r="G519" s="759"/>
      <c r="H519" s="759"/>
      <c r="I519" s="759"/>
      <c r="J519" s="759"/>
      <c r="K519" s="759"/>
      <c r="L519" s="759"/>
      <c r="M519" s="759"/>
      <c r="N519" s="759"/>
      <c r="O519" s="767"/>
      <c r="P519" s="764" t="s">
        <v>40</v>
      </c>
      <c r="Q519" s="765"/>
      <c r="R519" s="765"/>
      <c r="S519" s="765"/>
      <c r="T519" s="765"/>
      <c r="U519" s="765"/>
      <c r="V519" s="766"/>
      <c r="W519" s="40" t="s">
        <v>39</v>
      </c>
      <c r="X519" s="41">
        <f>IFERROR(X518/H518,"0")</f>
        <v>0</v>
      </c>
      <c r="Y519" s="41">
        <f>IFERROR(Y518/H518,"0")</f>
        <v>0</v>
      </c>
      <c r="Z519" s="41">
        <f>IFERROR(IF(Z518="",0,Z518),"0")</f>
        <v>0</v>
      </c>
      <c r="AA519" s="64"/>
      <c r="AB519" s="64"/>
      <c r="AC519" s="64"/>
    </row>
    <row r="520" spans="1:68" x14ac:dyDescent="0.2">
      <c r="A520" s="759"/>
      <c r="B520" s="759"/>
      <c r="C520" s="759"/>
      <c r="D520" s="759"/>
      <c r="E520" s="759"/>
      <c r="F520" s="759"/>
      <c r="G520" s="759"/>
      <c r="H520" s="759"/>
      <c r="I520" s="759"/>
      <c r="J520" s="759"/>
      <c r="K520" s="759"/>
      <c r="L520" s="759"/>
      <c r="M520" s="759"/>
      <c r="N520" s="759"/>
      <c r="O520" s="767"/>
      <c r="P520" s="764" t="s">
        <v>40</v>
      </c>
      <c r="Q520" s="765"/>
      <c r="R520" s="765"/>
      <c r="S520" s="765"/>
      <c r="T520" s="765"/>
      <c r="U520" s="765"/>
      <c r="V520" s="766"/>
      <c r="W520" s="40" t="s">
        <v>0</v>
      </c>
      <c r="X520" s="41">
        <f>IFERROR(SUM(X518:X518),"0")</f>
        <v>0</v>
      </c>
      <c r="Y520" s="41">
        <f>IFERROR(SUM(Y518:Y518),"0")</f>
        <v>0</v>
      </c>
      <c r="Z520" s="40"/>
      <c r="AA520" s="64"/>
      <c r="AB520" s="64"/>
      <c r="AC520" s="64"/>
    </row>
    <row r="521" spans="1:68" ht="27.75" customHeight="1" x14ac:dyDescent="0.2">
      <c r="A521" s="809" t="s">
        <v>818</v>
      </c>
      <c r="B521" s="809"/>
      <c r="C521" s="809"/>
      <c r="D521" s="809"/>
      <c r="E521" s="809"/>
      <c r="F521" s="809"/>
      <c r="G521" s="809"/>
      <c r="H521" s="809"/>
      <c r="I521" s="809"/>
      <c r="J521" s="809"/>
      <c r="K521" s="809"/>
      <c r="L521" s="809"/>
      <c r="M521" s="809"/>
      <c r="N521" s="809"/>
      <c r="O521" s="809"/>
      <c r="P521" s="809"/>
      <c r="Q521" s="809"/>
      <c r="R521" s="809"/>
      <c r="S521" s="809"/>
      <c r="T521" s="809"/>
      <c r="U521" s="809"/>
      <c r="V521" s="809"/>
      <c r="W521" s="809"/>
      <c r="X521" s="809"/>
      <c r="Y521" s="809"/>
      <c r="Z521" s="809"/>
      <c r="AA521" s="52"/>
      <c r="AB521" s="52"/>
      <c r="AC521" s="52"/>
    </row>
    <row r="522" spans="1:68" ht="16.5" customHeight="1" x14ac:dyDescent="0.25">
      <c r="A522" s="776" t="s">
        <v>818</v>
      </c>
      <c r="B522" s="776"/>
      <c r="C522" s="776"/>
      <c r="D522" s="776"/>
      <c r="E522" s="776"/>
      <c r="F522" s="776"/>
      <c r="G522" s="776"/>
      <c r="H522" s="776"/>
      <c r="I522" s="776"/>
      <c r="J522" s="776"/>
      <c r="K522" s="776"/>
      <c r="L522" s="776"/>
      <c r="M522" s="776"/>
      <c r="N522" s="776"/>
      <c r="O522" s="776"/>
      <c r="P522" s="776"/>
      <c r="Q522" s="776"/>
      <c r="R522" s="776"/>
      <c r="S522" s="776"/>
      <c r="T522" s="776"/>
      <c r="U522" s="776"/>
      <c r="V522" s="776"/>
      <c r="W522" s="776"/>
      <c r="X522" s="776"/>
      <c r="Y522" s="776"/>
      <c r="Z522" s="776"/>
      <c r="AA522" s="62"/>
      <c r="AB522" s="62"/>
      <c r="AC522" s="62"/>
    </row>
    <row r="523" spans="1:68" ht="14.25" customHeight="1" x14ac:dyDescent="0.25">
      <c r="A523" s="768" t="s">
        <v>101</v>
      </c>
      <c r="B523" s="768"/>
      <c r="C523" s="768"/>
      <c r="D523" s="768"/>
      <c r="E523" s="768"/>
      <c r="F523" s="768"/>
      <c r="G523" s="768"/>
      <c r="H523" s="768"/>
      <c r="I523" s="768"/>
      <c r="J523" s="768"/>
      <c r="K523" s="768"/>
      <c r="L523" s="768"/>
      <c r="M523" s="768"/>
      <c r="N523" s="768"/>
      <c r="O523" s="768"/>
      <c r="P523" s="768"/>
      <c r="Q523" s="768"/>
      <c r="R523" s="768"/>
      <c r="S523" s="768"/>
      <c r="T523" s="768"/>
      <c r="U523" s="768"/>
      <c r="V523" s="768"/>
      <c r="W523" s="768"/>
      <c r="X523" s="768"/>
      <c r="Y523" s="768"/>
      <c r="Z523" s="768"/>
      <c r="AA523" s="63"/>
      <c r="AB523" s="63"/>
      <c r="AC523" s="63"/>
    </row>
    <row r="524" spans="1:68" ht="27" customHeight="1" x14ac:dyDescent="0.25">
      <c r="A524" s="60" t="s">
        <v>819</v>
      </c>
      <c r="B524" s="60" t="s">
        <v>820</v>
      </c>
      <c r="C524" s="34">
        <v>4301012125</v>
      </c>
      <c r="D524" s="769">
        <v>4680115886391</v>
      </c>
      <c r="E524" s="769"/>
      <c r="F524" s="59">
        <v>0.4</v>
      </c>
      <c r="G524" s="35">
        <v>6</v>
      </c>
      <c r="H524" s="59">
        <v>2.4</v>
      </c>
      <c r="I524" s="59">
        <v>2.58</v>
      </c>
      <c r="J524" s="35">
        <v>182</v>
      </c>
      <c r="K524" s="35" t="s">
        <v>83</v>
      </c>
      <c r="L524" s="35" t="s">
        <v>45</v>
      </c>
      <c r="M524" s="36" t="s">
        <v>106</v>
      </c>
      <c r="N524" s="36"/>
      <c r="O524" s="35">
        <v>60</v>
      </c>
      <c r="P524" s="840" t="s">
        <v>821</v>
      </c>
      <c r="Q524" s="771"/>
      <c r="R524" s="771"/>
      <c r="S524" s="771"/>
      <c r="T524" s="772"/>
      <c r="U524" s="37" t="s">
        <v>45</v>
      </c>
      <c r="V524" s="37" t="s">
        <v>45</v>
      </c>
      <c r="W524" s="38" t="s">
        <v>0</v>
      </c>
      <c r="X524" s="56">
        <v>0</v>
      </c>
      <c r="Y524" s="53">
        <f t="shared" ref="Y524:Y539" si="97">IFERROR(IF(X524="",0,CEILING((X524/$H524),1)*$H524),"")</f>
        <v>0</v>
      </c>
      <c r="Z524" s="39" t="str">
        <f>IFERROR(IF(Y524=0,"",ROUNDUP(Y524/H524,0)*0.00651),"")</f>
        <v/>
      </c>
      <c r="AA524" s="65" t="s">
        <v>45</v>
      </c>
      <c r="AB524" s="66" t="s">
        <v>822</v>
      </c>
      <c r="AC524" s="607" t="s">
        <v>105</v>
      </c>
      <c r="AG524" s="75"/>
      <c r="AJ524" s="79" t="s">
        <v>45</v>
      </c>
      <c r="AK524" s="79">
        <v>0</v>
      </c>
      <c r="BB524" s="608" t="s">
        <v>66</v>
      </c>
      <c r="BM524" s="75">
        <f t="shared" ref="BM524:BM539" si="98">IFERROR(X524*I524/H524,"0")</f>
        <v>0</v>
      </c>
      <c r="BN524" s="75">
        <f t="shared" ref="BN524:BN539" si="99">IFERROR(Y524*I524/H524,"0")</f>
        <v>0</v>
      </c>
      <c r="BO524" s="75">
        <f t="shared" ref="BO524:BO539" si="100">IFERROR(1/J524*(X524/H524),"0")</f>
        <v>0</v>
      </c>
      <c r="BP524" s="75">
        <f t="shared" ref="BP524:BP539" si="101">IFERROR(1/J524*(Y524/H524),"0")</f>
        <v>0</v>
      </c>
    </row>
    <row r="525" spans="1:68" ht="27" customHeight="1" x14ac:dyDescent="0.25">
      <c r="A525" s="60" t="s">
        <v>823</v>
      </c>
      <c r="B525" s="60" t="s">
        <v>824</v>
      </c>
      <c r="C525" s="34">
        <v>4301011795</v>
      </c>
      <c r="D525" s="769">
        <v>4607091389067</v>
      </c>
      <c r="E525" s="769"/>
      <c r="F525" s="59">
        <v>0.88</v>
      </c>
      <c r="G525" s="35">
        <v>6</v>
      </c>
      <c r="H525" s="59">
        <v>5.28</v>
      </c>
      <c r="I525" s="59">
        <v>5.64</v>
      </c>
      <c r="J525" s="35">
        <v>104</v>
      </c>
      <c r="K525" s="35" t="s">
        <v>107</v>
      </c>
      <c r="L525" s="35" t="s">
        <v>45</v>
      </c>
      <c r="M525" s="36" t="s">
        <v>110</v>
      </c>
      <c r="N525" s="36"/>
      <c r="O525" s="35">
        <v>60</v>
      </c>
      <c r="P525" s="84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525" s="771"/>
      <c r="R525" s="771"/>
      <c r="S525" s="771"/>
      <c r="T525" s="772"/>
      <c r="U525" s="37" t="s">
        <v>45</v>
      </c>
      <c r="V525" s="37" t="s">
        <v>45</v>
      </c>
      <c r="W525" s="38" t="s">
        <v>0</v>
      </c>
      <c r="X525" s="56">
        <v>0</v>
      </c>
      <c r="Y525" s="53">
        <f t="shared" si="97"/>
        <v>0</v>
      </c>
      <c r="Z525" s="39" t="str">
        <f t="shared" ref="Z525:Z530" si="102">IFERROR(IF(Y525=0,"",ROUNDUP(Y525/H525,0)*0.01196),"")</f>
        <v/>
      </c>
      <c r="AA525" s="65" t="s">
        <v>45</v>
      </c>
      <c r="AB525" s="66" t="s">
        <v>45</v>
      </c>
      <c r="AC525" s="609" t="s">
        <v>105</v>
      </c>
      <c r="AG525" s="75"/>
      <c r="AJ525" s="79" t="s">
        <v>45</v>
      </c>
      <c r="AK525" s="79">
        <v>0</v>
      </c>
      <c r="BB525" s="610" t="s">
        <v>66</v>
      </c>
      <c r="BM525" s="75">
        <f t="shared" si="98"/>
        <v>0</v>
      </c>
      <c r="BN525" s="75">
        <f t="shared" si="99"/>
        <v>0</v>
      </c>
      <c r="BO525" s="75">
        <f t="shared" si="100"/>
        <v>0</v>
      </c>
      <c r="BP525" s="75">
        <f t="shared" si="101"/>
        <v>0</v>
      </c>
    </row>
    <row r="526" spans="1:68" ht="27" customHeight="1" x14ac:dyDescent="0.25">
      <c r="A526" s="60" t="s">
        <v>825</v>
      </c>
      <c r="B526" s="60" t="s">
        <v>826</v>
      </c>
      <c r="C526" s="34">
        <v>4301011961</v>
      </c>
      <c r="D526" s="769">
        <v>4680115885271</v>
      </c>
      <c r="E526" s="769"/>
      <c r="F526" s="59">
        <v>0.88</v>
      </c>
      <c r="G526" s="35">
        <v>6</v>
      </c>
      <c r="H526" s="59">
        <v>5.28</v>
      </c>
      <c r="I526" s="59">
        <v>5.64</v>
      </c>
      <c r="J526" s="35">
        <v>104</v>
      </c>
      <c r="K526" s="35" t="s">
        <v>107</v>
      </c>
      <c r="L526" s="35" t="s">
        <v>45</v>
      </c>
      <c r="M526" s="36" t="s">
        <v>110</v>
      </c>
      <c r="N526" s="36"/>
      <c r="O526" s="35">
        <v>60</v>
      </c>
      <c r="P526" s="84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526" s="771"/>
      <c r="R526" s="771"/>
      <c r="S526" s="771"/>
      <c r="T526" s="772"/>
      <c r="U526" s="37" t="s">
        <v>45</v>
      </c>
      <c r="V526" s="37" t="s">
        <v>45</v>
      </c>
      <c r="W526" s="38" t="s">
        <v>0</v>
      </c>
      <c r="X526" s="56">
        <v>0</v>
      </c>
      <c r="Y526" s="53">
        <f t="shared" si="97"/>
        <v>0</v>
      </c>
      <c r="Z526" s="39" t="str">
        <f t="shared" si="102"/>
        <v/>
      </c>
      <c r="AA526" s="65" t="s">
        <v>45</v>
      </c>
      <c r="AB526" s="66" t="s">
        <v>45</v>
      </c>
      <c r="AC526" s="611" t="s">
        <v>827</v>
      </c>
      <c r="AG526" s="75"/>
      <c r="AJ526" s="79" t="s">
        <v>45</v>
      </c>
      <c r="AK526" s="79">
        <v>0</v>
      </c>
      <c r="BB526" s="612" t="s">
        <v>66</v>
      </c>
      <c r="BM526" s="75">
        <f t="shared" si="98"/>
        <v>0</v>
      </c>
      <c r="BN526" s="75">
        <f t="shared" si="99"/>
        <v>0</v>
      </c>
      <c r="BO526" s="75">
        <f t="shared" si="100"/>
        <v>0</v>
      </c>
      <c r="BP526" s="75">
        <f t="shared" si="101"/>
        <v>0</v>
      </c>
    </row>
    <row r="527" spans="1:68" ht="16.5" customHeight="1" x14ac:dyDescent="0.25">
      <c r="A527" s="60" t="s">
        <v>828</v>
      </c>
      <c r="B527" s="60" t="s">
        <v>829</v>
      </c>
      <c r="C527" s="34">
        <v>4301011774</v>
      </c>
      <c r="D527" s="769">
        <v>4680115884502</v>
      </c>
      <c r="E527" s="769"/>
      <c r="F527" s="59">
        <v>0.88</v>
      </c>
      <c r="G527" s="35">
        <v>6</v>
      </c>
      <c r="H527" s="59">
        <v>5.28</v>
      </c>
      <c r="I527" s="59">
        <v>5.64</v>
      </c>
      <c r="J527" s="35">
        <v>104</v>
      </c>
      <c r="K527" s="35" t="s">
        <v>107</v>
      </c>
      <c r="L527" s="35" t="s">
        <v>45</v>
      </c>
      <c r="M527" s="36" t="s">
        <v>110</v>
      </c>
      <c r="N527" s="36"/>
      <c r="O527" s="35">
        <v>60</v>
      </c>
      <c r="P527" s="843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527" s="771"/>
      <c r="R527" s="771"/>
      <c r="S527" s="771"/>
      <c r="T527" s="772"/>
      <c r="U527" s="37" t="s">
        <v>45</v>
      </c>
      <c r="V527" s="37" t="s">
        <v>45</v>
      </c>
      <c r="W527" s="38" t="s">
        <v>0</v>
      </c>
      <c r="X527" s="56">
        <v>0</v>
      </c>
      <c r="Y527" s="53">
        <f t="shared" si="97"/>
        <v>0</v>
      </c>
      <c r="Z527" s="39" t="str">
        <f t="shared" si="102"/>
        <v/>
      </c>
      <c r="AA527" s="65" t="s">
        <v>45</v>
      </c>
      <c r="AB527" s="66" t="s">
        <v>45</v>
      </c>
      <c r="AC527" s="613" t="s">
        <v>830</v>
      </c>
      <c r="AG527" s="75"/>
      <c r="AJ527" s="79" t="s">
        <v>45</v>
      </c>
      <c r="AK527" s="79">
        <v>0</v>
      </c>
      <c r="BB527" s="614" t="s">
        <v>66</v>
      </c>
      <c r="BM527" s="75">
        <f t="shared" si="98"/>
        <v>0</v>
      </c>
      <c r="BN527" s="75">
        <f t="shared" si="99"/>
        <v>0</v>
      </c>
      <c r="BO527" s="75">
        <f t="shared" si="100"/>
        <v>0</v>
      </c>
      <c r="BP527" s="75">
        <f t="shared" si="101"/>
        <v>0</v>
      </c>
    </row>
    <row r="528" spans="1:68" ht="27" customHeight="1" x14ac:dyDescent="0.25">
      <c r="A528" s="60" t="s">
        <v>831</v>
      </c>
      <c r="B528" s="60" t="s">
        <v>832</v>
      </c>
      <c r="C528" s="34">
        <v>4301011771</v>
      </c>
      <c r="D528" s="769">
        <v>4607091389104</v>
      </c>
      <c r="E528" s="769"/>
      <c r="F528" s="59">
        <v>0.88</v>
      </c>
      <c r="G528" s="35">
        <v>6</v>
      </c>
      <c r="H528" s="59">
        <v>5.28</v>
      </c>
      <c r="I528" s="59">
        <v>5.64</v>
      </c>
      <c r="J528" s="35">
        <v>104</v>
      </c>
      <c r="K528" s="35" t="s">
        <v>107</v>
      </c>
      <c r="L528" s="35" t="s">
        <v>45</v>
      </c>
      <c r="M528" s="36" t="s">
        <v>110</v>
      </c>
      <c r="N528" s="36"/>
      <c r="O528" s="35">
        <v>60</v>
      </c>
      <c r="P528" s="84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528" s="771"/>
      <c r="R528" s="771"/>
      <c r="S528" s="771"/>
      <c r="T528" s="772"/>
      <c r="U528" s="37" t="s">
        <v>45</v>
      </c>
      <c r="V528" s="37" t="s">
        <v>45</v>
      </c>
      <c r="W528" s="38" t="s">
        <v>0</v>
      </c>
      <c r="X528" s="56">
        <v>250</v>
      </c>
      <c r="Y528" s="53">
        <f t="shared" si="97"/>
        <v>253.44</v>
      </c>
      <c r="Z528" s="39">
        <f t="shared" si="102"/>
        <v>0.57408000000000003</v>
      </c>
      <c r="AA528" s="65" t="s">
        <v>45</v>
      </c>
      <c r="AB528" s="66" t="s">
        <v>45</v>
      </c>
      <c r="AC528" s="615" t="s">
        <v>833</v>
      </c>
      <c r="AG528" s="75"/>
      <c r="AJ528" s="79" t="s">
        <v>45</v>
      </c>
      <c r="AK528" s="79">
        <v>0</v>
      </c>
      <c r="BB528" s="616" t="s">
        <v>66</v>
      </c>
      <c r="BM528" s="75">
        <f t="shared" si="98"/>
        <v>267.04545454545456</v>
      </c>
      <c r="BN528" s="75">
        <f t="shared" si="99"/>
        <v>270.71999999999997</v>
      </c>
      <c r="BO528" s="75">
        <f t="shared" si="100"/>
        <v>0.45527389277389274</v>
      </c>
      <c r="BP528" s="75">
        <f t="shared" si="101"/>
        <v>0.46153846153846156</v>
      </c>
    </row>
    <row r="529" spans="1:68" ht="16.5" customHeight="1" x14ac:dyDescent="0.25">
      <c r="A529" s="60" t="s">
        <v>834</v>
      </c>
      <c r="B529" s="60" t="s">
        <v>835</v>
      </c>
      <c r="C529" s="34">
        <v>4301011799</v>
      </c>
      <c r="D529" s="769">
        <v>4680115884519</v>
      </c>
      <c r="E529" s="769"/>
      <c r="F529" s="59">
        <v>0.88</v>
      </c>
      <c r="G529" s="35">
        <v>6</v>
      </c>
      <c r="H529" s="59">
        <v>5.28</v>
      </c>
      <c r="I529" s="59">
        <v>5.64</v>
      </c>
      <c r="J529" s="35">
        <v>104</v>
      </c>
      <c r="K529" s="35" t="s">
        <v>107</v>
      </c>
      <c r="L529" s="35" t="s">
        <v>45</v>
      </c>
      <c r="M529" s="36" t="s">
        <v>106</v>
      </c>
      <c r="N529" s="36"/>
      <c r="O529" s="35">
        <v>60</v>
      </c>
      <c r="P529" s="845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529" s="771"/>
      <c r="R529" s="771"/>
      <c r="S529" s="771"/>
      <c r="T529" s="772"/>
      <c r="U529" s="37" t="s">
        <v>45</v>
      </c>
      <c r="V529" s="37" t="s">
        <v>45</v>
      </c>
      <c r="W529" s="38" t="s">
        <v>0</v>
      </c>
      <c r="X529" s="56">
        <v>0</v>
      </c>
      <c r="Y529" s="53">
        <f t="shared" si="97"/>
        <v>0</v>
      </c>
      <c r="Z529" s="39" t="str">
        <f t="shared" si="102"/>
        <v/>
      </c>
      <c r="AA529" s="65" t="s">
        <v>45</v>
      </c>
      <c r="AB529" s="66" t="s">
        <v>45</v>
      </c>
      <c r="AC529" s="617" t="s">
        <v>836</v>
      </c>
      <c r="AG529" s="75"/>
      <c r="AJ529" s="79" t="s">
        <v>45</v>
      </c>
      <c r="AK529" s="79">
        <v>0</v>
      </c>
      <c r="BB529" s="618" t="s">
        <v>66</v>
      </c>
      <c r="BM529" s="75">
        <f t="shared" si="98"/>
        <v>0</v>
      </c>
      <c r="BN529" s="75">
        <f t="shared" si="99"/>
        <v>0</v>
      </c>
      <c r="BO529" s="75">
        <f t="shared" si="100"/>
        <v>0</v>
      </c>
      <c r="BP529" s="75">
        <f t="shared" si="101"/>
        <v>0</v>
      </c>
    </row>
    <row r="530" spans="1:68" ht="27" customHeight="1" x14ac:dyDescent="0.25">
      <c r="A530" s="60" t="s">
        <v>837</v>
      </c>
      <c r="B530" s="60" t="s">
        <v>838</v>
      </c>
      <c r="C530" s="34">
        <v>4301011376</v>
      </c>
      <c r="D530" s="769">
        <v>4680115885226</v>
      </c>
      <c r="E530" s="769"/>
      <c r="F530" s="59">
        <v>0.88</v>
      </c>
      <c r="G530" s="35">
        <v>6</v>
      </c>
      <c r="H530" s="59">
        <v>5.28</v>
      </c>
      <c r="I530" s="59">
        <v>5.64</v>
      </c>
      <c r="J530" s="35">
        <v>104</v>
      </c>
      <c r="K530" s="35" t="s">
        <v>107</v>
      </c>
      <c r="L530" s="35" t="s">
        <v>45</v>
      </c>
      <c r="M530" s="36" t="s">
        <v>106</v>
      </c>
      <c r="N530" s="36"/>
      <c r="O530" s="35">
        <v>60</v>
      </c>
      <c r="P530" s="84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530" s="771"/>
      <c r="R530" s="771"/>
      <c r="S530" s="771"/>
      <c r="T530" s="772"/>
      <c r="U530" s="37" t="s">
        <v>45</v>
      </c>
      <c r="V530" s="37" t="s">
        <v>45</v>
      </c>
      <c r="W530" s="38" t="s">
        <v>0</v>
      </c>
      <c r="X530" s="56">
        <v>300</v>
      </c>
      <c r="Y530" s="53">
        <f t="shared" si="97"/>
        <v>300.96000000000004</v>
      </c>
      <c r="Z530" s="39">
        <f t="shared" si="102"/>
        <v>0.68171999999999999</v>
      </c>
      <c r="AA530" s="65" t="s">
        <v>45</v>
      </c>
      <c r="AB530" s="66" t="s">
        <v>45</v>
      </c>
      <c r="AC530" s="619" t="s">
        <v>839</v>
      </c>
      <c r="AG530" s="75"/>
      <c r="AJ530" s="79" t="s">
        <v>45</v>
      </c>
      <c r="AK530" s="79">
        <v>0</v>
      </c>
      <c r="BB530" s="620" t="s">
        <v>66</v>
      </c>
      <c r="BM530" s="75">
        <f t="shared" si="98"/>
        <v>320.45454545454544</v>
      </c>
      <c r="BN530" s="75">
        <f t="shared" si="99"/>
        <v>321.48</v>
      </c>
      <c r="BO530" s="75">
        <f t="shared" si="100"/>
        <v>0.54632867132867136</v>
      </c>
      <c r="BP530" s="75">
        <f t="shared" si="101"/>
        <v>0.54807692307692313</v>
      </c>
    </row>
    <row r="531" spans="1:68" ht="27" customHeight="1" x14ac:dyDescent="0.25">
      <c r="A531" s="60" t="s">
        <v>840</v>
      </c>
      <c r="B531" s="60" t="s">
        <v>841</v>
      </c>
      <c r="C531" s="34">
        <v>4301011778</v>
      </c>
      <c r="D531" s="769">
        <v>4680115880603</v>
      </c>
      <c r="E531" s="769"/>
      <c r="F531" s="59">
        <v>0.6</v>
      </c>
      <c r="G531" s="35">
        <v>6</v>
      </c>
      <c r="H531" s="59">
        <v>3.6</v>
      </c>
      <c r="I531" s="59">
        <v>3.81</v>
      </c>
      <c r="J531" s="35">
        <v>132</v>
      </c>
      <c r="K531" s="35" t="s">
        <v>116</v>
      </c>
      <c r="L531" s="35" t="s">
        <v>45</v>
      </c>
      <c r="M531" s="36" t="s">
        <v>110</v>
      </c>
      <c r="N531" s="36"/>
      <c r="O531" s="35">
        <v>60</v>
      </c>
      <c r="P531" s="84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531" s="771"/>
      <c r="R531" s="771"/>
      <c r="S531" s="771"/>
      <c r="T531" s="772"/>
      <c r="U531" s="37" t="s">
        <v>45</v>
      </c>
      <c r="V531" s="37" t="s">
        <v>45</v>
      </c>
      <c r="W531" s="38" t="s">
        <v>0</v>
      </c>
      <c r="X531" s="56">
        <v>0</v>
      </c>
      <c r="Y531" s="53">
        <f t="shared" si="97"/>
        <v>0</v>
      </c>
      <c r="Z531" s="39" t="str">
        <f>IFERROR(IF(Y531=0,"",ROUNDUP(Y531/H531,0)*0.00902),"")</f>
        <v/>
      </c>
      <c r="AA531" s="65" t="s">
        <v>45</v>
      </c>
      <c r="AB531" s="66" t="s">
        <v>45</v>
      </c>
      <c r="AC531" s="621" t="s">
        <v>105</v>
      </c>
      <c r="AG531" s="75"/>
      <c r="AJ531" s="79" t="s">
        <v>45</v>
      </c>
      <c r="AK531" s="79">
        <v>0</v>
      </c>
      <c r="BB531" s="622" t="s">
        <v>66</v>
      </c>
      <c r="BM531" s="75">
        <f t="shared" si="98"/>
        <v>0</v>
      </c>
      <c r="BN531" s="75">
        <f t="shared" si="99"/>
        <v>0</v>
      </c>
      <c r="BO531" s="75">
        <f t="shared" si="100"/>
        <v>0</v>
      </c>
      <c r="BP531" s="75">
        <f t="shared" si="101"/>
        <v>0</v>
      </c>
    </row>
    <row r="532" spans="1:68" ht="27" customHeight="1" x14ac:dyDescent="0.25">
      <c r="A532" s="60" t="s">
        <v>840</v>
      </c>
      <c r="B532" s="60" t="s">
        <v>842</v>
      </c>
      <c r="C532" s="34">
        <v>4301012035</v>
      </c>
      <c r="D532" s="769">
        <v>4680115880603</v>
      </c>
      <c r="E532" s="769"/>
      <c r="F532" s="59">
        <v>0.6</v>
      </c>
      <c r="G532" s="35">
        <v>8</v>
      </c>
      <c r="H532" s="59">
        <v>4.8</v>
      </c>
      <c r="I532" s="59">
        <v>6.96</v>
      </c>
      <c r="J532" s="35">
        <v>120</v>
      </c>
      <c r="K532" s="35" t="s">
        <v>116</v>
      </c>
      <c r="L532" s="35" t="s">
        <v>45</v>
      </c>
      <c r="M532" s="36" t="s">
        <v>110</v>
      </c>
      <c r="N532" s="36"/>
      <c r="O532" s="35">
        <v>60</v>
      </c>
      <c r="P532" s="832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532" s="771"/>
      <c r="R532" s="771"/>
      <c r="S532" s="771"/>
      <c r="T532" s="772"/>
      <c r="U532" s="37" t="s">
        <v>45</v>
      </c>
      <c r="V532" s="37" t="s">
        <v>45</v>
      </c>
      <c r="W532" s="38" t="s">
        <v>0</v>
      </c>
      <c r="X532" s="56">
        <v>0</v>
      </c>
      <c r="Y532" s="53">
        <f t="shared" si="97"/>
        <v>0</v>
      </c>
      <c r="Z532" s="39" t="str">
        <f>IFERROR(IF(Y532=0,"",ROUNDUP(Y532/H532,0)*0.00937),"")</f>
        <v/>
      </c>
      <c r="AA532" s="65" t="s">
        <v>45</v>
      </c>
      <c r="AB532" s="66" t="s">
        <v>45</v>
      </c>
      <c r="AC532" s="623" t="s">
        <v>105</v>
      </c>
      <c r="AG532" s="75"/>
      <c r="AJ532" s="79" t="s">
        <v>45</v>
      </c>
      <c r="AK532" s="79">
        <v>0</v>
      </c>
      <c r="BB532" s="624" t="s">
        <v>66</v>
      </c>
      <c r="BM532" s="75">
        <f t="shared" si="98"/>
        <v>0</v>
      </c>
      <c r="BN532" s="75">
        <f t="shared" si="99"/>
        <v>0</v>
      </c>
      <c r="BO532" s="75">
        <f t="shared" si="100"/>
        <v>0</v>
      </c>
      <c r="BP532" s="75">
        <f t="shared" si="101"/>
        <v>0</v>
      </c>
    </row>
    <row r="533" spans="1:68" ht="27" customHeight="1" x14ac:dyDescent="0.25">
      <c r="A533" s="60" t="s">
        <v>843</v>
      </c>
      <c r="B533" s="60" t="s">
        <v>844</v>
      </c>
      <c r="C533" s="34">
        <v>4301012036</v>
      </c>
      <c r="D533" s="769">
        <v>4680115882782</v>
      </c>
      <c r="E533" s="769"/>
      <c r="F533" s="59">
        <v>0.6</v>
      </c>
      <c r="G533" s="35">
        <v>8</v>
      </c>
      <c r="H533" s="59">
        <v>4.8</v>
      </c>
      <c r="I533" s="59">
        <v>6.96</v>
      </c>
      <c r="J533" s="35">
        <v>120</v>
      </c>
      <c r="K533" s="35" t="s">
        <v>116</v>
      </c>
      <c r="L533" s="35" t="s">
        <v>45</v>
      </c>
      <c r="M533" s="36" t="s">
        <v>110</v>
      </c>
      <c r="N533" s="36"/>
      <c r="O533" s="35">
        <v>60</v>
      </c>
      <c r="P533" s="833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533" s="771"/>
      <c r="R533" s="771"/>
      <c r="S533" s="771"/>
      <c r="T533" s="772"/>
      <c r="U533" s="37" t="s">
        <v>45</v>
      </c>
      <c r="V533" s="37" t="s">
        <v>45</v>
      </c>
      <c r="W533" s="38" t="s">
        <v>0</v>
      </c>
      <c r="X533" s="56">
        <v>0</v>
      </c>
      <c r="Y533" s="53">
        <f t="shared" si="97"/>
        <v>0</v>
      </c>
      <c r="Z533" s="39" t="str">
        <f>IFERROR(IF(Y533=0,"",ROUNDUP(Y533/H533,0)*0.00937),"")</f>
        <v/>
      </c>
      <c r="AA533" s="65" t="s">
        <v>45</v>
      </c>
      <c r="AB533" s="66" t="s">
        <v>45</v>
      </c>
      <c r="AC533" s="625" t="s">
        <v>827</v>
      </c>
      <c r="AG533" s="75"/>
      <c r="AJ533" s="79" t="s">
        <v>45</v>
      </c>
      <c r="AK533" s="79">
        <v>0</v>
      </c>
      <c r="BB533" s="626" t="s">
        <v>66</v>
      </c>
      <c r="BM533" s="75">
        <f t="shared" si="98"/>
        <v>0</v>
      </c>
      <c r="BN533" s="75">
        <f t="shared" si="99"/>
        <v>0</v>
      </c>
      <c r="BO533" s="75">
        <f t="shared" si="100"/>
        <v>0</v>
      </c>
      <c r="BP533" s="75">
        <f t="shared" si="101"/>
        <v>0</v>
      </c>
    </row>
    <row r="534" spans="1:68" ht="27" customHeight="1" x14ac:dyDescent="0.25">
      <c r="A534" s="60" t="s">
        <v>845</v>
      </c>
      <c r="B534" s="60" t="s">
        <v>846</v>
      </c>
      <c r="C534" s="34">
        <v>4301012050</v>
      </c>
      <c r="D534" s="769">
        <v>4680115885479</v>
      </c>
      <c r="E534" s="769"/>
      <c r="F534" s="59">
        <v>0.4</v>
      </c>
      <c r="G534" s="35">
        <v>6</v>
      </c>
      <c r="H534" s="59">
        <v>2.4</v>
      </c>
      <c r="I534" s="59">
        <v>2.58</v>
      </c>
      <c r="J534" s="35">
        <v>182</v>
      </c>
      <c r="K534" s="35" t="s">
        <v>83</v>
      </c>
      <c r="L534" s="35" t="s">
        <v>45</v>
      </c>
      <c r="M534" s="36" t="s">
        <v>110</v>
      </c>
      <c r="N534" s="36"/>
      <c r="O534" s="35">
        <v>60</v>
      </c>
      <c r="P534" s="834" t="s">
        <v>847</v>
      </c>
      <c r="Q534" s="771"/>
      <c r="R534" s="771"/>
      <c r="S534" s="771"/>
      <c r="T534" s="772"/>
      <c r="U534" s="37" t="s">
        <v>45</v>
      </c>
      <c r="V534" s="37" t="s">
        <v>45</v>
      </c>
      <c r="W534" s="38" t="s">
        <v>0</v>
      </c>
      <c r="X534" s="56">
        <v>0</v>
      </c>
      <c r="Y534" s="53">
        <f t="shared" si="97"/>
        <v>0</v>
      </c>
      <c r="Z534" s="39" t="str">
        <f>IFERROR(IF(Y534=0,"",ROUNDUP(Y534/H534,0)*0.00651),"")</f>
        <v/>
      </c>
      <c r="AA534" s="65" t="s">
        <v>45</v>
      </c>
      <c r="AB534" s="66" t="s">
        <v>45</v>
      </c>
      <c r="AC534" s="627" t="s">
        <v>848</v>
      </c>
      <c r="AG534" s="75"/>
      <c r="AJ534" s="79" t="s">
        <v>45</v>
      </c>
      <c r="AK534" s="79">
        <v>0</v>
      </c>
      <c r="BB534" s="628" t="s">
        <v>66</v>
      </c>
      <c r="BM534" s="75">
        <f t="shared" si="98"/>
        <v>0</v>
      </c>
      <c r="BN534" s="75">
        <f t="shared" si="99"/>
        <v>0</v>
      </c>
      <c r="BO534" s="75">
        <f t="shared" si="100"/>
        <v>0</v>
      </c>
      <c r="BP534" s="75">
        <f t="shared" si="101"/>
        <v>0</v>
      </c>
    </row>
    <row r="535" spans="1:68" ht="27" customHeight="1" x14ac:dyDescent="0.25">
      <c r="A535" s="60" t="s">
        <v>849</v>
      </c>
      <c r="B535" s="60" t="s">
        <v>850</v>
      </c>
      <c r="C535" s="34">
        <v>4301011784</v>
      </c>
      <c r="D535" s="769">
        <v>4607091389982</v>
      </c>
      <c r="E535" s="769"/>
      <c r="F535" s="59">
        <v>0.6</v>
      </c>
      <c r="G535" s="35">
        <v>6</v>
      </c>
      <c r="H535" s="59">
        <v>3.6</v>
      </c>
      <c r="I535" s="59">
        <v>3.81</v>
      </c>
      <c r="J535" s="35">
        <v>132</v>
      </c>
      <c r="K535" s="35" t="s">
        <v>116</v>
      </c>
      <c r="L535" s="35" t="s">
        <v>45</v>
      </c>
      <c r="M535" s="36" t="s">
        <v>110</v>
      </c>
      <c r="N535" s="36"/>
      <c r="O535" s="35">
        <v>60</v>
      </c>
      <c r="P535" s="83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5" s="771"/>
      <c r="R535" s="771"/>
      <c r="S535" s="771"/>
      <c r="T535" s="772"/>
      <c r="U535" s="37" t="s">
        <v>45</v>
      </c>
      <c r="V535" s="37" t="s">
        <v>45</v>
      </c>
      <c r="W535" s="38" t="s">
        <v>0</v>
      </c>
      <c r="X535" s="56">
        <v>0</v>
      </c>
      <c r="Y535" s="53">
        <f t="shared" si="97"/>
        <v>0</v>
      </c>
      <c r="Z535" s="39" t="str">
        <f>IFERROR(IF(Y535=0,"",ROUNDUP(Y535/H535,0)*0.00902),"")</f>
        <v/>
      </c>
      <c r="AA535" s="65" t="s">
        <v>45</v>
      </c>
      <c r="AB535" s="66" t="s">
        <v>45</v>
      </c>
      <c r="AC535" s="629" t="s">
        <v>833</v>
      </c>
      <c r="AG535" s="75"/>
      <c r="AJ535" s="79" t="s">
        <v>45</v>
      </c>
      <c r="AK535" s="79">
        <v>0</v>
      </c>
      <c r="BB535" s="630" t="s">
        <v>66</v>
      </c>
      <c r="BM535" s="75">
        <f t="shared" si="98"/>
        <v>0</v>
      </c>
      <c r="BN535" s="75">
        <f t="shared" si="99"/>
        <v>0</v>
      </c>
      <c r="BO535" s="75">
        <f t="shared" si="100"/>
        <v>0</v>
      </c>
      <c r="BP535" s="75">
        <f t="shared" si="101"/>
        <v>0</v>
      </c>
    </row>
    <row r="536" spans="1:68" ht="27" customHeight="1" x14ac:dyDescent="0.25">
      <c r="A536" s="60" t="s">
        <v>849</v>
      </c>
      <c r="B536" s="60" t="s">
        <v>851</v>
      </c>
      <c r="C536" s="34">
        <v>4301012034</v>
      </c>
      <c r="D536" s="769">
        <v>4607091389982</v>
      </c>
      <c r="E536" s="769"/>
      <c r="F536" s="59">
        <v>0.6</v>
      </c>
      <c r="G536" s="35">
        <v>8</v>
      </c>
      <c r="H536" s="59">
        <v>4.8</v>
      </c>
      <c r="I536" s="59">
        <v>6.96</v>
      </c>
      <c r="J536" s="35">
        <v>120</v>
      </c>
      <c r="K536" s="35" t="s">
        <v>116</v>
      </c>
      <c r="L536" s="35" t="s">
        <v>45</v>
      </c>
      <c r="M536" s="36" t="s">
        <v>110</v>
      </c>
      <c r="N536" s="36"/>
      <c r="O536" s="35">
        <v>60</v>
      </c>
      <c r="P536" s="83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536" s="771"/>
      <c r="R536" s="771"/>
      <c r="S536" s="771"/>
      <c r="T536" s="772"/>
      <c r="U536" s="37" t="s">
        <v>45</v>
      </c>
      <c r="V536" s="37" t="s">
        <v>45</v>
      </c>
      <c r="W536" s="38" t="s">
        <v>0</v>
      </c>
      <c r="X536" s="56">
        <v>0</v>
      </c>
      <c r="Y536" s="53">
        <f t="shared" si="97"/>
        <v>0</v>
      </c>
      <c r="Z536" s="39" t="str">
        <f>IFERROR(IF(Y536=0,"",ROUNDUP(Y536/H536,0)*0.00937),"")</f>
        <v/>
      </c>
      <c r="AA536" s="65" t="s">
        <v>45</v>
      </c>
      <c r="AB536" s="66" t="s">
        <v>45</v>
      </c>
      <c r="AC536" s="631" t="s">
        <v>833</v>
      </c>
      <c r="AG536" s="75"/>
      <c r="AJ536" s="79" t="s">
        <v>45</v>
      </c>
      <c r="AK536" s="79">
        <v>0</v>
      </c>
      <c r="BB536" s="632" t="s">
        <v>66</v>
      </c>
      <c r="BM536" s="75">
        <f t="shared" si="98"/>
        <v>0</v>
      </c>
      <c r="BN536" s="75">
        <f t="shared" si="99"/>
        <v>0</v>
      </c>
      <c r="BO536" s="75">
        <f t="shared" si="100"/>
        <v>0</v>
      </c>
      <c r="BP536" s="75">
        <f t="shared" si="101"/>
        <v>0</v>
      </c>
    </row>
    <row r="537" spans="1:68" ht="27" customHeight="1" x14ac:dyDescent="0.25">
      <c r="A537" s="60" t="s">
        <v>852</v>
      </c>
      <c r="B537" s="60" t="s">
        <v>853</v>
      </c>
      <c r="C537" s="34">
        <v>4301012057</v>
      </c>
      <c r="D537" s="769">
        <v>4680115886483</v>
      </c>
      <c r="E537" s="769"/>
      <c r="F537" s="59">
        <v>0.55000000000000004</v>
      </c>
      <c r="G537" s="35">
        <v>8</v>
      </c>
      <c r="H537" s="59">
        <v>4.4000000000000004</v>
      </c>
      <c r="I537" s="59">
        <v>4.6100000000000003</v>
      </c>
      <c r="J537" s="35">
        <v>132</v>
      </c>
      <c r="K537" s="35" t="s">
        <v>116</v>
      </c>
      <c r="L537" s="35" t="s">
        <v>45</v>
      </c>
      <c r="M537" s="36" t="s">
        <v>110</v>
      </c>
      <c r="N537" s="36"/>
      <c r="O537" s="35">
        <v>60</v>
      </c>
      <c r="P537" s="837" t="s">
        <v>854</v>
      </c>
      <c r="Q537" s="771"/>
      <c r="R537" s="771"/>
      <c r="S537" s="771"/>
      <c r="T537" s="772"/>
      <c r="U537" s="37" t="s">
        <v>45</v>
      </c>
      <c r="V537" s="37" t="s">
        <v>45</v>
      </c>
      <c r="W537" s="38" t="s">
        <v>0</v>
      </c>
      <c r="X537" s="56">
        <v>0</v>
      </c>
      <c r="Y537" s="53">
        <f t="shared" si="97"/>
        <v>0</v>
      </c>
      <c r="Z537" s="39" t="str">
        <f>IFERROR(IF(Y537=0,"",ROUNDUP(Y537/H537,0)*0.00902),"")</f>
        <v/>
      </c>
      <c r="AA537" s="65" t="s">
        <v>45</v>
      </c>
      <c r="AB537" s="66" t="s">
        <v>45</v>
      </c>
      <c r="AC537" s="633" t="s">
        <v>830</v>
      </c>
      <c r="AG537" s="75"/>
      <c r="AJ537" s="79" t="s">
        <v>45</v>
      </c>
      <c r="AK537" s="79">
        <v>0</v>
      </c>
      <c r="BB537" s="634" t="s">
        <v>66</v>
      </c>
      <c r="BM537" s="75">
        <f t="shared" si="98"/>
        <v>0</v>
      </c>
      <c r="BN537" s="75">
        <f t="shared" si="99"/>
        <v>0</v>
      </c>
      <c r="BO537" s="75">
        <f t="shared" si="100"/>
        <v>0</v>
      </c>
      <c r="BP537" s="75">
        <f t="shared" si="101"/>
        <v>0</v>
      </c>
    </row>
    <row r="538" spans="1:68" ht="27" customHeight="1" x14ac:dyDescent="0.25">
      <c r="A538" s="60" t="s">
        <v>855</v>
      </c>
      <c r="B538" s="60" t="s">
        <v>856</v>
      </c>
      <c r="C538" s="34">
        <v>4301012058</v>
      </c>
      <c r="D538" s="769">
        <v>4680115886490</v>
      </c>
      <c r="E538" s="769"/>
      <c r="F538" s="59">
        <v>0.55000000000000004</v>
      </c>
      <c r="G538" s="35">
        <v>8</v>
      </c>
      <c r="H538" s="59">
        <v>4.4000000000000004</v>
      </c>
      <c r="I538" s="59">
        <v>4.6100000000000003</v>
      </c>
      <c r="J538" s="35">
        <v>132</v>
      </c>
      <c r="K538" s="35" t="s">
        <v>116</v>
      </c>
      <c r="L538" s="35" t="s">
        <v>45</v>
      </c>
      <c r="M538" s="36" t="s">
        <v>110</v>
      </c>
      <c r="N538" s="36"/>
      <c r="O538" s="35">
        <v>60</v>
      </c>
      <c r="P538" s="838" t="s">
        <v>857</v>
      </c>
      <c r="Q538" s="771"/>
      <c r="R538" s="771"/>
      <c r="S538" s="771"/>
      <c r="T538" s="772"/>
      <c r="U538" s="37" t="s">
        <v>45</v>
      </c>
      <c r="V538" s="37" t="s">
        <v>45</v>
      </c>
      <c r="W538" s="38" t="s">
        <v>0</v>
      </c>
      <c r="X538" s="56">
        <v>0</v>
      </c>
      <c r="Y538" s="53">
        <f t="shared" si="97"/>
        <v>0</v>
      </c>
      <c r="Z538" s="39" t="str">
        <f>IFERROR(IF(Y538=0,"",ROUNDUP(Y538/H538,0)*0.00902),"")</f>
        <v/>
      </c>
      <c r="AA538" s="65" t="s">
        <v>45</v>
      </c>
      <c r="AB538" s="66" t="s">
        <v>45</v>
      </c>
      <c r="AC538" s="635" t="s">
        <v>836</v>
      </c>
      <c r="AG538" s="75"/>
      <c r="AJ538" s="79" t="s">
        <v>45</v>
      </c>
      <c r="AK538" s="79">
        <v>0</v>
      </c>
      <c r="BB538" s="636" t="s">
        <v>66</v>
      </c>
      <c r="BM538" s="75">
        <f t="shared" si="98"/>
        <v>0</v>
      </c>
      <c r="BN538" s="75">
        <f t="shared" si="99"/>
        <v>0</v>
      </c>
      <c r="BO538" s="75">
        <f t="shared" si="100"/>
        <v>0</v>
      </c>
      <c r="BP538" s="75">
        <f t="shared" si="101"/>
        <v>0</v>
      </c>
    </row>
    <row r="539" spans="1:68" ht="27" customHeight="1" x14ac:dyDescent="0.25">
      <c r="A539" s="60" t="s">
        <v>858</v>
      </c>
      <c r="B539" s="60" t="s">
        <v>859</v>
      </c>
      <c r="C539" s="34">
        <v>4301012055</v>
      </c>
      <c r="D539" s="769">
        <v>4680115886469</v>
      </c>
      <c r="E539" s="769"/>
      <c r="F539" s="59">
        <v>0.55000000000000004</v>
      </c>
      <c r="G539" s="35">
        <v>8</v>
      </c>
      <c r="H539" s="59">
        <v>4.4000000000000004</v>
      </c>
      <c r="I539" s="59">
        <v>4.6100000000000003</v>
      </c>
      <c r="J539" s="35">
        <v>132</v>
      </c>
      <c r="K539" s="35" t="s">
        <v>116</v>
      </c>
      <c r="L539" s="35" t="s">
        <v>45</v>
      </c>
      <c r="M539" s="36" t="s">
        <v>110</v>
      </c>
      <c r="N539" s="36"/>
      <c r="O539" s="35">
        <v>60</v>
      </c>
      <c r="P539" s="839" t="s">
        <v>860</v>
      </c>
      <c r="Q539" s="771"/>
      <c r="R539" s="771"/>
      <c r="S539" s="771"/>
      <c r="T539" s="772"/>
      <c r="U539" s="37" t="s">
        <v>45</v>
      </c>
      <c r="V539" s="37" t="s">
        <v>45</v>
      </c>
      <c r="W539" s="38" t="s">
        <v>0</v>
      </c>
      <c r="X539" s="56">
        <v>0</v>
      </c>
      <c r="Y539" s="53">
        <f t="shared" si="97"/>
        <v>0</v>
      </c>
      <c r="Z539" s="39" t="str">
        <f>IFERROR(IF(Y539=0,"",ROUNDUP(Y539/H539,0)*0.00902),"")</f>
        <v/>
      </c>
      <c r="AA539" s="65" t="s">
        <v>45</v>
      </c>
      <c r="AB539" s="66" t="s">
        <v>45</v>
      </c>
      <c r="AC539" s="637" t="s">
        <v>839</v>
      </c>
      <c r="AG539" s="75"/>
      <c r="AJ539" s="79" t="s">
        <v>45</v>
      </c>
      <c r="AK539" s="79">
        <v>0</v>
      </c>
      <c r="BB539" s="638" t="s">
        <v>66</v>
      </c>
      <c r="BM539" s="75">
        <f t="shared" si="98"/>
        <v>0</v>
      </c>
      <c r="BN539" s="75">
        <f t="shared" si="99"/>
        <v>0</v>
      </c>
      <c r="BO539" s="75">
        <f t="shared" si="100"/>
        <v>0</v>
      </c>
      <c r="BP539" s="75">
        <f t="shared" si="101"/>
        <v>0</v>
      </c>
    </row>
    <row r="540" spans="1:68" x14ac:dyDescent="0.2">
      <c r="A540" s="759"/>
      <c r="B540" s="759"/>
      <c r="C540" s="759"/>
      <c r="D540" s="759"/>
      <c r="E540" s="759"/>
      <c r="F540" s="759"/>
      <c r="G540" s="759"/>
      <c r="H540" s="759"/>
      <c r="I540" s="759"/>
      <c r="J540" s="759"/>
      <c r="K540" s="759"/>
      <c r="L540" s="759"/>
      <c r="M540" s="759"/>
      <c r="N540" s="759"/>
      <c r="O540" s="767"/>
      <c r="P540" s="764" t="s">
        <v>40</v>
      </c>
      <c r="Q540" s="765"/>
      <c r="R540" s="765"/>
      <c r="S540" s="765"/>
      <c r="T540" s="765"/>
      <c r="U540" s="765"/>
      <c r="V540" s="766"/>
      <c r="W540" s="40" t="s">
        <v>39</v>
      </c>
      <c r="X540" s="41">
        <f>IFERROR(X524/H524,"0")+IFERROR(X525/H525,"0")+IFERROR(X526/H526,"0")+IFERROR(X527/H527,"0")+IFERROR(X528/H528,"0")+IFERROR(X529/H529,"0")+IFERROR(X530/H530,"0")+IFERROR(X531/H531,"0")+IFERROR(X532/H532,"0")+IFERROR(X533/H533,"0")+IFERROR(X534/H534,"0")+IFERROR(X535/H535,"0")+IFERROR(X536/H536,"0")+IFERROR(X537/H537,"0")+IFERROR(X538/H538,"0")+IFERROR(X539/H539,"0")</f>
        <v>104.16666666666666</v>
      </c>
      <c r="Y540" s="41">
        <f>IFERROR(Y524/H524,"0")+IFERROR(Y525/H525,"0")+IFERROR(Y526/H526,"0")+IFERROR(Y527/H527,"0")+IFERROR(Y528/H528,"0")+IFERROR(Y529/H529,"0")+IFERROR(Y530/H530,"0")+IFERROR(Y531/H531,"0")+IFERROR(Y532/H532,"0")+IFERROR(Y533/H533,"0")+IFERROR(Y534/H534,"0")+IFERROR(Y535/H535,"0")+IFERROR(Y536/H536,"0")+IFERROR(Y537/H537,"0")+IFERROR(Y538/H538,"0")+IFERROR(Y539/H539,"0")</f>
        <v>105</v>
      </c>
      <c r="Z540" s="41">
        <f>IFERROR(IF(Z524="",0,Z524),"0")+IFERROR(IF(Z525="",0,Z525),"0")+IFERROR(IF(Z526="",0,Z526),"0")+IFERROR(IF(Z527="",0,Z527),"0")+IFERROR(IF(Z528="",0,Z528),"0")+IFERROR(IF(Z529="",0,Z529),"0")+IFERROR(IF(Z530="",0,Z530),"0")+IFERROR(IF(Z531="",0,Z531),"0")+IFERROR(IF(Z532="",0,Z532),"0")+IFERROR(IF(Z533="",0,Z533),"0")+IFERROR(IF(Z534="",0,Z534),"0")+IFERROR(IF(Z535="",0,Z535),"0")+IFERROR(IF(Z536="",0,Z536),"0")+IFERROR(IF(Z537="",0,Z537),"0")+IFERROR(IF(Z538="",0,Z538),"0")+IFERROR(IF(Z539="",0,Z539),"0")</f>
        <v>1.2558</v>
      </c>
      <c r="AA540" s="64"/>
      <c r="AB540" s="64"/>
      <c r="AC540" s="64"/>
    </row>
    <row r="541" spans="1:68" x14ac:dyDescent="0.2">
      <c r="A541" s="759"/>
      <c r="B541" s="759"/>
      <c r="C541" s="759"/>
      <c r="D541" s="759"/>
      <c r="E541" s="759"/>
      <c r="F541" s="759"/>
      <c r="G541" s="759"/>
      <c r="H541" s="759"/>
      <c r="I541" s="759"/>
      <c r="J541" s="759"/>
      <c r="K541" s="759"/>
      <c r="L541" s="759"/>
      <c r="M541" s="759"/>
      <c r="N541" s="759"/>
      <c r="O541" s="767"/>
      <c r="P541" s="764" t="s">
        <v>40</v>
      </c>
      <c r="Q541" s="765"/>
      <c r="R541" s="765"/>
      <c r="S541" s="765"/>
      <c r="T541" s="765"/>
      <c r="U541" s="765"/>
      <c r="V541" s="766"/>
      <c r="W541" s="40" t="s">
        <v>0</v>
      </c>
      <c r="X541" s="41">
        <f>IFERROR(SUM(X524:X539),"0")</f>
        <v>550</v>
      </c>
      <c r="Y541" s="41">
        <f>IFERROR(SUM(Y524:Y539),"0")</f>
        <v>554.40000000000009</v>
      </c>
      <c r="Z541" s="40"/>
      <c r="AA541" s="64"/>
      <c r="AB541" s="64"/>
      <c r="AC541" s="64"/>
    </row>
    <row r="542" spans="1:68" ht="14.25" customHeight="1" x14ac:dyDescent="0.25">
      <c r="A542" s="768" t="s">
        <v>153</v>
      </c>
      <c r="B542" s="768"/>
      <c r="C542" s="768"/>
      <c r="D542" s="768"/>
      <c r="E542" s="768"/>
      <c r="F542" s="768"/>
      <c r="G542" s="768"/>
      <c r="H542" s="768"/>
      <c r="I542" s="768"/>
      <c r="J542" s="768"/>
      <c r="K542" s="768"/>
      <c r="L542" s="768"/>
      <c r="M542" s="768"/>
      <c r="N542" s="768"/>
      <c r="O542" s="768"/>
      <c r="P542" s="768"/>
      <c r="Q542" s="768"/>
      <c r="R542" s="768"/>
      <c r="S542" s="768"/>
      <c r="T542" s="768"/>
      <c r="U542" s="768"/>
      <c r="V542" s="768"/>
      <c r="W542" s="768"/>
      <c r="X542" s="768"/>
      <c r="Y542" s="768"/>
      <c r="Z542" s="768"/>
      <c r="AA542" s="63"/>
      <c r="AB542" s="63"/>
      <c r="AC542" s="63"/>
    </row>
    <row r="543" spans="1:68" ht="16.5" customHeight="1" x14ac:dyDescent="0.25">
      <c r="A543" s="60" t="s">
        <v>861</v>
      </c>
      <c r="B543" s="60" t="s">
        <v>862</v>
      </c>
      <c r="C543" s="34">
        <v>4301020384</v>
      </c>
      <c r="D543" s="769">
        <v>4680115886407</v>
      </c>
      <c r="E543" s="769"/>
      <c r="F543" s="59">
        <v>0.4</v>
      </c>
      <c r="G543" s="35">
        <v>6</v>
      </c>
      <c r="H543" s="59">
        <v>2.4</v>
      </c>
      <c r="I543" s="59">
        <v>2.58</v>
      </c>
      <c r="J543" s="35">
        <v>182</v>
      </c>
      <c r="K543" s="35" t="s">
        <v>83</v>
      </c>
      <c r="L543" s="35" t="s">
        <v>45</v>
      </c>
      <c r="M543" s="36" t="s">
        <v>106</v>
      </c>
      <c r="N543" s="36"/>
      <c r="O543" s="35">
        <v>70</v>
      </c>
      <c r="P543" s="826" t="s">
        <v>863</v>
      </c>
      <c r="Q543" s="771"/>
      <c r="R543" s="771"/>
      <c r="S543" s="771"/>
      <c r="T543" s="772"/>
      <c r="U543" s="37" t="s">
        <v>45</v>
      </c>
      <c r="V543" s="37" t="s">
        <v>45</v>
      </c>
      <c r="W543" s="38" t="s">
        <v>0</v>
      </c>
      <c r="X543" s="56">
        <v>0</v>
      </c>
      <c r="Y543" s="53">
        <f>IFERROR(IF(X543="",0,CEILING((X543/$H543),1)*$H543),"")</f>
        <v>0</v>
      </c>
      <c r="Z543" s="39" t="str">
        <f>IFERROR(IF(Y543=0,"",ROUNDUP(Y543/H543,0)*0.00651),"")</f>
        <v/>
      </c>
      <c r="AA543" s="65" t="s">
        <v>45</v>
      </c>
      <c r="AB543" s="66" t="s">
        <v>822</v>
      </c>
      <c r="AC543" s="639" t="s">
        <v>864</v>
      </c>
      <c r="AG543" s="75"/>
      <c r="AJ543" s="79" t="s">
        <v>45</v>
      </c>
      <c r="AK543" s="79">
        <v>0</v>
      </c>
      <c r="BB543" s="640" t="s">
        <v>66</v>
      </c>
      <c r="BM543" s="75">
        <f>IFERROR(X543*I543/H543,"0")</f>
        <v>0</v>
      </c>
      <c r="BN543" s="75">
        <f>IFERROR(Y543*I543/H543,"0")</f>
        <v>0</v>
      </c>
      <c r="BO543" s="75">
        <f>IFERROR(1/J543*(X543/H543),"0")</f>
        <v>0</v>
      </c>
      <c r="BP543" s="75">
        <f>IFERROR(1/J543*(Y543/H543),"0")</f>
        <v>0</v>
      </c>
    </row>
    <row r="544" spans="1:68" ht="16.5" customHeight="1" x14ac:dyDescent="0.25">
      <c r="A544" s="60" t="s">
        <v>865</v>
      </c>
      <c r="B544" s="60" t="s">
        <v>866</v>
      </c>
      <c r="C544" s="34">
        <v>4301020222</v>
      </c>
      <c r="D544" s="769">
        <v>4607091388930</v>
      </c>
      <c r="E544" s="769"/>
      <c r="F544" s="59">
        <v>0.88</v>
      </c>
      <c r="G544" s="35">
        <v>6</v>
      </c>
      <c r="H544" s="59">
        <v>5.28</v>
      </c>
      <c r="I544" s="59">
        <v>5.64</v>
      </c>
      <c r="J544" s="35">
        <v>104</v>
      </c>
      <c r="K544" s="35" t="s">
        <v>107</v>
      </c>
      <c r="L544" s="35" t="s">
        <v>45</v>
      </c>
      <c r="M544" s="36" t="s">
        <v>110</v>
      </c>
      <c r="N544" s="36"/>
      <c r="O544" s="35">
        <v>55</v>
      </c>
      <c r="P544" s="827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544" s="771"/>
      <c r="R544" s="771"/>
      <c r="S544" s="771"/>
      <c r="T544" s="772"/>
      <c r="U544" s="37" t="s">
        <v>45</v>
      </c>
      <c r="V544" s="37" t="s">
        <v>45</v>
      </c>
      <c r="W544" s="38" t="s">
        <v>0</v>
      </c>
      <c r="X544" s="56">
        <v>280</v>
      </c>
      <c r="Y544" s="53">
        <f>IFERROR(IF(X544="",0,CEILING((X544/$H544),1)*$H544),"")</f>
        <v>285.12</v>
      </c>
      <c r="Z544" s="39">
        <f>IFERROR(IF(Y544=0,"",ROUNDUP(Y544/H544,0)*0.01196),"")</f>
        <v>0.64583999999999997</v>
      </c>
      <c r="AA544" s="65" t="s">
        <v>45</v>
      </c>
      <c r="AB544" s="66" t="s">
        <v>45</v>
      </c>
      <c r="AC544" s="641" t="s">
        <v>867</v>
      </c>
      <c r="AG544" s="75"/>
      <c r="AJ544" s="79" t="s">
        <v>45</v>
      </c>
      <c r="AK544" s="79">
        <v>0</v>
      </c>
      <c r="BB544" s="642" t="s">
        <v>66</v>
      </c>
      <c r="BM544" s="75">
        <f>IFERROR(X544*I544/H544,"0")</f>
        <v>299.09090909090907</v>
      </c>
      <c r="BN544" s="75">
        <f>IFERROR(Y544*I544/H544,"0")</f>
        <v>304.55999999999995</v>
      </c>
      <c r="BO544" s="75">
        <f>IFERROR(1/J544*(X544/H544),"0")</f>
        <v>0.50990675990675993</v>
      </c>
      <c r="BP544" s="75">
        <f>IFERROR(1/J544*(Y544/H544),"0")</f>
        <v>0.51923076923076927</v>
      </c>
    </row>
    <row r="545" spans="1:68" ht="16.5" customHeight="1" x14ac:dyDescent="0.25">
      <c r="A545" s="60" t="s">
        <v>865</v>
      </c>
      <c r="B545" s="60" t="s">
        <v>868</v>
      </c>
      <c r="C545" s="34">
        <v>4301020334</v>
      </c>
      <c r="D545" s="769">
        <v>4607091388930</v>
      </c>
      <c r="E545" s="769"/>
      <c r="F545" s="59">
        <v>0.88</v>
      </c>
      <c r="G545" s="35">
        <v>6</v>
      </c>
      <c r="H545" s="59">
        <v>5.28</v>
      </c>
      <c r="I545" s="59">
        <v>5.64</v>
      </c>
      <c r="J545" s="35">
        <v>104</v>
      </c>
      <c r="K545" s="35" t="s">
        <v>107</v>
      </c>
      <c r="L545" s="35" t="s">
        <v>45</v>
      </c>
      <c r="M545" s="36" t="s">
        <v>106</v>
      </c>
      <c r="N545" s="36"/>
      <c r="O545" s="35">
        <v>70</v>
      </c>
      <c r="P545" s="828" t="s">
        <v>869</v>
      </c>
      <c r="Q545" s="771"/>
      <c r="R545" s="771"/>
      <c r="S545" s="771"/>
      <c r="T545" s="772"/>
      <c r="U545" s="37" t="s">
        <v>45</v>
      </c>
      <c r="V545" s="37" t="s">
        <v>45</v>
      </c>
      <c r="W545" s="38" t="s">
        <v>0</v>
      </c>
      <c r="X545" s="56">
        <v>0</v>
      </c>
      <c r="Y545" s="53">
        <f>IFERROR(IF(X545="",0,CEILING((X545/$H545),1)*$H545),"")</f>
        <v>0</v>
      </c>
      <c r="Z545" s="39" t="str">
        <f>IFERROR(IF(Y545=0,"",ROUNDUP(Y545/H545,0)*0.01196),"")</f>
        <v/>
      </c>
      <c r="AA545" s="65" t="s">
        <v>45</v>
      </c>
      <c r="AB545" s="66" t="s">
        <v>45</v>
      </c>
      <c r="AC545" s="643" t="s">
        <v>864</v>
      </c>
      <c r="AG545" s="75"/>
      <c r="AJ545" s="79" t="s">
        <v>45</v>
      </c>
      <c r="AK545" s="79">
        <v>0</v>
      </c>
      <c r="BB545" s="644" t="s">
        <v>66</v>
      </c>
      <c r="BM545" s="75">
        <f>IFERROR(X545*I545/H545,"0")</f>
        <v>0</v>
      </c>
      <c r="BN545" s="75">
        <f>IFERROR(Y545*I545/H545,"0")</f>
        <v>0</v>
      </c>
      <c r="BO545" s="75">
        <f>IFERROR(1/J545*(X545/H545),"0")</f>
        <v>0</v>
      </c>
      <c r="BP545" s="75">
        <f>IFERROR(1/J545*(Y545/H545),"0")</f>
        <v>0</v>
      </c>
    </row>
    <row r="546" spans="1:68" ht="16.5" customHeight="1" x14ac:dyDescent="0.25">
      <c r="A546" s="60" t="s">
        <v>870</v>
      </c>
      <c r="B546" s="60" t="s">
        <v>871</v>
      </c>
      <c r="C546" s="34">
        <v>4301020385</v>
      </c>
      <c r="D546" s="769">
        <v>4680115880054</v>
      </c>
      <c r="E546" s="769"/>
      <c r="F546" s="59">
        <v>0.6</v>
      </c>
      <c r="G546" s="35">
        <v>8</v>
      </c>
      <c r="H546" s="59">
        <v>4.8</v>
      </c>
      <c r="I546" s="59">
        <v>6.93</v>
      </c>
      <c r="J546" s="35">
        <v>132</v>
      </c>
      <c r="K546" s="35" t="s">
        <v>116</v>
      </c>
      <c r="L546" s="35" t="s">
        <v>45</v>
      </c>
      <c r="M546" s="36" t="s">
        <v>110</v>
      </c>
      <c r="N546" s="36"/>
      <c r="O546" s="35">
        <v>70</v>
      </c>
      <c r="P546" s="829" t="s">
        <v>872</v>
      </c>
      <c r="Q546" s="771"/>
      <c r="R546" s="771"/>
      <c r="S546" s="771"/>
      <c r="T546" s="772"/>
      <c r="U546" s="37" t="s">
        <v>45</v>
      </c>
      <c r="V546" s="37" t="s">
        <v>45</v>
      </c>
      <c r="W546" s="38" t="s">
        <v>0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IFERROR(IF(Y546=0,"",ROUNDUP(Y546/H546,0)*0.00902),"")</f>
        <v/>
      </c>
      <c r="AA546" s="65" t="s">
        <v>45</v>
      </c>
      <c r="AB546" s="66" t="s">
        <v>45</v>
      </c>
      <c r="AC546" s="645" t="s">
        <v>864</v>
      </c>
      <c r="AG546" s="75"/>
      <c r="AJ546" s="79" t="s">
        <v>45</v>
      </c>
      <c r="AK546" s="79">
        <v>0</v>
      </c>
      <c r="BB546" s="646" t="s">
        <v>66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x14ac:dyDescent="0.2">
      <c r="A547" s="759"/>
      <c r="B547" s="759"/>
      <c r="C547" s="759"/>
      <c r="D547" s="759"/>
      <c r="E547" s="759"/>
      <c r="F547" s="759"/>
      <c r="G547" s="759"/>
      <c r="H547" s="759"/>
      <c r="I547" s="759"/>
      <c r="J547" s="759"/>
      <c r="K547" s="759"/>
      <c r="L547" s="759"/>
      <c r="M547" s="759"/>
      <c r="N547" s="759"/>
      <c r="O547" s="767"/>
      <c r="P547" s="764" t="s">
        <v>40</v>
      </c>
      <c r="Q547" s="765"/>
      <c r="R547" s="765"/>
      <c r="S547" s="765"/>
      <c r="T547" s="765"/>
      <c r="U547" s="765"/>
      <c r="V547" s="766"/>
      <c r="W547" s="40" t="s">
        <v>39</v>
      </c>
      <c r="X547" s="41">
        <f>IFERROR(X543/H543,"0")+IFERROR(X544/H544,"0")+IFERROR(X545/H545,"0")+IFERROR(X546/H546,"0")</f>
        <v>53.030303030303031</v>
      </c>
      <c r="Y547" s="41">
        <f>IFERROR(Y543/H543,"0")+IFERROR(Y544/H544,"0")+IFERROR(Y545/H545,"0")+IFERROR(Y546/H546,"0")</f>
        <v>54</v>
      </c>
      <c r="Z547" s="41">
        <f>IFERROR(IF(Z543="",0,Z543),"0")+IFERROR(IF(Z544="",0,Z544),"0")+IFERROR(IF(Z545="",0,Z545),"0")+IFERROR(IF(Z546="",0,Z546),"0")</f>
        <v>0.64583999999999997</v>
      </c>
      <c r="AA547" s="64"/>
      <c r="AB547" s="64"/>
      <c r="AC547" s="64"/>
    </row>
    <row r="548" spans="1:68" x14ac:dyDescent="0.2">
      <c r="A548" s="759"/>
      <c r="B548" s="759"/>
      <c r="C548" s="759"/>
      <c r="D548" s="759"/>
      <c r="E548" s="759"/>
      <c r="F548" s="759"/>
      <c r="G548" s="759"/>
      <c r="H548" s="759"/>
      <c r="I548" s="759"/>
      <c r="J548" s="759"/>
      <c r="K548" s="759"/>
      <c r="L548" s="759"/>
      <c r="M548" s="759"/>
      <c r="N548" s="759"/>
      <c r="O548" s="767"/>
      <c r="P548" s="764" t="s">
        <v>40</v>
      </c>
      <c r="Q548" s="765"/>
      <c r="R548" s="765"/>
      <c r="S548" s="765"/>
      <c r="T548" s="765"/>
      <c r="U548" s="765"/>
      <c r="V548" s="766"/>
      <c r="W548" s="40" t="s">
        <v>0</v>
      </c>
      <c r="X548" s="41">
        <f>IFERROR(SUM(X543:X546),"0")</f>
        <v>280</v>
      </c>
      <c r="Y548" s="41">
        <f>IFERROR(SUM(Y543:Y546),"0")</f>
        <v>285.12</v>
      </c>
      <c r="Z548" s="40"/>
      <c r="AA548" s="64"/>
      <c r="AB548" s="64"/>
      <c r="AC548" s="64"/>
    </row>
    <row r="549" spans="1:68" ht="14.25" customHeight="1" x14ac:dyDescent="0.25">
      <c r="A549" s="768" t="s">
        <v>164</v>
      </c>
      <c r="B549" s="768"/>
      <c r="C549" s="768"/>
      <c r="D549" s="768"/>
      <c r="E549" s="768"/>
      <c r="F549" s="768"/>
      <c r="G549" s="768"/>
      <c r="H549" s="768"/>
      <c r="I549" s="768"/>
      <c r="J549" s="768"/>
      <c r="K549" s="768"/>
      <c r="L549" s="768"/>
      <c r="M549" s="768"/>
      <c r="N549" s="768"/>
      <c r="O549" s="768"/>
      <c r="P549" s="768"/>
      <c r="Q549" s="768"/>
      <c r="R549" s="768"/>
      <c r="S549" s="768"/>
      <c r="T549" s="768"/>
      <c r="U549" s="768"/>
      <c r="V549" s="768"/>
      <c r="W549" s="768"/>
      <c r="X549" s="768"/>
      <c r="Y549" s="768"/>
      <c r="Z549" s="768"/>
      <c r="AA549" s="63"/>
      <c r="AB549" s="63"/>
      <c r="AC549" s="63"/>
    </row>
    <row r="550" spans="1:68" ht="27" customHeight="1" x14ac:dyDescent="0.25">
      <c r="A550" s="60" t="s">
        <v>873</v>
      </c>
      <c r="B550" s="60" t="s">
        <v>874</v>
      </c>
      <c r="C550" s="34">
        <v>4301031409</v>
      </c>
      <c r="D550" s="769">
        <v>4680115886438</v>
      </c>
      <c r="E550" s="769"/>
      <c r="F550" s="59">
        <v>0.4</v>
      </c>
      <c r="G550" s="35">
        <v>6</v>
      </c>
      <c r="H550" s="59">
        <v>2.4</v>
      </c>
      <c r="I550" s="59">
        <v>2.58</v>
      </c>
      <c r="J550" s="35">
        <v>182</v>
      </c>
      <c r="K550" s="35" t="s">
        <v>83</v>
      </c>
      <c r="L550" s="35" t="s">
        <v>45</v>
      </c>
      <c r="M550" s="36" t="s">
        <v>110</v>
      </c>
      <c r="N550" s="36"/>
      <c r="O550" s="35">
        <v>70</v>
      </c>
      <c r="P550" s="830" t="s">
        <v>875</v>
      </c>
      <c r="Q550" s="771"/>
      <c r="R550" s="771"/>
      <c r="S550" s="771"/>
      <c r="T550" s="772"/>
      <c r="U550" s="37" t="s">
        <v>45</v>
      </c>
      <c r="V550" s="37" t="s">
        <v>45</v>
      </c>
      <c r="W550" s="38" t="s">
        <v>0</v>
      </c>
      <c r="X550" s="56">
        <v>0</v>
      </c>
      <c r="Y550" s="53">
        <f t="shared" ref="Y550:Y561" si="103">IFERROR(IF(X550="",0,CEILING((X550/$H550),1)*$H550),"")</f>
        <v>0</v>
      </c>
      <c r="Z550" s="39" t="str">
        <f>IFERROR(IF(Y550=0,"",ROUNDUP(Y550/H550,0)*0.00651),"")</f>
        <v/>
      </c>
      <c r="AA550" s="65" t="s">
        <v>45</v>
      </c>
      <c r="AB550" s="66" t="s">
        <v>822</v>
      </c>
      <c r="AC550" s="647" t="s">
        <v>876</v>
      </c>
      <c r="AG550" s="75"/>
      <c r="AJ550" s="79" t="s">
        <v>45</v>
      </c>
      <c r="AK550" s="79">
        <v>0</v>
      </c>
      <c r="BB550" s="648" t="s">
        <v>66</v>
      </c>
      <c r="BM550" s="75">
        <f t="shared" ref="BM550:BM561" si="104">IFERROR(X550*I550/H550,"0")</f>
        <v>0</v>
      </c>
      <c r="BN550" s="75">
        <f t="shared" ref="BN550:BN561" si="105">IFERROR(Y550*I550/H550,"0")</f>
        <v>0</v>
      </c>
      <c r="BO550" s="75">
        <f t="shared" ref="BO550:BO561" si="106">IFERROR(1/J550*(X550/H550),"0")</f>
        <v>0</v>
      </c>
      <c r="BP550" s="75">
        <f t="shared" ref="BP550:BP561" si="107">IFERROR(1/J550*(Y550/H550),"0")</f>
        <v>0</v>
      </c>
    </row>
    <row r="551" spans="1:68" ht="27" customHeight="1" x14ac:dyDescent="0.25">
      <c r="A551" s="60" t="s">
        <v>877</v>
      </c>
      <c r="B551" s="60" t="s">
        <v>878</v>
      </c>
      <c r="C551" s="34">
        <v>4301031349</v>
      </c>
      <c r="D551" s="769">
        <v>4680115883116</v>
      </c>
      <c r="E551" s="769"/>
      <c r="F551" s="59">
        <v>0.88</v>
      </c>
      <c r="G551" s="35">
        <v>6</v>
      </c>
      <c r="H551" s="59">
        <v>5.28</v>
      </c>
      <c r="I551" s="59">
        <v>5.64</v>
      </c>
      <c r="J551" s="35">
        <v>104</v>
      </c>
      <c r="K551" s="35" t="s">
        <v>107</v>
      </c>
      <c r="L551" s="35" t="s">
        <v>45</v>
      </c>
      <c r="M551" s="36" t="s">
        <v>110</v>
      </c>
      <c r="N551" s="36"/>
      <c r="O551" s="35">
        <v>70</v>
      </c>
      <c r="P551" s="831" t="s">
        <v>879</v>
      </c>
      <c r="Q551" s="771"/>
      <c r="R551" s="771"/>
      <c r="S551" s="771"/>
      <c r="T551" s="772"/>
      <c r="U551" s="37" t="s">
        <v>45</v>
      </c>
      <c r="V551" s="37" t="s">
        <v>45</v>
      </c>
      <c r="W551" s="38" t="s">
        <v>0</v>
      </c>
      <c r="X551" s="56">
        <v>0</v>
      </c>
      <c r="Y551" s="53">
        <f t="shared" si="103"/>
        <v>0</v>
      </c>
      <c r="Z551" s="39" t="str">
        <f>IFERROR(IF(Y551=0,"",ROUNDUP(Y551/H551,0)*0.01196),"")</f>
        <v/>
      </c>
      <c r="AA551" s="65" t="s">
        <v>45</v>
      </c>
      <c r="AB551" s="66" t="s">
        <v>45</v>
      </c>
      <c r="AC551" s="649" t="s">
        <v>876</v>
      </c>
      <c r="AG551" s="75"/>
      <c r="AJ551" s="79" t="s">
        <v>45</v>
      </c>
      <c r="AK551" s="79">
        <v>0</v>
      </c>
      <c r="BB551" s="650" t="s">
        <v>66</v>
      </c>
      <c r="BM551" s="75">
        <f t="shared" si="104"/>
        <v>0</v>
      </c>
      <c r="BN551" s="75">
        <f t="shared" si="105"/>
        <v>0</v>
      </c>
      <c r="BO551" s="75">
        <f t="shared" si="106"/>
        <v>0</v>
      </c>
      <c r="BP551" s="75">
        <f t="shared" si="107"/>
        <v>0</v>
      </c>
    </row>
    <row r="552" spans="1:68" ht="27" customHeight="1" x14ac:dyDescent="0.25">
      <c r="A552" s="60" t="s">
        <v>880</v>
      </c>
      <c r="B552" s="60" t="s">
        <v>881</v>
      </c>
      <c r="C552" s="34">
        <v>4301031350</v>
      </c>
      <c r="D552" s="769">
        <v>4680115883093</v>
      </c>
      <c r="E552" s="769"/>
      <c r="F552" s="59">
        <v>0.88</v>
      </c>
      <c r="G552" s="35">
        <v>6</v>
      </c>
      <c r="H552" s="59">
        <v>5.28</v>
      </c>
      <c r="I552" s="59">
        <v>5.64</v>
      </c>
      <c r="J552" s="35">
        <v>104</v>
      </c>
      <c r="K552" s="35" t="s">
        <v>107</v>
      </c>
      <c r="L552" s="35" t="s">
        <v>45</v>
      </c>
      <c r="M552" s="36" t="s">
        <v>82</v>
      </c>
      <c r="N552" s="36"/>
      <c r="O552" s="35">
        <v>70</v>
      </c>
      <c r="P552" s="817" t="s">
        <v>882</v>
      </c>
      <c r="Q552" s="771"/>
      <c r="R552" s="771"/>
      <c r="S552" s="771"/>
      <c r="T552" s="772"/>
      <c r="U552" s="37" t="s">
        <v>45</v>
      </c>
      <c r="V552" s="37" t="s">
        <v>45</v>
      </c>
      <c r="W552" s="38" t="s">
        <v>0</v>
      </c>
      <c r="X552" s="56">
        <v>0</v>
      </c>
      <c r="Y552" s="53">
        <f t="shared" si="103"/>
        <v>0</v>
      </c>
      <c r="Z552" s="39" t="str">
        <f>IFERROR(IF(Y552=0,"",ROUNDUP(Y552/H552,0)*0.01196),"")</f>
        <v/>
      </c>
      <c r="AA552" s="65" t="s">
        <v>45</v>
      </c>
      <c r="AB552" s="66" t="s">
        <v>45</v>
      </c>
      <c r="AC552" s="651" t="s">
        <v>883</v>
      </c>
      <c r="AG552" s="75"/>
      <c r="AJ552" s="79" t="s">
        <v>45</v>
      </c>
      <c r="AK552" s="79">
        <v>0</v>
      </c>
      <c r="BB552" s="652" t="s">
        <v>66</v>
      </c>
      <c r="BM552" s="75">
        <f t="shared" si="104"/>
        <v>0</v>
      </c>
      <c r="BN552" s="75">
        <f t="shared" si="105"/>
        <v>0</v>
      </c>
      <c r="BO552" s="75">
        <f t="shared" si="106"/>
        <v>0</v>
      </c>
      <c r="BP552" s="75">
        <f t="shared" si="107"/>
        <v>0</v>
      </c>
    </row>
    <row r="553" spans="1:68" ht="27" customHeight="1" x14ac:dyDescent="0.25">
      <c r="A553" s="60" t="s">
        <v>884</v>
      </c>
      <c r="B553" s="60" t="s">
        <v>885</v>
      </c>
      <c r="C553" s="34">
        <v>4301031353</v>
      </c>
      <c r="D553" s="769">
        <v>4680115883109</v>
      </c>
      <c r="E553" s="769"/>
      <c r="F553" s="59">
        <v>0.88</v>
      </c>
      <c r="G553" s="35">
        <v>6</v>
      </c>
      <c r="H553" s="59">
        <v>5.28</v>
      </c>
      <c r="I553" s="59">
        <v>5.64</v>
      </c>
      <c r="J553" s="35">
        <v>104</v>
      </c>
      <c r="K553" s="35" t="s">
        <v>107</v>
      </c>
      <c r="L553" s="35" t="s">
        <v>45</v>
      </c>
      <c r="M553" s="36" t="s">
        <v>82</v>
      </c>
      <c r="N553" s="36"/>
      <c r="O553" s="35">
        <v>70</v>
      </c>
      <c r="P553" s="818" t="s">
        <v>886</v>
      </c>
      <c r="Q553" s="771"/>
      <c r="R553" s="771"/>
      <c r="S553" s="771"/>
      <c r="T553" s="772"/>
      <c r="U553" s="37" t="s">
        <v>45</v>
      </c>
      <c r="V553" s="37" t="s">
        <v>45</v>
      </c>
      <c r="W553" s="38" t="s">
        <v>0</v>
      </c>
      <c r="X553" s="56">
        <v>0</v>
      </c>
      <c r="Y553" s="53">
        <f t="shared" si="103"/>
        <v>0</v>
      </c>
      <c r="Z553" s="39" t="str">
        <f>IFERROR(IF(Y553=0,"",ROUNDUP(Y553/H553,0)*0.01196),"")</f>
        <v/>
      </c>
      <c r="AA553" s="65" t="s">
        <v>45</v>
      </c>
      <c r="AB553" s="66" t="s">
        <v>45</v>
      </c>
      <c r="AC553" s="653" t="s">
        <v>887</v>
      </c>
      <c r="AG553" s="75"/>
      <c r="AJ553" s="79" t="s">
        <v>45</v>
      </c>
      <c r="AK553" s="79">
        <v>0</v>
      </c>
      <c r="BB553" s="654" t="s">
        <v>66</v>
      </c>
      <c r="BM553" s="75">
        <f t="shared" si="104"/>
        <v>0</v>
      </c>
      <c r="BN553" s="75">
        <f t="shared" si="105"/>
        <v>0</v>
      </c>
      <c r="BO553" s="75">
        <f t="shared" si="106"/>
        <v>0</v>
      </c>
      <c r="BP553" s="75">
        <f t="shared" si="107"/>
        <v>0</v>
      </c>
    </row>
    <row r="554" spans="1:68" ht="27" customHeight="1" x14ac:dyDescent="0.25">
      <c r="A554" s="60" t="s">
        <v>888</v>
      </c>
      <c r="B554" s="60" t="s">
        <v>889</v>
      </c>
      <c r="C554" s="34">
        <v>4301031419</v>
      </c>
      <c r="D554" s="769">
        <v>4680115882072</v>
      </c>
      <c r="E554" s="769"/>
      <c r="F554" s="59">
        <v>0.6</v>
      </c>
      <c r="G554" s="35">
        <v>8</v>
      </c>
      <c r="H554" s="59">
        <v>4.8</v>
      </c>
      <c r="I554" s="59">
        <v>6.93</v>
      </c>
      <c r="J554" s="35">
        <v>132</v>
      </c>
      <c r="K554" s="35" t="s">
        <v>116</v>
      </c>
      <c r="L554" s="35" t="s">
        <v>45</v>
      </c>
      <c r="M554" s="36" t="s">
        <v>110</v>
      </c>
      <c r="N554" s="36"/>
      <c r="O554" s="35">
        <v>70</v>
      </c>
      <c r="P554" s="819" t="s">
        <v>890</v>
      </c>
      <c r="Q554" s="771"/>
      <c r="R554" s="771"/>
      <c r="S554" s="771"/>
      <c r="T554" s="772"/>
      <c r="U554" s="37" t="s">
        <v>45</v>
      </c>
      <c r="V554" s="37" t="s">
        <v>45</v>
      </c>
      <c r="W554" s="38" t="s">
        <v>0</v>
      </c>
      <c r="X554" s="56">
        <v>0</v>
      </c>
      <c r="Y554" s="53">
        <f t="shared" si="103"/>
        <v>0</v>
      </c>
      <c r="Z554" s="39" t="str">
        <f>IFERROR(IF(Y554=0,"",ROUNDUP(Y554/H554,0)*0.00902),"")</f>
        <v/>
      </c>
      <c r="AA554" s="65" t="s">
        <v>45</v>
      </c>
      <c r="AB554" s="66" t="s">
        <v>45</v>
      </c>
      <c r="AC554" s="655" t="s">
        <v>876</v>
      </c>
      <c r="AG554" s="75"/>
      <c r="AJ554" s="79" t="s">
        <v>45</v>
      </c>
      <c r="AK554" s="79">
        <v>0</v>
      </c>
      <c r="BB554" s="656" t="s">
        <v>66</v>
      </c>
      <c r="BM554" s="75">
        <f t="shared" si="104"/>
        <v>0</v>
      </c>
      <c r="BN554" s="75">
        <f t="shared" si="105"/>
        <v>0</v>
      </c>
      <c r="BO554" s="75">
        <f t="shared" si="106"/>
        <v>0</v>
      </c>
      <c r="BP554" s="75">
        <f t="shared" si="107"/>
        <v>0</v>
      </c>
    </row>
    <row r="555" spans="1:68" ht="27" customHeight="1" x14ac:dyDescent="0.25">
      <c r="A555" s="60" t="s">
        <v>888</v>
      </c>
      <c r="B555" s="60" t="s">
        <v>891</v>
      </c>
      <c r="C555" s="34">
        <v>4301031383</v>
      </c>
      <c r="D555" s="769">
        <v>4680115882072</v>
      </c>
      <c r="E555" s="769"/>
      <c r="F555" s="59">
        <v>0.6</v>
      </c>
      <c r="G555" s="35">
        <v>8</v>
      </c>
      <c r="H555" s="59">
        <v>4.8</v>
      </c>
      <c r="I555" s="59">
        <v>6.96</v>
      </c>
      <c r="J555" s="35">
        <v>120</v>
      </c>
      <c r="K555" s="35" t="s">
        <v>116</v>
      </c>
      <c r="L555" s="35" t="s">
        <v>45</v>
      </c>
      <c r="M555" s="36" t="s">
        <v>110</v>
      </c>
      <c r="N555" s="36"/>
      <c r="O555" s="35">
        <v>60</v>
      </c>
      <c r="P555" s="820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55" s="771"/>
      <c r="R555" s="771"/>
      <c r="S555" s="771"/>
      <c r="T555" s="772"/>
      <c r="U555" s="37" t="s">
        <v>45</v>
      </c>
      <c r="V555" s="37" t="s">
        <v>45</v>
      </c>
      <c r="W555" s="38" t="s">
        <v>0</v>
      </c>
      <c r="X555" s="56">
        <v>0</v>
      </c>
      <c r="Y555" s="53">
        <f t="shared" si="103"/>
        <v>0</v>
      </c>
      <c r="Z555" s="39" t="str">
        <f>IFERROR(IF(Y555=0,"",ROUNDUP(Y555/H555,0)*0.00937),"")</f>
        <v/>
      </c>
      <c r="AA555" s="65" t="s">
        <v>45</v>
      </c>
      <c r="AB555" s="66" t="s">
        <v>45</v>
      </c>
      <c r="AC555" s="657" t="s">
        <v>892</v>
      </c>
      <c r="AG555" s="75"/>
      <c r="AJ555" s="79" t="s">
        <v>45</v>
      </c>
      <c r="AK555" s="79">
        <v>0</v>
      </c>
      <c r="BB555" s="658" t="s">
        <v>66</v>
      </c>
      <c r="BM555" s="75">
        <f t="shared" si="104"/>
        <v>0</v>
      </c>
      <c r="BN555" s="75">
        <f t="shared" si="105"/>
        <v>0</v>
      </c>
      <c r="BO555" s="75">
        <f t="shared" si="106"/>
        <v>0</v>
      </c>
      <c r="BP555" s="75">
        <f t="shared" si="107"/>
        <v>0</v>
      </c>
    </row>
    <row r="556" spans="1:68" ht="27" customHeight="1" x14ac:dyDescent="0.25">
      <c r="A556" s="60" t="s">
        <v>888</v>
      </c>
      <c r="B556" s="60" t="s">
        <v>893</v>
      </c>
      <c r="C556" s="34">
        <v>4301031351</v>
      </c>
      <c r="D556" s="769">
        <v>4680115882072</v>
      </c>
      <c r="E556" s="769"/>
      <c r="F556" s="59">
        <v>0.6</v>
      </c>
      <c r="G556" s="35">
        <v>6</v>
      </c>
      <c r="H556" s="59">
        <v>3.6</v>
      </c>
      <c r="I556" s="59">
        <v>3.81</v>
      </c>
      <c r="J556" s="35">
        <v>132</v>
      </c>
      <c r="K556" s="35" t="s">
        <v>116</v>
      </c>
      <c r="L556" s="35" t="s">
        <v>45</v>
      </c>
      <c r="M556" s="36" t="s">
        <v>110</v>
      </c>
      <c r="N556" s="36"/>
      <c r="O556" s="35">
        <v>70</v>
      </c>
      <c r="P556" s="821" t="s">
        <v>894</v>
      </c>
      <c r="Q556" s="771"/>
      <c r="R556" s="771"/>
      <c r="S556" s="771"/>
      <c r="T556" s="772"/>
      <c r="U556" s="37" t="s">
        <v>45</v>
      </c>
      <c r="V556" s="37" t="s">
        <v>45</v>
      </c>
      <c r="W556" s="38" t="s">
        <v>0</v>
      </c>
      <c r="X556" s="56">
        <v>0</v>
      </c>
      <c r="Y556" s="53">
        <f t="shared" si="103"/>
        <v>0</v>
      </c>
      <c r="Z556" s="39" t="str">
        <f>IFERROR(IF(Y556=0,"",ROUNDUP(Y556/H556,0)*0.00902),"")</f>
        <v/>
      </c>
      <c r="AA556" s="65" t="s">
        <v>45</v>
      </c>
      <c r="AB556" s="66" t="s">
        <v>45</v>
      </c>
      <c r="AC556" s="659" t="s">
        <v>876</v>
      </c>
      <c r="AG556" s="75"/>
      <c r="AJ556" s="79" t="s">
        <v>45</v>
      </c>
      <c r="AK556" s="79">
        <v>0</v>
      </c>
      <c r="BB556" s="660" t="s">
        <v>66</v>
      </c>
      <c r="BM556" s="75">
        <f t="shared" si="104"/>
        <v>0</v>
      </c>
      <c r="BN556" s="75">
        <f t="shared" si="105"/>
        <v>0</v>
      </c>
      <c r="BO556" s="75">
        <f t="shared" si="106"/>
        <v>0</v>
      </c>
      <c r="BP556" s="75">
        <f t="shared" si="107"/>
        <v>0</v>
      </c>
    </row>
    <row r="557" spans="1:68" ht="27" customHeight="1" x14ac:dyDescent="0.25">
      <c r="A557" s="60" t="s">
        <v>895</v>
      </c>
      <c r="B557" s="60" t="s">
        <v>896</v>
      </c>
      <c r="C557" s="34">
        <v>4301031251</v>
      </c>
      <c r="D557" s="769">
        <v>4680115882102</v>
      </c>
      <c r="E557" s="769"/>
      <c r="F557" s="59">
        <v>0.6</v>
      </c>
      <c r="G557" s="35">
        <v>6</v>
      </c>
      <c r="H557" s="59">
        <v>3.6</v>
      </c>
      <c r="I557" s="59">
        <v>3.81</v>
      </c>
      <c r="J557" s="35">
        <v>132</v>
      </c>
      <c r="K557" s="35" t="s">
        <v>116</v>
      </c>
      <c r="L557" s="35" t="s">
        <v>45</v>
      </c>
      <c r="M557" s="36" t="s">
        <v>82</v>
      </c>
      <c r="N557" s="36"/>
      <c r="O557" s="35">
        <v>60</v>
      </c>
      <c r="P557" s="822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57" s="771"/>
      <c r="R557" s="771"/>
      <c r="S557" s="771"/>
      <c r="T557" s="772"/>
      <c r="U557" s="37" t="s">
        <v>45</v>
      </c>
      <c r="V557" s="37" t="s">
        <v>45</v>
      </c>
      <c r="W557" s="38" t="s">
        <v>0</v>
      </c>
      <c r="X557" s="56">
        <v>0</v>
      </c>
      <c r="Y557" s="53">
        <f t="shared" si="103"/>
        <v>0</v>
      </c>
      <c r="Z557" s="39" t="str">
        <f>IFERROR(IF(Y557=0,"",ROUNDUP(Y557/H557,0)*0.00902),"")</f>
        <v/>
      </c>
      <c r="AA557" s="65" t="s">
        <v>45</v>
      </c>
      <c r="AB557" s="66" t="s">
        <v>45</v>
      </c>
      <c r="AC557" s="661" t="s">
        <v>897</v>
      </c>
      <c r="AG557" s="75"/>
      <c r="AJ557" s="79" t="s">
        <v>45</v>
      </c>
      <c r="AK557" s="79">
        <v>0</v>
      </c>
      <c r="BB557" s="662" t="s">
        <v>66</v>
      </c>
      <c r="BM557" s="75">
        <f t="shared" si="104"/>
        <v>0</v>
      </c>
      <c r="BN557" s="75">
        <f t="shared" si="105"/>
        <v>0</v>
      </c>
      <c r="BO557" s="75">
        <f t="shared" si="106"/>
        <v>0</v>
      </c>
      <c r="BP557" s="75">
        <f t="shared" si="107"/>
        <v>0</v>
      </c>
    </row>
    <row r="558" spans="1:68" ht="27" customHeight="1" x14ac:dyDescent="0.25">
      <c r="A558" s="60" t="s">
        <v>895</v>
      </c>
      <c r="B558" s="60" t="s">
        <v>898</v>
      </c>
      <c r="C558" s="34">
        <v>4301031418</v>
      </c>
      <c r="D558" s="769">
        <v>4680115882102</v>
      </c>
      <c r="E558" s="769"/>
      <c r="F558" s="59">
        <v>0.6</v>
      </c>
      <c r="G558" s="35">
        <v>8</v>
      </c>
      <c r="H558" s="59">
        <v>4.8</v>
      </c>
      <c r="I558" s="59">
        <v>6.69</v>
      </c>
      <c r="J558" s="35">
        <v>132</v>
      </c>
      <c r="K558" s="35" t="s">
        <v>116</v>
      </c>
      <c r="L558" s="35" t="s">
        <v>45</v>
      </c>
      <c r="M558" s="36" t="s">
        <v>82</v>
      </c>
      <c r="N558" s="36"/>
      <c r="O558" s="35">
        <v>70</v>
      </c>
      <c r="P558" s="823" t="s">
        <v>899</v>
      </c>
      <c r="Q558" s="771"/>
      <c r="R558" s="771"/>
      <c r="S558" s="771"/>
      <c r="T558" s="772"/>
      <c r="U558" s="37" t="s">
        <v>45</v>
      </c>
      <c r="V558" s="37" t="s">
        <v>45</v>
      </c>
      <c r="W558" s="38" t="s">
        <v>0</v>
      </c>
      <c r="X558" s="56">
        <v>0</v>
      </c>
      <c r="Y558" s="53">
        <f t="shared" si="103"/>
        <v>0</v>
      </c>
      <c r="Z558" s="39" t="str">
        <f>IFERROR(IF(Y558=0,"",ROUNDUP(Y558/H558,0)*0.00902),"")</f>
        <v/>
      </c>
      <c r="AA558" s="65" t="s">
        <v>45</v>
      </c>
      <c r="AB558" s="66" t="s">
        <v>45</v>
      </c>
      <c r="AC558" s="663" t="s">
        <v>883</v>
      </c>
      <c r="AG558" s="75"/>
      <c r="AJ558" s="79" t="s">
        <v>45</v>
      </c>
      <c r="AK558" s="79">
        <v>0</v>
      </c>
      <c r="BB558" s="664" t="s">
        <v>66</v>
      </c>
      <c r="BM558" s="75">
        <f t="shared" si="104"/>
        <v>0</v>
      </c>
      <c r="BN558" s="75">
        <f t="shared" si="105"/>
        <v>0</v>
      </c>
      <c r="BO558" s="75">
        <f t="shared" si="106"/>
        <v>0</v>
      </c>
      <c r="BP558" s="75">
        <f t="shared" si="107"/>
        <v>0</v>
      </c>
    </row>
    <row r="559" spans="1:68" ht="27" customHeight="1" x14ac:dyDescent="0.25">
      <c r="A559" s="60" t="s">
        <v>900</v>
      </c>
      <c r="B559" s="60" t="s">
        <v>901</v>
      </c>
      <c r="C559" s="34">
        <v>4301031253</v>
      </c>
      <c r="D559" s="769">
        <v>4680115882096</v>
      </c>
      <c r="E559" s="769"/>
      <c r="F559" s="59">
        <v>0.6</v>
      </c>
      <c r="G559" s="35">
        <v>6</v>
      </c>
      <c r="H559" s="59">
        <v>3.6</v>
      </c>
      <c r="I559" s="59">
        <v>3.81</v>
      </c>
      <c r="J559" s="35">
        <v>132</v>
      </c>
      <c r="K559" s="35" t="s">
        <v>116</v>
      </c>
      <c r="L559" s="35" t="s">
        <v>45</v>
      </c>
      <c r="M559" s="36" t="s">
        <v>82</v>
      </c>
      <c r="N559" s="36"/>
      <c r="O559" s="35">
        <v>60</v>
      </c>
      <c r="P559" s="824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59" s="771"/>
      <c r="R559" s="771"/>
      <c r="S559" s="771"/>
      <c r="T559" s="772"/>
      <c r="U559" s="37" t="s">
        <v>45</v>
      </c>
      <c r="V559" s="37" t="s">
        <v>45</v>
      </c>
      <c r="W559" s="38" t="s">
        <v>0</v>
      </c>
      <c r="X559" s="56">
        <v>0</v>
      </c>
      <c r="Y559" s="53">
        <f t="shared" si="103"/>
        <v>0</v>
      </c>
      <c r="Z559" s="39" t="str">
        <f>IFERROR(IF(Y559=0,"",ROUNDUP(Y559/H559,0)*0.00902),"")</f>
        <v/>
      </c>
      <c r="AA559" s="65" t="s">
        <v>45</v>
      </c>
      <c r="AB559" s="66" t="s">
        <v>45</v>
      </c>
      <c r="AC559" s="665" t="s">
        <v>902</v>
      </c>
      <c r="AG559" s="75"/>
      <c r="AJ559" s="79" t="s">
        <v>45</v>
      </c>
      <c r="AK559" s="79">
        <v>0</v>
      </c>
      <c r="BB559" s="666" t="s">
        <v>66</v>
      </c>
      <c r="BM559" s="75">
        <f t="shared" si="104"/>
        <v>0</v>
      </c>
      <c r="BN559" s="75">
        <f t="shared" si="105"/>
        <v>0</v>
      </c>
      <c r="BO559" s="75">
        <f t="shared" si="106"/>
        <v>0</v>
      </c>
      <c r="BP559" s="75">
        <f t="shared" si="107"/>
        <v>0</v>
      </c>
    </row>
    <row r="560" spans="1:68" ht="27" customHeight="1" x14ac:dyDescent="0.25">
      <c r="A560" s="60" t="s">
        <v>900</v>
      </c>
      <c r="B560" s="60" t="s">
        <v>903</v>
      </c>
      <c r="C560" s="34">
        <v>4301031417</v>
      </c>
      <c r="D560" s="769">
        <v>4680115882096</v>
      </c>
      <c r="E560" s="769"/>
      <c r="F560" s="59">
        <v>0.6</v>
      </c>
      <c r="G560" s="35">
        <v>8</v>
      </c>
      <c r="H560" s="59">
        <v>4.8</v>
      </c>
      <c r="I560" s="59">
        <v>6.69</v>
      </c>
      <c r="J560" s="35">
        <v>132</v>
      </c>
      <c r="K560" s="35" t="s">
        <v>116</v>
      </c>
      <c r="L560" s="35" t="s">
        <v>45</v>
      </c>
      <c r="M560" s="36" t="s">
        <v>82</v>
      </c>
      <c r="N560" s="36"/>
      <c r="O560" s="35">
        <v>70</v>
      </c>
      <c r="P560" s="825" t="s">
        <v>904</v>
      </c>
      <c r="Q560" s="771"/>
      <c r="R560" s="771"/>
      <c r="S560" s="771"/>
      <c r="T560" s="772"/>
      <c r="U560" s="37" t="s">
        <v>45</v>
      </c>
      <c r="V560" s="37" t="s">
        <v>45</v>
      </c>
      <c r="W560" s="38" t="s">
        <v>0</v>
      </c>
      <c r="X560" s="56">
        <v>0</v>
      </c>
      <c r="Y560" s="53">
        <f t="shared" si="103"/>
        <v>0</v>
      </c>
      <c r="Z560" s="39" t="str">
        <f>IFERROR(IF(Y560=0,"",ROUNDUP(Y560/H560,0)*0.00902),"")</f>
        <v/>
      </c>
      <c r="AA560" s="65" t="s">
        <v>45</v>
      </c>
      <c r="AB560" s="66" t="s">
        <v>45</v>
      </c>
      <c r="AC560" s="667" t="s">
        <v>887</v>
      </c>
      <c r="AG560" s="75"/>
      <c r="AJ560" s="79" t="s">
        <v>45</v>
      </c>
      <c r="AK560" s="79">
        <v>0</v>
      </c>
      <c r="BB560" s="668" t="s">
        <v>66</v>
      </c>
      <c r="BM560" s="75">
        <f t="shared" si="104"/>
        <v>0</v>
      </c>
      <c r="BN560" s="75">
        <f t="shared" si="105"/>
        <v>0</v>
      </c>
      <c r="BO560" s="75">
        <f t="shared" si="106"/>
        <v>0</v>
      </c>
      <c r="BP560" s="75">
        <f t="shared" si="107"/>
        <v>0</v>
      </c>
    </row>
    <row r="561" spans="1:68" ht="27" customHeight="1" x14ac:dyDescent="0.25">
      <c r="A561" s="60" t="s">
        <v>900</v>
      </c>
      <c r="B561" s="60" t="s">
        <v>905</v>
      </c>
      <c r="C561" s="34">
        <v>4301031384</v>
      </c>
      <c r="D561" s="769">
        <v>4680115882096</v>
      </c>
      <c r="E561" s="769"/>
      <c r="F561" s="59">
        <v>0.6</v>
      </c>
      <c r="G561" s="35">
        <v>8</v>
      </c>
      <c r="H561" s="59">
        <v>4.8</v>
      </c>
      <c r="I561" s="59">
        <v>6.69</v>
      </c>
      <c r="J561" s="35">
        <v>120</v>
      </c>
      <c r="K561" s="35" t="s">
        <v>116</v>
      </c>
      <c r="L561" s="35" t="s">
        <v>45</v>
      </c>
      <c r="M561" s="36" t="s">
        <v>82</v>
      </c>
      <c r="N561" s="36"/>
      <c r="O561" s="35">
        <v>60</v>
      </c>
      <c r="P561" s="812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61" s="771"/>
      <c r="R561" s="771"/>
      <c r="S561" s="771"/>
      <c r="T561" s="772"/>
      <c r="U561" s="37" t="s">
        <v>45</v>
      </c>
      <c r="V561" s="37" t="s">
        <v>45</v>
      </c>
      <c r="W561" s="38" t="s">
        <v>0</v>
      </c>
      <c r="X561" s="56">
        <v>0</v>
      </c>
      <c r="Y561" s="53">
        <f t="shared" si="103"/>
        <v>0</v>
      </c>
      <c r="Z561" s="39" t="str">
        <f>IFERROR(IF(Y561=0,"",ROUNDUP(Y561/H561,0)*0.00937),"")</f>
        <v/>
      </c>
      <c r="AA561" s="65" t="s">
        <v>45</v>
      </c>
      <c r="AB561" s="66" t="s">
        <v>45</v>
      </c>
      <c r="AC561" s="669" t="s">
        <v>887</v>
      </c>
      <c r="AG561" s="75"/>
      <c r="AJ561" s="79" t="s">
        <v>45</v>
      </c>
      <c r="AK561" s="79">
        <v>0</v>
      </c>
      <c r="BB561" s="670" t="s">
        <v>66</v>
      </c>
      <c r="BM561" s="75">
        <f t="shared" si="104"/>
        <v>0</v>
      </c>
      <c r="BN561" s="75">
        <f t="shared" si="105"/>
        <v>0</v>
      </c>
      <c r="BO561" s="75">
        <f t="shared" si="106"/>
        <v>0</v>
      </c>
      <c r="BP561" s="75">
        <f t="shared" si="107"/>
        <v>0</v>
      </c>
    </row>
    <row r="562" spans="1:68" x14ac:dyDescent="0.2">
      <c r="A562" s="759"/>
      <c r="B562" s="759"/>
      <c r="C562" s="759"/>
      <c r="D562" s="759"/>
      <c r="E562" s="759"/>
      <c r="F562" s="759"/>
      <c r="G562" s="759"/>
      <c r="H562" s="759"/>
      <c r="I562" s="759"/>
      <c r="J562" s="759"/>
      <c r="K562" s="759"/>
      <c r="L562" s="759"/>
      <c r="M562" s="759"/>
      <c r="N562" s="759"/>
      <c r="O562" s="767"/>
      <c r="P562" s="764" t="s">
        <v>40</v>
      </c>
      <c r="Q562" s="765"/>
      <c r="R562" s="765"/>
      <c r="S562" s="765"/>
      <c r="T562" s="765"/>
      <c r="U562" s="765"/>
      <c r="V562" s="766"/>
      <c r="W562" s="40" t="s">
        <v>39</v>
      </c>
      <c r="X562" s="41">
        <f>IFERROR(X550/H550,"0")+IFERROR(X551/H551,"0")+IFERROR(X552/H552,"0")+IFERROR(X553/H553,"0")+IFERROR(X554/H554,"0")+IFERROR(X555/H555,"0")+IFERROR(X556/H556,"0")+IFERROR(X557/H557,"0")+IFERROR(X558/H558,"0")+IFERROR(X559/H559,"0")+IFERROR(X560/H560,"0")+IFERROR(X561/H561,"0")</f>
        <v>0</v>
      </c>
      <c r="Y562" s="41">
        <f>IFERROR(Y550/H550,"0")+IFERROR(Y551/H551,"0")+IFERROR(Y552/H552,"0")+IFERROR(Y553/H553,"0")+IFERROR(Y554/H554,"0")+IFERROR(Y555/H555,"0")+IFERROR(Y556/H556,"0")+IFERROR(Y557/H557,"0")+IFERROR(Y558/H558,"0")+IFERROR(Y559/H559,"0")+IFERROR(Y560/H560,"0")+IFERROR(Y561/H561,"0")</f>
        <v>0</v>
      </c>
      <c r="Z562" s="41">
        <f>IFERROR(IF(Z550="",0,Z550),"0")+IFERROR(IF(Z551="",0,Z551),"0")+IFERROR(IF(Z552="",0,Z552),"0")+IFERROR(IF(Z553="",0,Z553),"0")+IFERROR(IF(Z554="",0,Z554),"0")+IFERROR(IF(Z555="",0,Z555),"0")+IFERROR(IF(Z556="",0,Z556),"0")+IFERROR(IF(Z557="",0,Z557),"0")+IFERROR(IF(Z558="",0,Z558),"0")+IFERROR(IF(Z559="",0,Z559),"0")+IFERROR(IF(Z560="",0,Z560),"0")+IFERROR(IF(Z561="",0,Z561),"0")</f>
        <v>0</v>
      </c>
      <c r="AA562" s="64"/>
      <c r="AB562" s="64"/>
      <c r="AC562" s="64"/>
    </row>
    <row r="563" spans="1:68" x14ac:dyDescent="0.2">
      <c r="A563" s="759"/>
      <c r="B563" s="759"/>
      <c r="C563" s="759"/>
      <c r="D563" s="759"/>
      <c r="E563" s="759"/>
      <c r="F563" s="759"/>
      <c r="G563" s="759"/>
      <c r="H563" s="759"/>
      <c r="I563" s="759"/>
      <c r="J563" s="759"/>
      <c r="K563" s="759"/>
      <c r="L563" s="759"/>
      <c r="M563" s="759"/>
      <c r="N563" s="759"/>
      <c r="O563" s="767"/>
      <c r="P563" s="764" t="s">
        <v>40</v>
      </c>
      <c r="Q563" s="765"/>
      <c r="R563" s="765"/>
      <c r="S563" s="765"/>
      <c r="T563" s="765"/>
      <c r="U563" s="765"/>
      <c r="V563" s="766"/>
      <c r="W563" s="40" t="s">
        <v>0</v>
      </c>
      <c r="X563" s="41">
        <f>IFERROR(SUM(X550:X561),"0")</f>
        <v>0</v>
      </c>
      <c r="Y563" s="41">
        <f>IFERROR(SUM(Y550:Y561),"0")</f>
        <v>0</v>
      </c>
      <c r="Z563" s="40"/>
      <c r="AA563" s="64"/>
      <c r="AB563" s="64"/>
      <c r="AC563" s="64"/>
    </row>
    <row r="564" spans="1:68" ht="14.25" customHeight="1" x14ac:dyDescent="0.25">
      <c r="A564" s="768" t="s">
        <v>78</v>
      </c>
      <c r="B564" s="768"/>
      <c r="C564" s="768"/>
      <c r="D564" s="768"/>
      <c r="E564" s="768"/>
      <c r="F564" s="768"/>
      <c r="G564" s="768"/>
      <c r="H564" s="768"/>
      <c r="I564" s="768"/>
      <c r="J564" s="768"/>
      <c r="K564" s="768"/>
      <c r="L564" s="768"/>
      <c r="M564" s="768"/>
      <c r="N564" s="768"/>
      <c r="O564" s="768"/>
      <c r="P564" s="768"/>
      <c r="Q564" s="768"/>
      <c r="R564" s="768"/>
      <c r="S564" s="768"/>
      <c r="T564" s="768"/>
      <c r="U564" s="768"/>
      <c r="V564" s="768"/>
      <c r="W564" s="768"/>
      <c r="X564" s="768"/>
      <c r="Y564" s="768"/>
      <c r="Z564" s="768"/>
      <c r="AA564" s="63"/>
      <c r="AB564" s="63"/>
      <c r="AC564" s="63"/>
    </row>
    <row r="565" spans="1:68" ht="27" customHeight="1" x14ac:dyDescent="0.25">
      <c r="A565" s="60" t="s">
        <v>906</v>
      </c>
      <c r="B565" s="60" t="s">
        <v>907</v>
      </c>
      <c r="C565" s="34">
        <v>4301051230</v>
      </c>
      <c r="D565" s="769">
        <v>4607091383409</v>
      </c>
      <c r="E565" s="769"/>
      <c r="F565" s="59">
        <v>1.3</v>
      </c>
      <c r="G565" s="35">
        <v>6</v>
      </c>
      <c r="H565" s="59">
        <v>7.8</v>
      </c>
      <c r="I565" s="59">
        <v>8.3010000000000002</v>
      </c>
      <c r="J565" s="35">
        <v>64</v>
      </c>
      <c r="K565" s="35" t="s">
        <v>107</v>
      </c>
      <c r="L565" s="35" t="s">
        <v>45</v>
      </c>
      <c r="M565" s="36" t="s">
        <v>82</v>
      </c>
      <c r="N565" s="36"/>
      <c r="O565" s="35">
        <v>45</v>
      </c>
      <c r="P565" s="81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65" s="771"/>
      <c r="R565" s="771"/>
      <c r="S565" s="771"/>
      <c r="T565" s="772"/>
      <c r="U565" s="37" t="s">
        <v>45</v>
      </c>
      <c r="V565" s="37" t="s">
        <v>45</v>
      </c>
      <c r="W565" s="38" t="s">
        <v>0</v>
      </c>
      <c r="X565" s="56">
        <v>0</v>
      </c>
      <c r="Y565" s="53">
        <f>IFERROR(IF(X565="",0,CEILING((X565/$H565),1)*$H565),"")</f>
        <v>0</v>
      </c>
      <c r="Z565" s="39" t="str">
        <f>IFERROR(IF(Y565=0,"",ROUNDUP(Y565/H565,0)*0.01898),"")</f>
        <v/>
      </c>
      <c r="AA565" s="65" t="s">
        <v>45</v>
      </c>
      <c r="AB565" s="66" t="s">
        <v>45</v>
      </c>
      <c r="AC565" s="671" t="s">
        <v>908</v>
      </c>
      <c r="AG565" s="75"/>
      <c r="AJ565" s="79" t="s">
        <v>45</v>
      </c>
      <c r="AK565" s="79">
        <v>0</v>
      </c>
      <c r="BB565" s="672" t="s">
        <v>66</v>
      </c>
      <c r="BM565" s="75">
        <f>IFERROR(X565*I565/H565,"0")</f>
        <v>0</v>
      </c>
      <c r="BN565" s="75">
        <f>IFERROR(Y565*I565/H565,"0")</f>
        <v>0</v>
      </c>
      <c r="BO565" s="75">
        <f>IFERROR(1/J565*(X565/H565),"0")</f>
        <v>0</v>
      </c>
      <c r="BP565" s="75">
        <f>IFERROR(1/J565*(Y565/H565),"0")</f>
        <v>0</v>
      </c>
    </row>
    <row r="566" spans="1:68" ht="27" customHeight="1" x14ac:dyDescent="0.25">
      <c r="A566" s="60" t="s">
        <v>909</v>
      </c>
      <c r="B566" s="60" t="s">
        <v>910</v>
      </c>
      <c r="C566" s="34">
        <v>4301051231</v>
      </c>
      <c r="D566" s="769">
        <v>4607091383416</v>
      </c>
      <c r="E566" s="769"/>
      <c r="F566" s="59">
        <v>1.3</v>
      </c>
      <c r="G566" s="35">
        <v>6</v>
      </c>
      <c r="H566" s="59">
        <v>7.8</v>
      </c>
      <c r="I566" s="59">
        <v>8.3010000000000002</v>
      </c>
      <c r="J566" s="35">
        <v>64</v>
      </c>
      <c r="K566" s="35" t="s">
        <v>107</v>
      </c>
      <c r="L566" s="35" t="s">
        <v>45</v>
      </c>
      <c r="M566" s="36" t="s">
        <v>82</v>
      </c>
      <c r="N566" s="36"/>
      <c r="O566" s="35">
        <v>45</v>
      </c>
      <c r="P566" s="81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66" s="771"/>
      <c r="R566" s="771"/>
      <c r="S566" s="771"/>
      <c r="T566" s="772"/>
      <c r="U566" s="37" t="s">
        <v>45</v>
      </c>
      <c r="V566" s="37" t="s">
        <v>45</v>
      </c>
      <c r="W566" s="38" t="s">
        <v>0</v>
      </c>
      <c r="X566" s="56">
        <v>0</v>
      </c>
      <c r="Y566" s="53">
        <f>IFERROR(IF(X566="",0,CEILING((X566/$H566),1)*$H566),"")</f>
        <v>0</v>
      </c>
      <c r="Z566" s="39" t="str">
        <f>IFERROR(IF(Y566=0,"",ROUNDUP(Y566/H566,0)*0.01898),"")</f>
        <v/>
      </c>
      <c r="AA566" s="65" t="s">
        <v>45</v>
      </c>
      <c r="AB566" s="66" t="s">
        <v>45</v>
      </c>
      <c r="AC566" s="673" t="s">
        <v>911</v>
      </c>
      <c r="AG566" s="75"/>
      <c r="AJ566" s="79" t="s">
        <v>45</v>
      </c>
      <c r="AK566" s="79">
        <v>0</v>
      </c>
      <c r="BB566" s="674" t="s">
        <v>66</v>
      </c>
      <c r="BM566" s="75">
        <f>IFERROR(X566*I566/H566,"0")</f>
        <v>0</v>
      </c>
      <c r="BN566" s="75">
        <f>IFERROR(Y566*I566/H566,"0")</f>
        <v>0</v>
      </c>
      <c r="BO566" s="75">
        <f>IFERROR(1/J566*(X566/H566),"0")</f>
        <v>0</v>
      </c>
      <c r="BP566" s="75">
        <f>IFERROR(1/J566*(Y566/H566),"0")</f>
        <v>0</v>
      </c>
    </row>
    <row r="567" spans="1:68" ht="37.5" customHeight="1" x14ac:dyDescent="0.25">
      <c r="A567" s="60" t="s">
        <v>912</v>
      </c>
      <c r="B567" s="60" t="s">
        <v>913</v>
      </c>
      <c r="C567" s="34">
        <v>4301051058</v>
      </c>
      <c r="D567" s="769">
        <v>4680115883536</v>
      </c>
      <c r="E567" s="769"/>
      <c r="F567" s="59">
        <v>0.3</v>
      </c>
      <c r="G567" s="35">
        <v>6</v>
      </c>
      <c r="H567" s="59">
        <v>1.8</v>
      </c>
      <c r="I567" s="59">
        <v>2.0459999999999998</v>
      </c>
      <c r="J567" s="35">
        <v>182</v>
      </c>
      <c r="K567" s="35" t="s">
        <v>83</v>
      </c>
      <c r="L567" s="35" t="s">
        <v>45</v>
      </c>
      <c r="M567" s="36" t="s">
        <v>82</v>
      </c>
      <c r="N567" s="36"/>
      <c r="O567" s="35">
        <v>45</v>
      </c>
      <c r="P567" s="81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67" s="771"/>
      <c r="R567" s="771"/>
      <c r="S567" s="771"/>
      <c r="T567" s="772"/>
      <c r="U567" s="37" t="s">
        <v>45</v>
      </c>
      <c r="V567" s="37" t="s">
        <v>45</v>
      </c>
      <c r="W567" s="38" t="s">
        <v>0</v>
      </c>
      <c r="X567" s="56">
        <v>0</v>
      </c>
      <c r="Y567" s="53">
        <f>IFERROR(IF(X567="",0,CEILING((X567/$H567),1)*$H567),"")</f>
        <v>0</v>
      </c>
      <c r="Z567" s="39" t="str">
        <f>IFERROR(IF(Y567=0,"",ROUNDUP(Y567/H567,0)*0.00651),"")</f>
        <v/>
      </c>
      <c r="AA567" s="65" t="s">
        <v>45</v>
      </c>
      <c r="AB567" s="66" t="s">
        <v>45</v>
      </c>
      <c r="AC567" s="675" t="s">
        <v>914</v>
      </c>
      <c r="AG567" s="75"/>
      <c r="AJ567" s="79" t="s">
        <v>45</v>
      </c>
      <c r="AK567" s="79">
        <v>0</v>
      </c>
      <c r="BB567" s="676" t="s">
        <v>66</v>
      </c>
      <c r="BM567" s="75">
        <f>IFERROR(X567*I567/H567,"0")</f>
        <v>0</v>
      </c>
      <c r="BN567" s="75">
        <f>IFERROR(Y567*I567/H567,"0")</f>
        <v>0</v>
      </c>
      <c r="BO567" s="75">
        <f>IFERROR(1/J567*(X567/H567),"0")</f>
        <v>0</v>
      </c>
      <c r="BP567" s="75">
        <f>IFERROR(1/J567*(Y567/H567),"0")</f>
        <v>0</v>
      </c>
    </row>
    <row r="568" spans="1:68" x14ac:dyDescent="0.2">
      <c r="A568" s="759"/>
      <c r="B568" s="759"/>
      <c r="C568" s="759"/>
      <c r="D568" s="759"/>
      <c r="E568" s="759"/>
      <c r="F568" s="759"/>
      <c r="G568" s="759"/>
      <c r="H568" s="759"/>
      <c r="I568" s="759"/>
      <c r="J568" s="759"/>
      <c r="K568" s="759"/>
      <c r="L568" s="759"/>
      <c r="M568" s="759"/>
      <c r="N568" s="759"/>
      <c r="O568" s="767"/>
      <c r="P568" s="764" t="s">
        <v>40</v>
      </c>
      <c r="Q568" s="765"/>
      <c r="R568" s="765"/>
      <c r="S568" s="765"/>
      <c r="T568" s="765"/>
      <c r="U568" s="765"/>
      <c r="V568" s="766"/>
      <c r="W568" s="40" t="s">
        <v>39</v>
      </c>
      <c r="X568" s="41">
        <f>IFERROR(X565/H565,"0")+IFERROR(X566/H566,"0")+IFERROR(X567/H567,"0")</f>
        <v>0</v>
      </c>
      <c r="Y568" s="41">
        <f>IFERROR(Y565/H565,"0")+IFERROR(Y566/H566,"0")+IFERROR(Y567/H567,"0")</f>
        <v>0</v>
      </c>
      <c r="Z568" s="41">
        <f>IFERROR(IF(Z565="",0,Z565),"0")+IFERROR(IF(Z566="",0,Z566),"0")+IFERROR(IF(Z567="",0,Z567),"0")</f>
        <v>0</v>
      </c>
      <c r="AA568" s="64"/>
      <c r="AB568" s="64"/>
      <c r="AC568" s="64"/>
    </row>
    <row r="569" spans="1:68" x14ac:dyDescent="0.2">
      <c r="A569" s="759"/>
      <c r="B569" s="759"/>
      <c r="C569" s="759"/>
      <c r="D569" s="759"/>
      <c r="E569" s="759"/>
      <c r="F569" s="759"/>
      <c r="G569" s="759"/>
      <c r="H569" s="759"/>
      <c r="I569" s="759"/>
      <c r="J569" s="759"/>
      <c r="K569" s="759"/>
      <c r="L569" s="759"/>
      <c r="M569" s="759"/>
      <c r="N569" s="759"/>
      <c r="O569" s="767"/>
      <c r="P569" s="764" t="s">
        <v>40</v>
      </c>
      <c r="Q569" s="765"/>
      <c r="R569" s="765"/>
      <c r="S569" s="765"/>
      <c r="T569" s="765"/>
      <c r="U569" s="765"/>
      <c r="V569" s="766"/>
      <c r="W569" s="40" t="s">
        <v>0</v>
      </c>
      <c r="X569" s="41">
        <f>IFERROR(SUM(X565:X567),"0")</f>
        <v>0</v>
      </c>
      <c r="Y569" s="41">
        <f>IFERROR(SUM(Y565:Y567),"0")</f>
        <v>0</v>
      </c>
      <c r="Z569" s="40"/>
      <c r="AA569" s="64"/>
      <c r="AB569" s="64"/>
      <c r="AC569" s="64"/>
    </row>
    <row r="570" spans="1:68" ht="14.25" customHeight="1" x14ac:dyDescent="0.25">
      <c r="A570" s="768" t="s">
        <v>195</v>
      </c>
      <c r="B570" s="768"/>
      <c r="C570" s="768"/>
      <c r="D570" s="768"/>
      <c r="E570" s="768"/>
      <c r="F570" s="768"/>
      <c r="G570" s="768"/>
      <c r="H570" s="768"/>
      <c r="I570" s="768"/>
      <c r="J570" s="768"/>
      <c r="K570" s="768"/>
      <c r="L570" s="768"/>
      <c r="M570" s="768"/>
      <c r="N570" s="768"/>
      <c r="O570" s="768"/>
      <c r="P570" s="768"/>
      <c r="Q570" s="768"/>
      <c r="R570" s="768"/>
      <c r="S570" s="768"/>
      <c r="T570" s="768"/>
      <c r="U570" s="768"/>
      <c r="V570" s="768"/>
      <c r="W570" s="768"/>
      <c r="X570" s="768"/>
      <c r="Y570" s="768"/>
      <c r="Z570" s="768"/>
      <c r="AA570" s="63"/>
      <c r="AB570" s="63"/>
      <c r="AC570" s="63"/>
    </row>
    <row r="571" spans="1:68" ht="37.5" customHeight="1" x14ac:dyDescent="0.25">
      <c r="A571" s="60" t="s">
        <v>915</v>
      </c>
      <c r="B571" s="60" t="s">
        <v>916</v>
      </c>
      <c r="C571" s="34">
        <v>4301060363</v>
      </c>
      <c r="D571" s="769">
        <v>4680115885035</v>
      </c>
      <c r="E571" s="769"/>
      <c r="F571" s="59">
        <v>1</v>
      </c>
      <c r="G571" s="35">
        <v>4</v>
      </c>
      <c r="H571" s="59">
        <v>4</v>
      </c>
      <c r="I571" s="59">
        <v>4.4160000000000004</v>
      </c>
      <c r="J571" s="35">
        <v>104</v>
      </c>
      <c r="K571" s="35" t="s">
        <v>107</v>
      </c>
      <c r="L571" s="35" t="s">
        <v>45</v>
      </c>
      <c r="M571" s="36" t="s">
        <v>82</v>
      </c>
      <c r="N571" s="36"/>
      <c r="O571" s="35">
        <v>35</v>
      </c>
      <c r="P571" s="816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71" s="771"/>
      <c r="R571" s="771"/>
      <c r="S571" s="771"/>
      <c r="T571" s="772"/>
      <c r="U571" s="37" t="s">
        <v>45</v>
      </c>
      <c r="V571" s="37" t="s">
        <v>45</v>
      </c>
      <c r="W571" s="38" t="s">
        <v>0</v>
      </c>
      <c r="X571" s="56">
        <v>0</v>
      </c>
      <c r="Y571" s="53">
        <f>IFERROR(IF(X571="",0,CEILING((X571/$H571),1)*$H571),"")</f>
        <v>0</v>
      </c>
      <c r="Z571" s="39" t="str">
        <f>IFERROR(IF(Y571=0,"",ROUNDUP(Y571/H571,0)*0.01196),"")</f>
        <v/>
      </c>
      <c r="AA571" s="65" t="s">
        <v>45</v>
      </c>
      <c r="AB571" s="66" t="s">
        <v>45</v>
      </c>
      <c r="AC571" s="677" t="s">
        <v>917</v>
      </c>
      <c r="AG571" s="75"/>
      <c r="AJ571" s="79" t="s">
        <v>45</v>
      </c>
      <c r="AK571" s="79">
        <v>0</v>
      </c>
      <c r="BB571" s="678" t="s">
        <v>66</v>
      </c>
      <c r="BM571" s="75">
        <f>IFERROR(X571*I571/H571,"0")</f>
        <v>0</v>
      </c>
      <c r="BN571" s="75">
        <f>IFERROR(Y571*I571/H571,"0")</f>
        <v>0</v>
      </c>
      <c r="BO571" s="75">
        <f>IFERROR(1/J571*(X571/H571),"0")</f>
        <v>0</v>
      </c>
      <c r="BP571" s="75">
        <f>IFERROR(1/J571*(Y571/H571),"0")</f>
        <v>0</v>
      </c>
    </row>
    <row r="572" spans="1:68" ht="37.5" customHeight="1" x14ac:dyDescent="0.25">
      <c r="A572" s="60" t="s">
        <v>918</v>
      </c>
      <c r="B572" s="60" t="s">
        <v>919</v>
      </c>
      <c r="C572" s="34">
        <v>4301060436</v>
      </c>
      <c r="D572" s="769">
        <v>4680115885936</v>
      </c>
      <c r="E572" s="769"/>
      <c r="F572" s="59">
        <v>1.3</v>
      </c>
      <c r="G572" s="35">
        <v>6</v>
      </c>
      <c r="H572" s="59">
        <v>7.8</v>
      </c>
      <c r="I572" s="59">
        <v>8.2349999999999994</v>
      </c>
      <c r="J572" s="35">
        <v>64</v>
      </c>
      <c r="K572" s="35" t="s">
        <v>107</v>
      </c>
      <c r="L572" s="35" t="s">
        <v>45</v>
      </c>
      <c r="M572" s="36" t="s">
        <v>82</v>
      </c>
      <c r="N572" s="36"/>
      <c r="O572" s="35">
        <v>35</v>
      </c>
      <c r="P572" s="808" t="s">
        <v>920</v>
      </c>
      <c r="Q572" s="771"/>
      <c r="R572" s="771"/>
      <c r="S572" s="771"/>
      <c r="T572" s="772"/>
      <c r="U572" s="37" t="s">
        <v>45</v>
      </c>
      <c r="V572" s="37" t="s">
        <v>45</v>
      </c>
      <c r="W572" s="38" t="s">
        <v>0</v>
      </c>
      <c r="X572" s="56">
        <v>0</v>
      </c>
      <c r="Y572" s="53">
        <f>IFERROR(IF(X572="",0,CEILING((X572/$H572),1)*$H572),"")</f>
        <v>0</v>
      </c>
      <c r="Z572" s="39" t="str">
        <f>IFERROR(IF(Y572=0,"",ROUNDUP(Y572/H572,0)*0.01898),"")</f>
        <v/>
      </c>
      <c r="AA572" s="65" t="s">
        <v>45</v>
      </c>
      <c r="AB572" s="66" t="s">
        <v>45</v>
      </c>
      <c r="AC572" s="679" t="s">
        <v>917</v>
      </c>
      <c r="AG572" s="75"/>
      <c r="AJ572" s="79" t="s">
        <v>45</v>
      </c>
      <c r="AK572" s="79">
        <v>0</v>
      </c>
      <c r="BB572" s="680" t="s">
        <v>66</v>
      </c>
      <c r="BM572" s="75">
        <f>IFERROR(X572*I572/H572,"0")</f>
        <v>0</v>
      </c>
      <c r="BN572" s="75">
        <f>IFERROR(Y572*I572/H572,"0")</f>
        <v>0</v>
      </c>
      <c r="BO572" s="75">
        <f>IFERROR(1/J572*(X572/H572),"0")</f>
        <v>0</v>
      </c>
      <c r="BP572" s="75">
        <f>IFERROR(1/J572*(Y572/H572),"0")</f>
        <v>0</v>
      </c>
    </row>
    <row r="573" spans="1:68" x14ac:dyDescent="0.2">
      <c r="A573" s="759"/>
      <c r="B573" s="759"/>
      <c r="C573" s="759"/>
      <c r="D573" s="759"/>
      <c r="E573" s="759"/>
      <c r="F573" s="759"/>
      <c r="G573" s="759"/>
      <c r="H573" s="759"/>
      <c r="I573" s="759"/>
      <c r="J573" s="759"/>
      <c r="K573" s="759"/>
      <c r="L573" s="759"/>
      <c r="M573" s="759"/>
      <c r="N573" s="759"/>
      <c r="O573" s="767"/>
      <c r="P573" s="764" t="s">
        <v>40</v>
      </c>
      <c r="Q573" s="765"/>
      <c r="R573" s="765"/>
      <c r="S573" s="765"/>
      <c r="T573" s="765"/>
      <c r="U573" s="765"/>
      <c r="V573" s="766"/>
      <c r="W573" s="40" t="s">
        <v>39</v>
      </c>
      <c r="X573" s="41">
        <f>IFERROR(X571/H571,"0")+IFERROR(X572/H572,"0")</f>
        <v>0</v>
      </c>
      <c r="Y573" s="41">
        <f>IFERROR(Y571/H571,"0")+IFERROR(Y572/H572,"0")</f>
        <v>0</v>
      </c>
      <c r="Z573" s="41">
        <f>IFERROR(IF(Z571="",0,Z571),"0")+IFERROR(IF(Z572="",0,Z572),"0")</f>
        <v>0</v>
      </c>
      <c r="AA573" s="64"/>
      <c r="AB573" s="64"/>
      <c r="AC573" s="64"/>
    </row>
    <row r="574" spans="1:68" x14ac:dyDescent="0.2">
      <c r="A574" s="759"/>
      <c r="B574" s="759"/>
      <c r="C574" s="759"/>
      <c r="D574" s="759"/>
      <c r="E574" s="759"/>
      <c r="F574" s="759"/>
      <c r="G574" s="759"/>
      <c r="H574" s="759"/>
      <c r="I574" s="759"/>
      <c r="J574" s="759"/>
      <c r="K574" s="759"/>
      <c r="L574" s="759"/>
      <c r="M574" s="759"/>
      <c r="N574" s="759"/>
      <c r="O574" s="767"/>
      <c r="P574" s="764" t="s">
        <v>40</v>
      </c>
      <c r="Q574" s="765"/>
      <c r="R574" s="765"/>
      <c r="S574" s="765"/>
      <c r="T574" s="765"/>
      <c r="U574" s="765"/>
      <c r="V574" s="766"/>
      <c r="W574" s="40" t="s">
        <v>0</v>
      </c>
      <c r="X574" s="41">
        <f>IFERROR(SUM(X571:X572),"0")</f>
        <v>0</v>
      </c>
      <c r="Y574" s="41">
        <f>IFERROR(SUM(Y571:Y572),"0")</f>
        <v>0</v>
      </c>
      <c r="Z574" s="40"/>
      <c r="AA574" s="64"/>
      <c r="AB574" s="64"/>
      <c r="AC574" s="64"/>
    </row>
    <row r="575" spans="1:68" ht="27.75" customHeight="1" x14ac:dyDescent="0.2">
      <c r="A575" s="809" t="s">
        <v>921</v>
      </c>
      <c r="B575" s="809"/>
      <c r="C575" s="809"/>
      <c r="D575" s="809"/>
      <c r="E575" s="809"/>
      <c r="F575" s="809"/>
      <c r="G575" s="809"/>
      <c r="H575" s="809"/>
      <c r="I575" s="809"/>
      <c r="J575" s="809"/>
      <c r="K575" s="809"/>
      <c r="L575" s="809"/>
      <c r="M575" s="809"/>
      <c r="N575" s="809"/>
      <c r="O575" s="809"/>
      <c r="P575" s="809"/>
      <c r="Q575" s="809"/>
      <c r="R575" s="809"/>
      <c r="S575" s="809"/>
      <c r="T575" s="809"/>
      <c r="U575" s="809"/>
      <c r="V575" s="809"/>
      <c r="W575" s="809"/>
      <c r="X575" s="809"/>
      <c r="Y575" s="809"/>
      <c r="Z575" s="809"/>
      <c r="AA575" s="52"/>
      <c r="AB575" s="52"/>
      <c r="AC575" s="52"/>
    </row>
    <row r="576" spans="1:68" ht="16.5" customHeight="1" x14ac:dyDescent="0.25">
      <c r="A576" s="776" t="s">
        <v>921</v>
      </c>
      <c r="B576" s="776"/>
      <c r="C576" s="776"/>
      <c r="D576" s="776"/>
      <c r="E576" s="776"/>
      <c r="F576" s="776"/>
      <c r="G576" s="776"/>
      <c r="H576" s="776"/>
      <c r="I576" s="776"/>
      <c r="J576" s="776"/>
      <c r="K576" s="776"/>
      <c r="L576" s="776"/>
      <c r="M576" s="776"/>
      <c r="N576" s="776"/>
      <c r="O576" s="776"/>
      <c r="P576" s="776"/>
      <c r="Q576" s="776"/>
      <c r="R576" s="776"/>
      <c r="S576" s="776"/>
      <c r="T576" s="776"/>
      <c r="U576" s="776"/>
      <c r="V576" s="776"/>
      <c r="W576" s="776"/>
      <c r="X576" s="776"/>
      <c r="Y576" s="776"/>
      <c r="Z576" s="776"/>
      <c r="AA576" s="62"/>
      <c r="AB576" s="62"/>
      <c r="AC576" s="62"/>
    </row>
    <row r="577" spans="1:68" ht="14.25" customHeight="1" x14ac:dyDescent="0.25">
      <c r="A577" s="768" t="s">
        <v>101</v>
      </c>
      <c r="B577" s="768"/>
      <c r="C577" s="768"/>
      <c r="D577" s="768"/>
      <c r="E577" s="768"/>
      <c r="F577" s="768"/>
      <c r="G577" s="768"/>
      <c r="H577" s="768"/>
      <c r="I577" s="768"/>
      <c r="J577" s="768"/>
      <c r="K577" s="768"/>
      <c r="L577" s="768"/>
      <c r="M577" s="768"/>
      <c r="N577" s="768"/>
      <c r="O577" s="768"/>
      <c r="P577" s="768"/>
      <c r="Q577" s="768"/>
      <c r="R577" s="768"/>
      <c r="S577" s="768"/>
      <c r="T577" s="768"/>
      <c r="U577" s="768"/>
      <c r="V577" s="768"/>
      <c r="W577" s="768"/>
      <c r="X577" s="768"/>
      <c r="Y577" s="768"/>
      <c r="Z577" s="768"/>
      <c r="AA577" s="63"/>
      <c r="AB577" s="63"/>
      <c r="AC577" s="63"/>
    </row>
    <row r="578" spans="1:68" ht="27" customHeight="1" x14ac:dyDescent="0.25">
      <c r="A578" s="60" t="s">
        <v>922</v>
      </c>
      <c r="B578" s="60" t="s">
        <v>923</v>
      </c>
      <c r="C578" s="34">
        <v>4301011862</v>
      </c>
      <c r="D578" s="769">
        <v>4680115885523</v>
      </c>
      <c r="E578" s="769"/>
      <c r="F578" s="59">
        <v>1</v>
      </c>
      <c r="G578" s="35">
        <v>6</v>
      </c>
      <c r="H578" s="59">
        <v>6</v>
      </c>
      <c r="I578" s="59">
        <v>6.36</v>
      </c>
      <c r="J578" s="35">
        <v>104</v>
      </c>
      <c r="K578" s="35" t="s">
        <v>107</v>
      </c>
      <c r="L578" s="35" t="s">
        <v>45</v>
      </c>
      <c r="M578" s="36" t="s">
        <v>926</v>
      </c>
      <c r="N578" s="36"/>
      <c r="O578" s="35">
        <v>90</v>
      </c>
      <c r="P578" s="810" t="s">
        <v>924</v>
      </c>
      <c r="Q578" s="771"/>
      <c r="R578" s="771"/>
      <c r="S578" s="771"/>
      <c r="T578" s="772"/>
      <c r="U578" s="37" t="s">
        <v>45</v>
      </c>
      <c r="V578" s="37" t="s">
        <v>45</v>
      </c>
      <c r="W578" s="38" t="s">
        <v>0</v>
      </c>
      <c r="X578" s="56">
        <v>0</v>
      </c>
      <c r="Y578" s="53">
        <f>IFERROR(IF(X578="",0,CEILING((X578/$H578),1)*$H578),"")</f>
        <v>0</v>
      </c>
      <c r="Z578" s="39" t="str">
        <f>IFERROR(IF(Y578=0,"",ROUNDUP(Y578/H578,0)*0.01196),"")</f>
        <v/>
      </c>
      <c r="AA578" s="65" t="s">
        <v>45</v>
      </c>
      <c r="AB578" s="66" t="s">
        <v>45</v>
      </c>
      <c r="AC578" s="681" t="s">
        <v>925</v>
      </c>
      <c r="AG578" s="75"/>
      <c r="AJ578" s="79" t="s">
        <v>45</v>
      </c>
      <c r="AK578" s="79">
        <v>0</v>
      </c>
      <c r="BB578" s="682" t="s">
        <v>66</v>
      </c>
      <c r="BM578" s="75">
        <f>IFERROR(X578*I578/H578,"0")</f>
        <v>0</v>
      </c>
      <c r="BN578" s="75">
        <f>IFERROR(Y578*I578/H578,"0")</f>
        <v>0</v>
      </c>
      <c r="BO578" s="75">
        <f>IFERROR(1/J578*(X578/H578),"0")</f>
        <v>0</v>
      </c>
      <c r="BP578" s="75">
        <f>IFERROR(1/J578*(Y578/H578),"0")</f>
        <v>0</v>
      </c>
    </row>
    <row r="579" spans="1:68" x14ac:dyDescent="0.2">
      <c r="A579" s="759"/>
      <c r="B579" s="759"/>
      <c r="C579" s="759"/>
      <c r="D579" s="759"/>
      <c r="E579" s="759"/>
      <c r="F579" s="759"/>
      <c r="G579" s="759"/>
      <c r="H579" s="759"/>
      <c r="I579" s="759"/>
      <c r="J579" s="759"/>
      <c r="K579" s="759"/>
      <c r="L579" s="759"/>
      <c r="M579" s="759"/>
      <c r="N579" s="759"/>
      <c r="O579" s="767"/>
      <c r="P579" s="764" t="s">
        <v>40</v>
      </c>
      <c r="Q579" s="765"/>
      <c r="R579" s="765"/>
      <c r="S579" s="765"/>
      <c r="T579" s="765"/>
      <c r="U579" s="765"/>
      <c r="V579" s="766"/>
      <c r="W579" s="40" t="s">
        <v>39</v>
      </c>
      <c r="X579" s="41">
        <f>IFERROR(X578/H578,"0")</f>
        <v>0</v>
      </c>
      <c r="Y579" s="41">
        <f>IFERROR(Y578/H578,"0")</f>
        <v>0</v>
      </c>
      <c r="Z579" s="41">
        <f>IFERROR(IF(Z578="",0,Z578),"0")</f>
        <v>0</v>
      </c>
      <c r="AA579" s="64"/>
      <c r="AB579" s="64"/>
      <c r="AC579" s="64"/>
    </row>
    <row r="580" spans="1:68" x14ac:dyDescent="0.2">
      <c r="A580" s="759"/>
      <c r="B580" s="759"/>
      <c r="C580" s="759"/>
      <c r="D580" s="759"/>
      <c r="E580" s="759"/>
      <c r="F580" s="759"/>
      <c r="G580" s="759"/>
      <c r="H580" s="759"/>
      <c r="I580" s="759"/>
      <c r="J580" s="759"/>
      <c r="K580" s="759"/>
      <c r="L580" s="759"/>
      <c r="M580" s="759"/>
      <c r="N580" s="759"/>
      <c r="O580" s="767"/>
      <c r="P580" s="764" t="s">
        <v>40</v>
      </c>
      <c r="Q580" s="765"/>
      <c r="R580" s="765"/>
      <c r="S580" s="765"/>
      <c r="T580" s="765"/>
      <c r="U580" s="765"/>
      <c r="V580" s="766"/>
      <c r="W580" s="40" t="s">
        <v>0</v>
      </c>
      <c r="X580" s="41">
        <f>IFERROR(SUM(X578:X578),"0")</f>
        <v>0</v>
      </c>
      <c r="Y580" s="41">
        <f>IFERROR(SUM(Y578:Y578),"0")</f>
        <v>0</v>
      </c>
      <c r="Z580" s="40"/>
      <c r="AA580" s="64"/>
      <c r="AB580" s="64"/>
      <c r="AC580" s="64"/>
    </row>
    <row r="581" spans="1:68" ht="27.75" customHeight="1" x14ac:dyDescent="0.2">
      <c r="A581" s="809" t="s">
        <v>927</v>
      </c>
      <c r="B581" s="809"/>
      <c r="C581" s="809"/>
      <c r="D581" s="809"/>
      <c r="E581" s="809"/>
      <c r="F581" s="809"/>
      <c r="G581" s="809"/>
      <c r="H581" s="809"/>
      <c r="I581" s="809"/>
      <c r="J581" s="809"/>
      <c r="K581" s="809"/>
      <c r="L581" s="809"/>
      <c r="M581" s="809"/>
      <c r="N581" s="809"/>
      <c r="O581" s="809"/>
      <c r="P581" s="809"/>
      <c r="Q581" s="809"/>
      <c r="R581" s="809"/>
      <c r="S581" s="809"/>
      <c r="T581" s="809"/>
      <c r="U581" s="809"/>
      <c r="V581" s="809"/>
      <c r="W581" s="809"/>
      <c r="X581" s="809"/>
      <c r="Y581" s="809"/>
      <c r="Z581" s="809"/>
      <c r="AA581" s="52"/>
      <c r="AB581" s="52"/>
      <c r="AC581" s="52"/>
    </row>
    <row r="582" spans="1:68" ht="16.5" customHeight="1" x14ac:dyDescent="0.25">
      <c r="A582" s="776" t="s">
        <v>927</v>
      </c>
      <c r="B582" s="776"/>
      <c r="C582" s="776"/>
      <c r="D582" s="776"/>
      <c r="E582" s="776"/>
      <c r="F582" s="776"/>
      <c r="G582" s="776"/>
      <c r="H582" s="776"/>
      <c r="I582" s="776"/>
      <c r="J582" s="776"/>
      <c r="K582" s="776"/>
      <c r="L582" s="776"/>
      <c r="M582" s="776"/>
      <c r="N582" s="776"/>
      <c r="O582" s="776"/>
      <c r="P582" s="776"/>
      <c r="Q582" s="776"/>
      <c r="R582" s="776"/>
      <c r="S582" s="776"/>
      <c r="T582" s="776"/>
      <c r="U582" s="776"/>
      <c r="V582" s="776"/>
      <c r="W582" s="776"/>
      <c r="X582" s="776"/>
      <c r="Y582" s="776"/>
      <c r="Z582" s="776"/>
      <c r="AA582" s="62"/>
      <c r="AB582" s="62"/>
      <c r="AC582" s="62"/>
    </row>
    <row r="583" spans="1:68" ht="14.25" customHeight="1" x14ac:dyDescent="0.25">
      <c r="A583" s="768" t="s">
        <v>101</v>
      </c>
      <c r="B583" s="768"/>
      <c r="C583" s="768"/>
      <c r="D583" s="768"/>
      <c r="E583" s="768"/>
      <c r="F583" s="768"/>
      <c r="G583" s="768"/>
      <c r="H583" s="768"/>
      <c r="I583" s="768"/>
      <c r="J583" s="768"/>
      <c r="K583" s="768"/>
      <c r="L583" s="768"/>
      <c r="M583" s="768"/>
      <c r="N583" s="768"/>
      <c r="O583" s="768"/>
      <c r="P583" s="768"/>
      <c r="Q583" s="768"/>
      <c r="R583" s="768"/>
      <c r="S583" s="768"/>
      <c r="T583" s="768"/>
      <c r="U583" s="768"/>
      <c r="V583" s="768"/>
      <c r="W583" s="768"/>
      <c r="X583" s="768"/>
      <c r="Y583" s="768"/>
      <c r="Z583" s="768"/>
      <c r="AA583" s="63"/>
      <c r="AB583" s="63"/>
      <c r="AC583" s="63"/>
    </row>
    <row r="584" spans="1:68" ht="27" customHeight="1" x14ac:dyDescent="0.25">
      <c r="A584" s="60" t="s">
        <v>928</v>
      </c>
      <c r="B584" s="60" t="s">
        <v>929</v>
      </c>
      <c r="C584" s="34">
        <v>4301011763</v>
      </c>
      <c r="D584" s="769">
        <v>4640242181011</v>
      </c>
      <c r="E584" s="769"/>
      <c r="F584" s="59">
        <v>1.35</v>
      </c>
      <c r="G584" s="35">
        <v>8</v>
      </c>
      <c r="H584" s="59">
        <v>10.8</v>
      </c>
      <c r="I584" s="59">
        <v>11.234999999999999</v>
      </c>
      <c r="J584" s="35">
        <v>64</v>
      </c>
      <c r="K584" s="35" t="s">
        <v>107</v>
      </c>
      <c r="L584" s="35" t="s">
        <v>45</v>
      </c>
      <c r="M584" s="36" t="s">
        <v>106</v>
      </c>
      <c r="N584" s="36"/>
      <c r="O584" s="35">
        <v>55</v>
      </c>
      <c r="P584" s="811" t="s">
        <v>930</v>
      </c>
      <c r="Q584" s="771"/>
      <c r="R584" s="771"/>
      <c r="S584" s="771"/>
      <c r="T584" s="772"/>
      <c r="U584" s="37" t="s">
        <v>45</v>
      </c>
      <c r="V584" s="37" t="s">
        <v>45</v>
      </c>
      <c r="W584" s="38" t="s">
        <v>0</v>
      </c>
      <c r="X584" s="56">
        <v>0</v>
      </c>
      <c r="Y584" s="53">
        <f t="shared" ref="Y584:Y590" si="108">IFERROR(IF(X584="",0,CEILING((X584/$H584),1)*$H584),"")</f>
        <v>0</v>
      </c>
      <c r="Z584" s="39" t="str">
        <f>IFERROR(IF(Y584=0,"",ROUNDUP(Y584/H584,0)*0.01898),"")</f>
        <v/>
      </c>
      <c r="AA584" s="65" t="s">
        <v>45</v>
      </c>
      <c r="AB584" s="66" t="s">
        <v>45</v>
      </c>
      <c r="AC584" s="683" t="s">
        <v>931</v>
      </c>
      <c r="AG584" s="75"/>
      <c r="AJ584" s="79" t="s">
        <v>45</v>
      </c>
      <c r="AK584" s="79">
        <v>0</v>
      </c>
      <c r="BB584" s="684" t="s">
        <v>66</v>
      </c>
      <c r="BM584" s="75">
        <f t="shared" ref="BM584:BM590" si="109">IFERROR(X584*I584/H584,"0")</f>
        <v>0</v>
      </c>
      <c r="BN584" s="75">
        <f t="shared" ref="BN584:BN590" si="110">IFERROR(Y584*I584/H584,"0")</f>
        <v>0</v>
      </c>
      <c r="BO584" s="75">
        <f t="shared" ref="BO584:BO590" si="111">IFERROR(1/J584*(X584/H584),"0")</f>
        <v>0</v>
      </c>
      <c r="BP584" s="75">
        <f t="shared" ref="BP584:BP590" si="112">IFERROR(1/J584*(Y584/H584),"0")</f>
        <v>0</v>
      </c>
    </row>
    <row r="585" spans="1:68" ht="27" customHeight="1" x14ac:dyDescent="0.25">
      <c r="A585" s="60" t="s">
        <v>932</v>
      </c>
      <c r="B585" s="60" t="s">
        <v>933</v>
      </c>
      <c r="C585" s="34">
        <v>4301011585</v>
      </c>
      <c r="D585" s="769">
        <v>4640242180441</v>
      </c>
      <c r="E585" s="769"/>
      <c r="F585" s="59">
        <v>1.5</v>
      </c>
      <c r="G585" s="35">
        <v>8</v>
      </c>
      <c r="H585" s="59">
        <v>12</v>
      </c>
      <c r="I585" s="59">
        <v>12.435</v>
      </c>
      <c r="J585" s="35">
        <v>64</v>
      </c>
      <c r="K585" s="35" t="s">
        <v>107</v>
      </c>
      <c r="L585" s="35" t="s">
        <v>45</v>
      </c>
      <c r="M585" s="36" t="s">
        <v>110</v>
      </c>
      <c r="N585" s="36"/>
      <c r="O585" s="35">
        <v>50</v>
      </c>
      <c r="P585" s="801" t="s">
        <v>934</v>
      </c>
      <c r="Q585" s="771"/>
      <c r="R585" s="771"/>
      <c r="S585" s="771"/>
      <c r="T585" s="772"/>
      <c r="U585" s="37" t="s">
        <v>45</v>
      </c>
      <c r="V585" s="37" t="s">
        <v>45</v>
      </c>
      <c r="W585" s="38" t="s">
        <v>0</v>
      </c>
      <c r="X585" s="56">
        <v>0</v>
      </c>
      <c r="Y585" s="53">
        <f t="shared" si="108"/>
        <v>0</v>
      </c>
      <c r="Z585" s="39" t="str">
        <f>IFERROR(IF(Y585=0,"",ROUNDUP(Y585/H585,0)*0.01898),"")</f>
        <v/>
      </c>
      <c r="AA585" s="65" t="s">
        <v>45</v>
      </c>
      <c r="AB585" s="66" t="s">
        <v>45</v>
      </c>
      <c r="AC585" s="685" t="s">
        <v>935</v>
      </c>
      <c r="AG585" s="75"/>
      <c r="AJ585" s="79" t="s">
        <v>45</v>
      </c>
      <c r="AK585" s="79">
        <v>0</v>
      </c>
      <c r="BB585" s="686" t="s">
        <v>66</v>
      </c>
      <c r="BM585" s="75">
        <f t="shared" si="109"/>
        <v>0</v>
      </c>
      <c r="BN585" s="75">
        <f t="shared" si="110"/>
        <v>0</v>
      </c>
      <c r="BO585" s="75">
        <f t="shared" si="111"/>
        <v>0</v>
      </c>
      <c r="BP585" s="75">
        <f t="shared" si="112"/>
        <v>0</v>
      </c>
    </row>
    <row r="586" spans="1:68" ht="27" customHeight="1" x14ac:dyDescent="0.25">
      <c r="A586" s="60" t="s">
        <v>936</v>
      </c>
      <c r="B586" s="60" t="s">
        <v>937</v>
      </c>
      <c r="C586" s="34">
        <v>4301011584</v>
      </c>
      <c r="D586" s="769">
        <v>4640242180564</v>
      </c>
      <c r="E586" s="769"/>
      <c r="F586" s="59">
        <v>1.5</v>
      </c>
      <c r="G586" s="35">
        <v>8</v>
      </c>
      <c r="H586" s="59">
        <v>12</v>
      </c>
      <c r="I586" s="59">
        <v>12.435</v>
      </c>
      <c r="J586" s="35">
        <v>64</v>
      </c>
      <c r="K586" s="35" t="s">
        <v>107</v>
      </c>
      <c r="L586" s="35" t="s">
        <v>45</v>
      </c>
      <c r="M586" s="36" t="s">
        <v>110</v>
      </c>
      <c r="N586" s="36"/>
      <c r="O586" s="35">
        <v>50</v>
      </c>
      <c r="P586" s="802" t="s">
        <v>938</v>
      </c>
      <c r="Q586" s="771"/>
      <c r="R586" s="771"/>
      <c r="S586" s="771"/>
      <c r="T586" s="772"/>
      <c r="U586" s="37" t="s">
        <v>45</v>
      </c>
      <c r="V586" s="37" t="s">
        <v>45</v>
      </c>
      <c r="W586" s="38" t="s">
        <v>0</v>
      </c>
      <c r="X586" s="56">
        <v>140</v>
      </c>
      <c r="Y586" s="53">
        <f t="shared" si="108"/>
        <v>144</v>
      </c>
      <c r="Z586" s="39">
        <f>IFERROR(IF(Y586=0,"",ROUNDUP(Y586/H586,0)*0.01898),"")</f>
        <v>0.22776000000000002</v>
      </c>
      <c r="AA586" s="65" t="s">
        <v>45</v>
      </c>
      <c r="AB586" s="66" t="s">
        <v>45</v>
      </c>
      <c r="AC586" s="687" t="s">
        <v>939</v>
      </c>
      <c r="AG586" s="75"/>
      <c r="AJ586" s="79" t="s">
        <v>45</v>
      </c>
      <c r="AK586" s="79">
        <v>0</v>
      </c>
      <c r="BB586" s="688" t="s">
        <v>66</v>
      </c>
      <c r="BM586" s="75">
        <f t="shared" si="109"/>
        <v>145.07500000000002</v>
      </c>
      <c r="BN586" s="75">
        <f t="shared" si="110"/>
        <v>149.22</v>
      </c>
      <c r="BO586" s="75">
        <f t="shared" si="111"/>
        <v>0.18229166666666666</v>
      </c>
      <c r="BP586" s="75">
        <f t="shared" si="112"/>
        <v>0.1875</v>
      </c>
    </row>
    <row r="587" spans="1:68" ht="27" customHeight="1" x14ac:dyDescent="0.25">
      <c r="A587" s="60" t="s">
        <v>940</v>
      </c>
      <c r="B587" s="60" t="s">
        <v>941</v>
      </c>
      <c r="C587" s="34">
        <v>4301011762</v>
      </c>
      <c r="D587" s="769">
        <v>4640242180922</v>
      </c>
      <c r="E587" s="769"/>
      <c r="F587" s="59">
        <v>1.35</v>
      </c>
      <c r="G587" s="35">
        <v>8</v>
      </c>
      <c r="H587" s="59">
        <v>10.8</v>
      </c>
      <c r="I587" s="59">
        <v>11.234999999999999</v>
      </c>
      <c r="J587" s="35">
        <v>64</v>
      </c>
      <c r="K587" s="35" t="s">
        <v>107</v>
      </c>
      <c r="L587" s="35" t="s">
        <v>45</v>
      </c>
      <c r="M587" s="36" t="s">
        <v>110</v>
      </c>
      <c r="N587" s="36"/>
      <c r="O587" s="35">
        <v>55</v>
      </c>
      <c r="P587" s="803" t="s">
        <v>942</v>
      </c>
      <c r="Q587" s="771"/>
      <c r="R587" s="771"/>
      <c r="S587" s="771"/>
      <c r="T587" s="772"/>
      <c r="U587" s="37" t="s">
        <v>45</v>
      </c>
      <c r="V587" s="37" t="s">
        <v>45</v>
      </c>
      <c r="W587" s="38" t="s">
        <v>0</v>
      </c>
      <c r="X587" s="56">
        <v>0</v>
      </c>
      <c r="Y587" s="53">
        <f t="shared" si="108"/>
        <v>0</v>
      </c>
      <c r="Z587" s="39" t="str">
        <f>IFERROR(IF(Y587=0,"",ROUNDUP(Y587/H587,0)*0.01898),"")</f>
        <v/>
      </c>
      <c r="AA587" s="65" t="s">
        <v>45</v>
      </c>
      <c r="AB587" s="66" t="s">
        <v>45</v>
      </c>
      <c r="AC587" s="689" t="s">
        <v>943</v>
      </c>
      <c r="AG587" s="75"/>
      <c r="AJ587" s="79" t="s">
        <v>45</v>
      </c>
      <c r="AK587" s="79">
        <v>0</v>
      </c>
      <c r="BB587" s="690" t="s">
        <v>66</v>
      </c>
      <c r="BM587" s="75">
        <f t="shared" si="109"/>
        <v>0</v>
      </c>
      <c r="BN587" s="75">
        <f t="shared" si="110"/>
        <v>0</v>
      </c>
      <c r="BO587" s="75">
        <f t="shared" si="111"/>
        <v>0</v>
      </c>
      <c r="BP587" s="75">
        <f t="shared" si="112"/>
        <v>0</v>
      </c>
    </row>
    <row r="588" spans="1:68" ht="27" customHeight="1" x14ac:dyDescent="0.25">
      <c r="A588" s="60" t="s">
        <v>944</v>
      </c>
      <c r="B588" s="60" t="s">
        <v>945</v>
      </c>
      <c r="C588" s="34">
        <v>4301011764</v>
      </c>
      <c r="D588" s="769">
        <v>4640242181189</v>
      </c>
      <c r="E588" s="769"/>
      <c r="F588" s="59">
        <v>0.4</v>
      </c>
      <c r="G588" s="35">
        <v>10</v>
      </c>
      <c r="H588" s="59">
        <v>4</v>
      </c>
      <c r="I588" s="59">
        <v>4.21</v>
      </c>
      <c r="J588" s="35">
        <v>132</v>
      </c>
      <c r="K588" s="35" t="s">
        <v>116</v>
      </c>
      <c r="L588" s="35" t="s">
        <v>45</v>
      </c>
      <c r="M588" s="36" t="s">
        <v>106</v>
      </c>
      <c r="N588" s="36"/>
      <c r="O588" s="35">
        <v>55</v>
      </c>
      <c r="P588" s="804" t="s">
        <v>946</v>
      </c>
      <c r="Q588" s="771"/>
      <c r="R588" s="771"/>
      <c r="S588" s="771"/>
      <c r="T588" s="772"/>
      <c r="U588" s="37" t="s">
        <v>45</v>
      </c>
      <c r="V588" s="37" t="s">
        <v>45</v>
      </c>
      <c r="W588" s="38" t="s">
        <v>0</v>
      </c>
      <c r="X588" s="56">
        <v>0</v>
      </c>
      <c r="Y588" s="53">
        <f t="shared" si="108"/>
        <v>0</v>
      </c>
      <c r="Z588" s="39" t="str">
        <f>IFERROR(IF(Y588=0,"",ROUNDUP(Y588/H588,0)*0.00902),"")</f>
        <v/>
      </c>
      <c r="AA588" s="65" t="s">
        <v>45</v>
      </c>
      <c r="AB588" s="66" t="s">
        <v>45</v>
      </c>
      <c r="AC588" s="691" t="s">
        <v>931</v>
      </c>
      <c r="AG588" s="75"/>
      <c r="AJ588" s="79" t="s">
        <v>45</v>
      </c>
      <c r="AK588" s="79">
        <v>0</v>
      </c>
      <c r="BB588" s="692" t="s">
        <v>66</v>
      </c>
      <c r="BM588" s="75">
        <f t="shared" si="109"/>
        <v>0</v>
      </c>
      <c r="BN588" s="75">
        <f t="shared" si="110"/>
        <v>0</v>
      </c>
      <c r="BO588" s="75">
        <f t="shared" si="111"/>
        <v>0</v>
      </c>
      <c r="BP588" s="75">
        <f t="shared" si="112"/>
        <v>0</v>
      </c>
    </row>
    <row r="589" spans="1:68" ht="27" customHeight="1" x14ac:dyDescent="0.25">
      <c r="A589" s="60" t="s">
        <v>947</v>
      </c>
      <c r="B589" s="60" t="s">
        <v>948</v>
      </c>
      <c r="C589" s="34">
        <v>4301011551</v>
      </c>
      <c r="D589" s="769">
        <v>4640242180038</v>
      </c>
      <c r="E589" s="769"/>
      <c r="F589" s="59">
        <v>0.4</v>
      </c>
      <c r="G589" s="35">
        <v>10</v>
      </c>
      <c r="H589" s="59">
        <v>4</v>
      </c>
      <c r="I589" s="59">
        <v>4.21</v>
      </c>
      <c r="J589" s="35">
        <v>132</v>
      </c>
      <c r="K589" s="35" t="s">
        <v>116</v>
      </c>
      <c r="L589" s="35" t="s">
        <v>45</v>
      </c>
      <c r="M589" s="36" t="s">
        <v>110</v>
      </c>
      <c r="N589" s="36"/>
      <c r="O589" s="35">
        <v>50</v>
      </c>
      <c r="P589" s="805" t="s">
        <v>949</v>
      </c>
      <c r="Q589" s="771"/>
      <c r="R589" s="771"/>
      <c r="S589" s="771"/>
      <c r="T589" s="772"/>
      <c r="U589" s="37" t="s">
        <v>45</v>
      </c>
      <c r="V589" s="37" t="s">
        <v>45</v>
      </c>
      <c r="W589" s="38" t="s">
        <v>0</v>
      </c>
      <c r="X589" s="56">
        <v>0</v>
      </c>
      <c r="Y589" s="53">
        <f t="shared" si="108"/>
        <v>0</v>
      </c>
      <c r="Z589" s="39" t="str">
        <f>IFERROR(IF(Y589=0,"",ROUNDUP(Y589/H589,0)*0.00902),"")</f>
        <v/>
      </c>
      <c r="AA589" s="65" t="s">
        <v>45</v>
      </c>
      <c r="AB589" s="66" t="s">
        <v>45</v>
      </c>
      <c r="AC589" s="693" t="s">
        <v>939</v>
      </c>
      <c r="AG589" s="75"/>
      <c r="AJ589" s="79" t="s">
        <v>45</v>
      </c>
      <c r="AK589" s="79">
        <v>0</v>
      </c>
      <c r="BB589" s="694" t="s">
        <v>66</v>
      </c>
      <c r="BM589" s="75">
        <f t="shared" si="109"/>
        <v>0</v>
      </c>
      <c r="BN589" s="75">
        <f t="shared" si="110"/>
        <v>0</v>
      </c>
      <c r="BO589" s="75">
        <f t="shared" si="111"/>
        <v>0</v>
      </c>
      <c r="BP589" s="75">
        <f t="shared" si="112"/>
        <v>0</v>
      </c>
    </row>
    <row r="590" spans="1:68" ht="27" customHeight="1" x14ac:dyDescent="0.25">
      <c r="A590" s="60" t="s">
        <v>950</v>
      </c>
      <c r="B590" s="60" t="s">
        <v>951</v>
      </c>
      <c r="C590" s="34">
        <v>4301011765</v>
      </c>
      <c r="D590" s="769">
        <v>4640242181172</v>
      </c>
      <c r="E590" s="769"/>
      <c r="F590" s="59">
        <v>0.4</v>
      </c>
      <c r="G590" s="35">
        <v>10</v>
      </c>
      <c r="H590" s="59">
        <v>4</v>
      </c>
      <c r="I590" s="59">
        <v>4.21</v>
      </c>
      <c r="J590" s="35">
        <v>132</v>
      </c>
      <c r="K590" s="35" t="s">
        <v>116</v>
      </c>
      <c r="L590" s="35" t="s">
        <v>45</v>
      </c>
      <c r="M590" s="36" t="s">
        <v>110</v>
      </c>
      <c r="N590" s="36"/>
      <c r="O590" s="35">
        <v>55</v>
      </c>
      <c r="P590" s="806" t="s">
        <v>952</v>
      </c>
      <c r="Q590" s="771"/>
      <c r="R590" s="771"/>
      <c r="S590" s="771"/>
      <c r="T590" s="772"/>
      <c r="U590" s="37" t="s">
        <v>45</v>
      </c>
      <c r="V590" s="37" t="s">
        <v>45</v>
      </c>
      <c r="W590" s="38" t="s">
        <v>0</v>
      </c>
      <c r="X590" s="56">
        <v>0</v>
      </c>
      <c r="Y590" s="53">
        <f t="shared" si="108"/>
        <v>0</v>
      </c>
      <c r="Z590" s="39" t="str">
        <f>IFERROR(IF(Y590=0,"",ROUNDUP(Y590/H590,0)*0.00902),"")</f>
        <v/>
      </c>
      <c r="AA590" s="65" t="s">
        <v>45</v>
      </c>
      <c r="AB590" s="66" t="s">
        <v>45</v>
      </c>
      <c r="AC590" s="695" t="s">
        <v>943</v>
      </c>
      <c r="AG590" s="75"/>
      <c r="AJ590" s="79" t="s">
        <v>45</v>
      </c>
      <c r="AK590" s="79">
        <v>0</v>
      </c>
      <c r="BB590" s="696" t="s">
        <v>66</v>
      </c>
      <c r="BM590" s="75">
        <f t="shared" si="109"/>
        <v>0</v>
      </c>
      <c r="BN590" s="75">
        <f t="shared" si="110"/>
        <v>0</v>
      </c>
      <c r="BO590" s="75">
        <f t="shared" si="111"/>
        <v>0</v>
      </c>
      <c r="BP590" s="75">
        <f t="shared" si="112"/>
        <v>0</v>
      </c>
    </row>
    <row r="591" spans="1:68" x14ac:dyDescent="0.2">
      <c r="A591" s="759"/>
      <c r="B591" s="759"/>
      <c r="C591" s="759"/>
      <c r="D591" s="759"/>
      <c r="E591" s="759"/>
      <c r="F591" s="759"/>
      <c r="G591" s="759"/>
      <c r="H591" s="759"/>
      <c r="I591" s="759"/>
      <c r="J591" s="759"/>
      <c r="K591" s="759"/>
      <c r="L591" s="759"/>
      <c r="M591" s="759"/>
      <c r="N591" s="759"/>
      <c r="O591" s="767"/>
      <c r="P591" s="764" t="s">
        <v>40</v>
      </c>
      <c r="Q591" s="765"/>
      <c r="R591" s="765"/>
      <c r="S591" s="765"/>
      <c r="T591" s="765"/>
      <c r="U591" s="765"/>
      <c r="V591" s="766"/>
      <c r="W591" s="40" t="s">
        <v>39</v>
      </c>
      <c r="X591" s="41">
        <f>IFERROR(X584/H584,"0")+IFERROR(X585/H585,"0")+IFERROR(X586/H586,"0")+IFERROR(X587/H587,"0")+IFERROR(X588/H588,"0")+IFERROR(X589/H589,"0")+IFERROR(X590/H590,"0")</f>
        <v>11.666666666666666</v>
      </c>
      <c r="Y591" s="41">
        <f>IFERROR(Y584/H584,"0")+IFERROR(Y585/H585,"0")+IFERROR(Y586/H586,"0")+IFERROR(Y587/H587,"0")+IFERROR(Y588/H588,"0")+IFERROR(Y589/H589,"0")+IFERROR(Y590/H590,"0")</f>
        <v>12</v>
      </c>
      <c r="Z591" s="41">
        <f>IFERROR(IF(Z584="",0,Z584),"0")+IFERROR(IF(Z585="",0,Z585),"0")+IFERROR(IF(Z586="",0,Z586),"0")+IFERROR(IF(Z587="",0,Z587),"0")+IFERROR(IF(Z588="",0,Z588),"0")+IFERROR(IF(Z589="",0,Z589),"0")+IFERROR(IF(Z590="",0,Z590),"0")</f>
        <v>0.22776000000000002</v>
      </c>
      <c r="AA591" s="64"/>
      <c r="AB591" s="64"/>
      <c r="AC591" s="64"/>
    </row>
    <row r="592" spans="1:68" x14ac:dyDescent="0.2">
      <c r="A592" s="759"/>
      <c r="B592" s="759"/>
      <c r="C592" s="759"/>
      <c r="D592" s="759"/>
      <c r="E592" s="759"/>
      <c r="F592" s="759"/>
      <c r="G592" s="759"/>
      <c r="H592" s="759"/>
      <c r="I592" s="759"/>
      <c r="J592" s="759"/>
      <c r="K592" s="759"/>
      <c r="L592" s="759"/>
      <c r="M592" s="759"/>
      <c r="N592" s="759"/>
      <c r="O592" s="767"/>
      <c r="P592" s="764" t="s">
        <v>40</v>
      </c>
      <c r="Q592" s="765"/>
      <c r="R592" s="765"/>
      <c r="S592" s="765"/>
      <c r="T592" s="765"/>
      <c r="U592" s="765"/>
      <c r="V592" s="766"/>
      <c r="W592" s="40" t="s">
        <v>0</v>
      </c>
      <c r="X592" s="41">
        <f>IFERROR(SUM(X584:X590),"0")</f>
        <v>140</v>
      </c>
      <c r="Y592" s="41">
        <f>IFERROR(SUM(Y584:Y590),"0")</f>
        <v>144</v>
      </c>
      <c r="Z592" s="40"/>
      <c r="AA592" s="64"/>
      <c r="AB592" s="64"/>
      <c r="AC592" s="64"/>
    </row>
    <row r="593" spans="1:68" ht="14.25" customHeight="1" x14ac:dyDescent="0.25">
      <c r="A593" s="768" t="s">
        <v>153</v>
      </c>
      <c r="B593" s="768"/>
      <c r="C593" s="768"/>
      <c r="D593" s="768"/>
      <c r="E593" s="768"/>
      <c r="F593" s="768"/>
      <c r="G593" s="768"/>
      <c r="H593" s="768"/>
      <c r="I593" s="768"/>
      <c r="J593" s="768"/>
      <c r="K593" s="768"/>
      <c r="L593" s="768"/>
      <c r="M593" s="768"/>
      <c r="N593" s="768"/>
      <c r="O593" s="768"/>
      <c r="P593" s="768"/>
      <c r="Q593" s="768"/>
      <c r="R593" s="768"/>
      <c r="S593" s="768"/>
      <c r="T593" s="768"/>
      <c r="U593" s="768"/>
      <c r="V593" s="768"/>
      <c r="W593" s="768"/>
      <c r="X593" s="768"/>
      <c r="Y593" s="768"/>
      <c r="Z593" s="768"/>
      <c r="AA593" s="63"/>
      <c r="AB593" s="63"/>
      <c r="AC593" s="63"/>
    </row>
    <row r="594" spans="1:68" ht="16.5" customHeight="1" x14ac:dyDescent="0.25">
      <c r="A594" s="60" t="s">
        <v>953</v>
      </c>
      <c r="B594" s="60" t="s">
        <v>954</v>
      </c>
      <c r="C594" s="34">
        <v>4301020269</v>
      </c>
      <c r="D594" s="769">
        <v>4640242180519</v>
      </c>
      <c r="E594" s="769"/>
      <c r="F594" s="59">
        <v>1.35</v>
      </c>
      <c r="G594" s="35">
        <v>8</v>
      </c>
      <c r="H594" s="59">
        <v>10.8</v>
      </c>
      <c r="I594" s="59">
        <v>11.234999999999999</v>
      </c>
      <c r="J594" s="35">
        <v>64</v>
      </c>
      <c r="K594" s="35" t="s">
        <v>107</v>
      </c>
      <c r="L594" s="35" t="s">
        <v>45</v>
      </c>
      <c r="M594" s="36" t="s">
        <v>106</v>
      </c>
      <c r="N594" s="36"/>
      <c r="O594" s="35">
        <v>50</v>
      </c>
      <c r="P594" s="807" t="s">
        <v>955</v>
      </c>
      <c r="Q594" s="771"/>
      <c r="R594" s="771"/>
      <c r="S594" s="771"/>
      <c r="T594" s="772"/>
      <c r="U594" s="37" t="s">
        <v>45</v>
      </c>
      <c r="V594" s="37" t="s">
        <v>45</v>
      </c>
      <c r="W594" s="38" t="s">
        <v>0</v>
      </c>
      <c r="X594" s="56">
        <v>0</v>
      </c>
      <c r="Y594" s="53">
        <f>IFERROR(IF(X594="",0,CEILING((X594/$H594),1)*$H594),"")</f>
        <v>0</v>
      </c>
      <c r="Z594" s="39" t="str">
        <f>IFERROR(IF(Y594=0,"",ROUNDUP(Y594/H594,0)*0.01898),"")</f>
        <v/>
      </c>
      <c r="AA594" s="65" t="s">
        <v>45</v>
      </c>
      <c r="AB594" s="66" t="s">
        <v>45</v>
      </c>
      <c r="AC594" s="697" t="s">
        <v>956</v>
      </c>
      <c r="AG594" s="75"/>
      <c r="AJ594" s="79" t="s">
        <v>45</v>
      </c>
      <c r="AK594" s="79">
        <v>0</v>
      </c>
      <c r="BB594" s="698" t="s">
        <v>66</v>
      </c>
      <c r="BM594" s="75">
        <f>IFERROR(X594*I594/H594,"0")</f>
        <v>0</v>
      </c>
      <c r="BN594" s="75">
        <f>IFERROR(Y594*I594/H594,"0")</f>
        <v>0</v>
      </c>
      <c r="BO594" s="75">
        <f>IFERROR(1/J594*(X594/H594),"0")</f>
        <v>0</v>
      </c>
      <c r="BP594" s="75">
        <f>IFERROR(1/J594*(Y594/H594),"0")</f>
        <v>0</v>
      </c>
    </row>
    <row r="595" spans="1:68" ht="27" customHeight="1" x14ac:dyDescent="0.25">
      <c r="A595" s="60" t="s">
        <v>957</v>
      </c>
      <c r="B595" s="60" t="s">
        <v>958</v>
      </c>
      <c r="C595" s="34">
        <v>4301020260</v>
      </c>
      <c r="D595" s="769">
        <v>4640242180526</v>
      </c>
      <c r="E595" s="769"/>
      <c r="F595" s="59">
        <v>1.8</v>
      </c>
      <c r="G595" s="35">
        <v>6</v>
      </c>
      <c r="H595" s="59">
        <v>10.8</v>
      </c>
      <c r="I595" s="59">
        <v>11.234999999999999</v>
      </c>
      <c r="J595" s="35">
        <v>64</v>
      </c>
      <c r="K595" s="35" t="s">
        <v>107</v>
      </c>
      <c r="L595" s="35" t="s">
        <v>45</v>
      </c>
      <c r="M595" s="36" t="s">
        <v>110</v>
      </c>
      <c r="N595" s="36"/>
      <c r="O595" s="35">
        <v>50</v>
      </c>
      <c r="P595" s="794" t="s">
        <v>959</v>
      </c>
      <c r="Q595" s="771"/>
      <c r="R595" s="771"/>
      <c r="S595" s="771"/>
      <c r="T595" s="772"/>
      <c r="U595" s="37" t="s">
        <v>45</v>
      </c>
      <c r="V595" s="37" t="s">
        <v>45</v>
      </c>
      <c r="W595" s="38" t="s">
        <v>0</v>
      </c>
      <c r="X595" s="56">
        <v>0</v>
      </c>
      <c r="Y595" s="53">
        <f>IFERROR(IF(X595="",0,CEILING((X595/$H595),1)*$H595),"")</f>
        <v>0</v>
      </c>
      <c r="Z595" s="39" t="str">
        <f>IFERROR(IF(Y595=0,"",ROUNDUP(Y595/H595,0)*0.01898),"")</f>
        <v/>
      </c>
      <c r="AA595" s="65" t="s">
        <v>45</v>
      </c>
      <c r="AB595" s="66" t="s">
        <v>45</v>
      </c>
      <c r="AC595" s="699" t="s">
        <v>956</v>
      </c>
      <c r="AG595" s="75"/>
      <c r="AJ595" s="79" t="s">
        <v>45</v>
      </c>
      <c r="AK595" s="79">
        <v>0</v>
      </c>
      <c r="BB595" s="700" t="s">
        <v>66</v>
      </c>
      <c r="BM595" s="75">
        <f>IFERROR(X595*I595/H595,"0")</f>
        <v>0</v>
      </c>
      <c r="BN595" s="75">
        <f>IFERROR(Y595*I595/H595,"0")</f>
        <v>0</v>
      </c>
      <c r="BO595" s="75">
        <f>IFERROR(1/J595*(X595/H595),"0")</f>
        <v>0</v>
      </c>
      <c r="BP595" s="75">
        <f>IFERROR(1/J595*(Y595/H595),"0")</f>
        <v>0</v>
      </c>
    </row>
    <row r="596" spans="1:68" ht="27" customHeight="1" x14ac:dyDescent="0.25">
      <c r="A596" s="60" t="s">
        <v>960</v>
      </c>
      <c r="B596" s="60" t="s">
        <v>961</v>
      </c>
      <c r="C596" s="34">
        <v>4301020309</v>
      </c>
      <c r="D596" s="769">
        <v>4640242180090</v>
      </c>
      <c r="E596" s="769"/>
      <c r="F596" s="59">
        <v>1.35</v>
      </c>
      <c r="G596" s="35">
        <v>8</v>
      </c>
      <c r="H596" s="59">
        <v>10.8</v>
      </c>
      <c r="I596" s="59">
        <v>11.234999999999999</v>
      </c>
      <c r="J596" s="35">
        <v>64</v>
      </c>
      <c r="K596" s="35" t="s">
        <v>107</v>
      </c>
      <c r="L596" s="35" t="s">
        <v>45</v>
      </c>
      <c r="M596" s="36" t="s">
        <v>110</v>
      </c>
      <c r="N596" s="36"/>
      <c r="O596" s="35">
        <v>50</v>
      </c>
      <c r="P596" s="795" t="s">
        <v>962</v>
      </c>
      <c r="Q596" s="771"/>
      <c r="R596" s="771"/>
      <c r="S596" s="771"/>
      <c r="T596" s="772"/>
      <c r="U596" s="37" t="s">
        <v>45</v>
      </c>
      <c r="V596" s="37" t="s">
        <v>45</v>
      </c>
      <c r="W596" s="38" t="s">
        <v>0</v>
      </c>
      <c r="X596" s="56">
        <v>0</v>
      </c>
      <c r="Y596" s="53">
        <f>IFERROR(IF(X596="",0,CEILING((X596/$H596),1)*$H596),"")</f>
        <v>0</v>
      </c>
      <c r="Z596" s="39" t="str">
        <f>IFERROR(IF(Y596=0,"",ROUNDUP(Y596/H596,0)*0.01898),"")</f>
        <v/>
      </c>
      <c r="AA596" s="65" t="s">
        <v>45</v>
      </c>
      <c r="AB596" s="66" t="s">
        <v>45</v>
      </c>
      <c r="AC596" s="701" t="s">
        <v>963</v>
      </c>
      <c r="AG596" s="75"/>
      <c r="AJ596" s="79" t="s">
        <v>45</v>
      </c>
      <c r="AK596" s="79">
        <v>0</v>
      </c>
      <c r="BB596" s="702" t="s">
        <v>66</v>
      </c>
      <c r="BM596" s="75">
        <f>IFERROR(X596*I596/H596,"0")</f>
        <v>0</v>
      </c>
      <c r="BN596" s="75">
        <f>IFERROR(Y596*I596/H596,"0")</f>
        <v>0</v>
      </c>
      <c r="BO596" s="75">
        <f>IFERROR(1/J596*(X596/H596),"0")</f>
        <v>0</v>
      </c>
      <c r="BP596" s="75">
        <f>IFERROR(1/J596*(Y596/H596),"0")</f>
        <v>0</v>
      </c>
    </row>
    <row r="597" spans="1:68" ht="27" customHeight="1" x14ac:dyDescent="0.25">
      <c r="A597" s="60" t="s">
        <v>964</v>
      </c>
      <c r="B597" s="60" t="s">
        <v>965</v>
      </c>
      <c r="C597" s="34">
        <v>4301020295</v>
      </c>
      <c r="D597" s="769">
        <v>4640242181363</v>
      </c>
      <c r="E597" s="769"/>
      <c r="F597" s="59">
        <v>0.4</v>
      </c>
      <c r="G597" s="35">
        <v>10</v>
      </c>
      <c r="H597" s="59">
        <v>4</v>
      </c>
      <c r="I597" s="59">
        <v>4.21</v>
      </c>
      <c r="J597" s="35">
        <v>132</v>
      </c>
      <c r="K597" s="35" t="s">
        <v>116</v>
      </c>
      <c r="L597" s="35" t="s">
        <v>45</v>
      </c>
      <c r="M597" s="36" t="s">
        <v>110</v>
      </c>
      <c r="N597" s="36"/>
      <c r="O597" s="35">
        <v>50</v>
      </c>
      <c r="P597" s="796" t="s">
        <v>966</v>
      </c>
      <c r="Q597" s="771"/>
      <c r="R597" s="771"/>
      <c r="S597" s="771"/>
      <c r="T597" s="772"/>
      <c r="U597" s="37" t="s">
        <v>45</v>
      </c>
      <c r="V597" s="37" t="s">
        <v>45</v>
      </c>
      <c r="W597" s="38" t="s">
        <v>0</v>
      </c>
      <c r="X597" s="56">
        <v>0</v>
      </c>
      <c r="Y597" s="53">
        <f>IFERROR(IF(X597="",0,CEILING((X597/$H597),1)*$H597),"")</f>
        <v>0</v>
      </c>
      <c r="Z597" s="39" t="str">
        <f>IFERROR(IF(Y597=0,"",ROUNDUP(Y597/H597,0)*0.00902),"")</f>
        <v/>
      </c>
      <c r="AA597" s="65" t="s">
        <v>45</v>
      </c>
      <c r="AB597" s="66" t="s">
        <v>45</v>
      </c>
      <c r="AC597" s="703" t="s">
        <v>963</v>
      </c>
      <c r="AG597" s="75"/>
      <c r="AJ597" s="79" t="s">
        <v>45</v>
      </c>
      <c r="AK597" s="79">
        <v>0</v>
      </c>
      <c r="BB597" s="704" t="s">
        <v>66</v>
      </c>
      <c r="BM597" s="75">
        <f>IFERROR(X597*I597/H597,"0")</f>
        <v>0</v>
      </c>
      <c r="BN597" s="75">
        <f>IFERROR(Y597*I597/H597,"0")</f>
        <v>0</v>
      </c>
      <c r="BO597" s="75">
        <f>IFERROR(1/J597*(X597/H597),"0")</f>
        <v>0</v>
      </c>
      <c r="BP597" s="75">
        <f>IFERROR(1/J597*(Y597/H597),"0")</f>
        <v>0</v>
      </c>
    </row>
    <row r="598" spans="1:68" x14ac:dyDescent="0.2">
      <c r="A598" s="759"/>
      <c r="B598" s="759"/>
      <c r="C598" s="759"/>
      <c r="D598" s="759"/>
      <c r="E598" s="759"/>
      <c r="F598" s="759"/>
      <c r="G598" s="759"/>
      <c r="H598" s="759"/>
      <c r="I598" s="759"/>
      <c r="J598" s="759"/>
      <c r="K598" s="759"/>
      <c r="L598" s="759"/>
      <c r="M598" s="759"/>
      <c r="N598" s="759"/>
      <c r="O598" s="767"/>
      <c r="P598" s="764" t="s">
        <v>40</v>
      </c>
      <c r="Q598" s="765"/>
      <c r="R598" s="765"/>
      <c r="S598" s="765"/>
      <c r="T598" s="765"/>
      <c r="U598" s="765"/>
      <c r="V598" s="766"/>
      <c r="W598" s="40" t="s">
        <v>39</v>
      </c>
      <c r="X598" s="41">
        <f>IFERROR(X594/H594,"0")+IFERROR(X595/H595,"0")+IFERROR(X596/H596,"0")+IFERROR(X597/H597,"0")</f>
        <v>0</v>
      </c>
      <c r="Y598" s="41">
        <f>IFERROR(Y594/H594,"0")+IFERROR(Y595/H595,"0")+IFERROR(Y596/H596,"0")+IFERROR(Y597/H597,"0")</f>
        <v>0</v>
      </c>
      <c r="Z598" s="41">
        <f>IFERROR(IF(Z594="",0,Z594),"0")+IFERROR(IF(Z595="",0,Z595),"0")+IFERROR(IF(Z596="",0,Z596),"0")+IFERROR(IF(Z597="",0,Z597),"0")</f>
        <v>0</v>
      </c>
      <c r="AA598" s="64"/>
      <c r="AB598" s="64"/>
      <c r="AC598" s="64"/>
    </row>
    <row r="599" spans="1:68" x14ac:dyDescent="0.2">
      <c r="A599" s="759"/>
      <c r="B599" s="759"/>
      <c r="C599" s="759"/>
      <c r="D599" s="759"/>
      <c r="E599" s="759"/>
      <c r="F599" s="759"/>
      <c r="G599" s="759"/>
      <c r="H599" s="759"/>
      <c r="I599" s="759"/>
      <c r="J599" s="759"/>
      <c r="K599" s="759"/>
      <c r="L599" s="759"/>
      <c r="M599" s="759"/>
      <c r="N599" s="759"/>
      <c r="O599" s="767"/>
      <c r="P599" s="764" t="s">
        <v>40</v>
      </c>
      <c r="Q599" s="765"/>
      <c r="R599" s="765"/>
      <c r="S599" s="765"/>
      <c r="T599" s="765"/>
      <c r="U599" s="765"/>
      <c r="V599" s="766"/>
      <c r="W599" s="40" t="s">
        <v>0</v>
      </c>
      <c r="X599" s="41">
        <f>IFERROR(SUM(X594:X597),"0")</f>
        <v>0</v>
      </c>
      <c r="Y599" s="41">
        <f>IFERROR(SUM(Y594:Y597),"0")</f>
        <v>0</v>
      </c>
      <c r="Z599" s="40"/>
      <c r="AA599" s="64"/>
      <c r="AB599" s="64"/>
      <c r="AC599" s="64"/>
    </row>
    <row r="600" spans="1:68" ht="14.25" customHeight="1" x14ac:dyDescent="0.25">
      <c r="A600" s="768" t="s">
        <v>164</v>
      </c>
      <c r="B600" s="768"/>
      <c r="C600" s="768"/>
      <c r="D600" s="768"/>
      <c r="E600" s="768"/>
      <c r="F600" s="768"/>
      <c r="G600" s="768"/>
      <c r="H600" s="768"/>
      <c r="I600" s="768"/>
      <c r="J600" s="768"/>
      <c r="K600" s="768"/>
      <c r="L600" s="768"/>
      <c r="M600" s="768"/>
      <c r="N600" s="768"/>
      <c r="O600" s="768"/>
      <c r="P600" s="768"/>
      <c r="Q600" s="768"/>
      <c r="R600" s="768"/>
      <c r="S600" s="768"/>
      <c r="T600" s="768"/>
      <c r="U600" s="768"/>
      <c r="V600" s="768"/>
      <c r="W600" s="768"/>
      <c r="X600" s="768"/>
      <c r="Y600" s="768"/>
      <c r="Z600" s="768"/>
      <c r="AA600" s="63"/>
      <c r="AB600" s="63"/>
      <c r="AC600" s="63"/>
    </row>
    <row r="601" spans="1:68" ht="27" customHeight="1" x14ac:dyDescent="0.25">
      <c r="A601" s="60" t="s">
        <v>967</v>
      </c>
      <c r="B601" s="60" t="s">
        <v>968</v>
      </c>
      <c r="C601" s="34">
        <v>4301031280</v>
      </c>
      <c r="D601" s="769">
        <v>4640242180816</v>
      </c>
      <c r="E601" s="769"/>
      <c r="F601" s="59">
        <v>0.7</v>
      </c>
      <c r="G601" s="35">
        <v>6</v>
      </c>
      <c r="H601" s="59">
        <v>4.2</v>
      </c>
      <c r="I601" s="59">
        <v>4.47</v>
      </c>
      <c r="J601" s="35">
        <v>132</v>
      </c>
      <c r="K601" s="35" t="s">
        <v>116</v>
      </c>
      <c r="L601" s="35" t="s">
        <v>45</v>
      </c>
      <c r="M601" s="36" t="s">
        <v>82</v>
      </c>
      <c r="N601" s="36"/>
      <c r="O601" s="35">
        <v>40</v>
      </c>
      <c r="P601" s="797" t="s">
        <v>969</v>
      </c>
      <c r="Q601" s="771"/>
      <c r="R601" s="771"/>
      <c r="S601" s="771"/>
      <c r="T601" s="772"/>
      <c r="U601" s="37" t="s">
        <v>45</v>
      </c>
      <c r="V601" s="37" t="s">
        <v>45</v>
      </c>
      <c r="W601" s="38" t="s">
        <v>0</v>
      </c>
      <c r="X601" s="56">
        <v>40</v>
      </c>
      <c r="Y601" s="53">
        <f t="shared" ref="Y601:Y607" si="113">IFERROR(IF(X601="",0,CEILING((X601/$H601),1)*$H601),"")</f>
        <v>42</v>
      </c>
      <c r="Z601" s="39">
        <f>IFERROR(IF(Y601=0,"",ROUNDUP(Y601/H601,0)*0.00902),"")</f>
        <v>9.0200000000000002E-2</v>
      </c>
      <c r="AA601" s="65" t="s">
        <v>45</v>
      </c>
      <c r="AB601" s="66" t="s">
        <v>45</v>
      </c>
      <c r="AC601" s="705" t="s">
        <v>970</v>
      </c>
      <c r="AG601" s="75"/>
      <c r="AJ601" s="79" t="s">
        <v>45</v>
      </c>
      <c r="AK601" s="79">
        <v>0</v>
      </c>
      <c r="BB601" s="706" t="s">
        <v>66</v>
      </c>
      <c r="BM601" s="75">
        <f t="shared" ref="BM601:BM607" si="114">IFERROR(X601*I601/H601,"0")</f>
        <v>42.571428571428562</v>
      </c>
      <c r="BN601" s="75">
        <f t="shared" ref="BN601:BN607" si="115">IFERROR(Y601*I601/H601,"0")</f>
        <v>44.699999999999996</v>
      </c>
      <c r="BO601" s="75">
        <f t="shared" ref="BO601:BO607" si="116">IFERROR(1/J601*(X601/H601),"0")</f>
        <v>7.2150072150072145E-2</v>
      </c>
      <c r="BP601" s="75">
        <f t="shared" ref="BP601:BP607" si="117">IFERROR(1/J601*(Y601/H601),"0")</f>
        <v>7.575757575757576E-2</v>
      </c>
    </row>
    <row r="602" spans="1:68" ht="27" customHeight="1" x14ac:dyDescent="0.25">
      <c r="A602" s="60" t="s">
        <v>971</v>
      </c>
      <c r="B602" s="60" t="s">
        <v>972</v>
      </c>
      <c r="C602" s="34">
        <v>4301031244</v>
      </c>
      <c r="D602" s="769">
        <v>4640242180595</v>
      </c>
      <c r="E602" s="769"/>
      <c r="F602" s="59">
        <v>0.7</v>
      </c>
      <c r="G602" s="35">
        <v>6</v>
      </c>
      <c r="H602" s="59">
        <v>4.2</v>
      </c>
      <c r="I602" s="59">
        <v>4.47</v>
      </c>
      <c r="J602" s="35">
        <v>132</v>
      </c>
      <c r="K602" s="35" t="s">
        <v>116</v>
      </c>
      <c r="L602" s="35" t="s">
        <v>45</v>
      </c>
      <c r="M602" s="36" t="s">
        <v>82</v>
      </c>
      <c r="N602" s="36"/>
      <c r="O602" s="35">
        <v>40</v>
      </c>
      <c r="P602" s="798" t="s">
        <v>973</v>
      </c>
      <c r="Q602" s="771"/>
      <c r="R602" s="771"/>
      <c r="S602" s="771"/>
      <c r="T602" s="772"/>
      <c r="U602" s="37" t="s">
        <v>45</v>
      </c>
      <c r="V602" s="37" t="s">
        <v>45</v>
      </c>
      <c r="W602" s="38" t="s">
        <v>0</v>
      </c>
      <c r="X602" s="56">
        <v>20</v>
      </c>
      <c r="Y602" s="53">
        <f t="shared" si="113"/>
        <v>21</v>
      </c>
      <c r="Z602" s="39">
        <f>IFERROR(IF(Y602=0,"",ROUNDUP(Y602/H602,0)*0.00902),"")</f>
        <v>4.5100000000000001E-2</v>
      </c>
      <c r="AA602" s="65" t="s">
        <v>45</v>
      </c>
      <c r="AB602" s="66" t="s">
        <v>45</v>
      </c>
      <c r="AC602" s="707" t="s">
        <v>974</v>
      </c>
      <c r="AG602" s="75"/>
      <c r="AJ602" s="79" t="s">
        <v>45</v>
      </c>
      <c r="AK602" s="79">
        <v>0</v>
      </c>
      <c r="BB602" s="708" t="s">
        <v>66</v>
      </c>
      <c r="BM602" s="75">
        <f t="shared" si="114"/>
        <v>21.285714285714281</v>
      </c>
      <c r="BN602" s="75">
        <f t="shared" si="115"/>
        <v>22.349999999999998</v>
      </c>
      <c r="BO602" s="75">
        <f t="shared" si="116"/>
        <v>3.6075036075036072E-2</v>
      </c>
      <c r="BP602" s="75">
        <f t="shared" si="117"/>
        <v>3.787878787878788E-2</v>
      </c>
    </row>
    <row r="603" spans="1:68" ht="27" customHeight="1" x14ac:dyDescent="0.25">
      <c r="A603" s="60" t="s">
        <v>975</v>
      </c>
      <c r="B603" s="60" t="s">
        <v>976</v>
      </c>
      <c r="C603" s="34">
        <v>4301031289</v>
      </c>
      <c r="D603" s="769">
        <v>4640242181615</v>
      </c>
      <c r="E603" s="769"/>
      <c r="F603" s="59">
        <v>0.7</v>
      </c>
      <c r="G603" s="35">
        <v>6</v>
      </c>
      <c r="H603" s="59">
        <v>4.2</v>
      </c>
      <c r="I603" s="59">
        <v>4.41</v>
      </c>
      <c r="J603" s="35">
        <v>132</v>
      </c>
      <c r="K603" s="35" t="s">
        <v>116</v>
      </c>
      <c r="L603" s="35" t="s">
        <v>45</v>
      </c>
      <c r="M603" s="36" t="s">
        <v>82</v>
      </c>
      <c r="N603" s="36"/>
      <c r="O603" s="35">
        <v>45</v>
      </c>
      <c r="P603" s="799" t="s">
        <v>977</v>
      </c>
      <c r="Q603" s="771"/>
      <c r="R603" s="771"/>
      <c r="S603" s="771"/>
      <c r="T603" s="772"/>
      <c r="U603" s="37" t="s">
        <v>45</v>
      </c>
      <c r="V603" s="37" t="s">
        <v>45</v>
      </c>
      <c r="W603" s="38" t="s">
        <v>0</v>
      </c>
      <c r="X603" s="56">
        <v>0</v>
      </c>
      <c r="Y603" s="53">
        <f t="shared" si="113"/>
        <v>0</v>
      </c>
      <c r="Z603" s="39" t="str">
        <f>IFERROR(IF(Y603=0,"",ROUNDUP(Y603/H603,0)*0.00902),"")</f>
        <v/>
      </c>
      <c r="AA603" s="65" t="s">
        <v>45</v>
      </c>
      <c r="AB603" s="66" t="s">
        <v>45</v>
      </c>
      <c r="AC603" s="709" t="s">
        <v>978</v>
      </c>
      <c r="AG603" s="75"/>
      <c r="AJ603" s="79" t="s">
        <v>45</v>
      </c>
      <c r="AK603" s="79">
        <v>0</v>
      </c>
      <c r="BB603" s="710" t="s">
        <v>66</v>
      </c>
      <c r="BM603" s="75">
        <f t="shared" si="114"/>
        <v>0</v>
      </c>
      <c r="BN603" s="75">
        <f t="shared" si="115"/>
        <v>0</v>
      </c>
      <c r="BO603" s="75">
        <f t="shared" si="116"/>
        <v>0</v>
      </c>
      <c r="BP603" s="75">
        <f t="shared" si="117"/>
        <v>0</v>
      </c>
    </row>
    <row r="604" spans="1:68" ht="27" customHeight="1" x14ac:dyDescent="0.25">
      <c r="A604" s="60" t="s">
        <v>979</v>
      </c>
      <c r="B604" s="60" t="s">
        <v>980</v>
      </c>
      <c r="C604" s="34">
        <v>4301031285</v>
      </c>
      <c r="D604" s="769">
        <v>4640242181639</v>
      </c>
      <c r="E604" s="769"/>
      <c r="F604" s="59">
        <v>0.7</v>
      </c>
      <c r="G604" s="35">
        <v>6</v>
      </c>
      <c r="H604" s="59">
        <v>4.2</v>
      </c>
      <c r="I604" s="59">
        <v>4.41</v>
      </c>
      <c r="J604" s="35">
        <v>132</v>
      </c>
      <c r="K604" s="35" t="s">
        <v>116</v>
      </c>
      <c r="L604" s="35" t="s">
        <v>45</v>
      </c>
      <c r="M604" s="36" t="s">
        <v>82</v>
      </c>
      <c r="N604" s="36"/>
      <c r="O604" s="35">
        <v>45</v>
      </c>
      <c r="P604" s="800" t="s">
        <v>981</v>
      </c>
      <c r="Q604" s="771"/>
      <c r="R604" s="771"/>
      <c r="S604" s="771"/>
      <c r="T604" s="772"/>
      <c r="U604" s="37" t="s">
        <v>45</v>
      </c>
      <c r="V604" s="37" t="s">
        <v>45</v>
      </c>
      <c r="W604" s="38" t="s">
        <v>0</v>
      </c>
      <c r="X604" s="56">
        <v>0</v>
      </c>
      <c r="Y604" s="53">
        <f t="shared" si="113"/>
        <v>0</v>
      </c>
      <c r="Z604" s="39" t="str">
        <f>IFERROR(IF(Y604=0,"",ROUNDUP(Y604/H604,0)*0.00902),"")</f>
        <v/>
      </c>
      <c r="AA604" s="65" t="s">
        <v>45</v>
      </c>
      <c r="AB604" s="66" t="s">
        <v>45</v>
      </c>
      <c r="AC604" s="711" t="s">
        <v>982</v>
      </c>
      <c r="AG604" s="75"/>
      <c r="AJ604" s="79" t="s">
        <v>45</v>
      </c>
      <c r="AK604" s="79">
        <v>0</v>
      </c>
      <c r="BB604" s="712" t="s">
        <v>66</v>
      </c>
      <c r="BM604" s="75">
        <f t="shared" si="114"/>
        <v>0</v>
      </c>
      <c r="BN604" s="75">
        <f t="shared" si="115"/>
        <v>0</v>
      </c>
      <c r="BO604" s="75">
        <f t="shared" si="116"/>
        <v>0</v>
      </c>
      <c r="BP604" s="75">
        <f t="shared" si="117"/>
        <v>0</v>
      </c>
    </row>
    <row r="605" spans="1:68" ht="27" customHeight="1" x14ac:dyDescent="0.25">
      <c r="A605" s="60" t="s">
        <v>983</v>
      </c>
      <c r="B605" s="60" t="s">
        <v>984</v>
      </c>
      <c r="C605" s="34">
        <v>4301031287</v>
      </c>
      <c r="D605" s="769">
        <v>4640242181622</v>
      </c>
      <c r="E605" s="769"/>
      <c r="F605" s="59">
        <v>0.7</v>
      </c>
      <c r="G605" s="35">
        <v>6</v>
      </c>
      <c r="H605" s="59">
        <v>4.2</v>
      </c>
      <c r="I605" s="59">
        <v>4.41</v>
      </c>
      <c r="J605" s="35">
        <v>132</v>
      </c>
      <c r="K605" s="35" t="s">
        <v>116</v>
      </c>
      <c r="L605" s="35" t="s">
        <v>45</v>
      </c>
      <c r="M605" s="36" t="s">
        <v>82</v>
      </c>
      <c r="N605" s="36"/>
      <c r="O605" s="35">
        <v>45</v>
      </c>
      <c r="P605" s="787" t="s">
        <v>985</v>
      </c>
      <c r="Q605" s="771"/>
      <c r="R605" s="771"/>
      <c r="S605" s="771"/>
      <c r="T605" s="772"/>
      <c r="U605" s="37" t="s">
        <v>45</v>
      </c>
      <c r="V605" s="37" t="s">
        <v>45</v>
      </c>
      <c r="W605" s="38" t="s">
        <v>0</v>
      </c>
      <c r="X605" s="56">
        <v>0</v>
      </c>
      <c r="Y605" s="53">
        <f t="shared" si="113"/>
        <v>0</v>
      </c>
      <c r="Z605" s="39" t="str">
        <f>IFERROR(IF(Y605=0,"",ROUNDUP(Y605/H605,0)*0.00902),"")</f>
        <v/>
      </c>
      <c r="AA605" s="65" t="s">
        <v>45</v>
      </c>
      <c r="AB605" s="66" t="s">
        <v>45</v>
      </c>
      <c r="AC605" s="713" t="s">
        <v>986</v>
      </c>
      <c r="AG605" s="75"/>
      <c r="AJ605" s="79" t="s">
        <v>45</v>
      </c>
      <c r="AK605" s="79">
        <v>0</v>
      </c>
      <c r="BB605" s="714" t="s">
        <v>66</v>
      </c>
      <c r="BM605" s="75">
        <f t="shared" si="114"/>
        <v>0</v>
      </c>
      <c r="BN605" s="75">
        <f t="shared" si="115"/>
        <v>0</v>
      </c>
      <c r="BO605" s="75">
        <f t="shared" si="116"/>
        <v>0</v>
      </c>
      <c r="BP605" s="75">
        <f t="shared" si="117"/>
        <v>0</v>
      </c>
    </row>
    <row r="606" spans="1:68" ht="27" customHeight="1" x14ac:dyDescent="0.25">
      <c r="A606" s="60" t="s">
        <v>987</v>
      </c>
      <c r="B606" s="60" t="s">
        <v>988</v>
      </c>
      <c r="C606" s="34">
        <v>4301031203</v>
      </c>
      <c r="D606" s="769">
        <v>4640242180908</v>
      </c>
      <c r="E606" s="769"/>
      <c r="F606" s="59">
        <v>0.28000000000000003</v>
      </c>
      <c r="G606" s="35">
        <v>6</v>
      </c>
      <c r="H606" s="59">
        <v>1.68</v>
      </c>
      <c r="I606" s="59">
        <v>1.81</v>
      </c>
      <c r="J606" s="35">
        <v>234</v>
      </c>
      <c r="K606" s="35" t="s">
        <v>126</v>
      </c>
      <c r="L606" s="35" t="s">
        <v>45</v>
      </c>
      <c r="M606" s="36" t="s">
        <v>82</v>
      </c>
      <c r="N606" s="36"/>
      <c r="O606" s="35">
        <v>40</v>
      </c>
      <c r="P606" s="788" t="s">
        <v>989</v>
      </c>
      <c r="Q606" s="771"/>
      <c r="R606" s="771"/>
      <c r="S606" s="771"/>
      <c r="T606" s="772"/>
      <c r="U606" s="37" t="s">
        <v>45</v>
      </c>
      <c r="V606" s="37" t="s">
        <v>45</v>
      </c>
      <c r="W606" s="38" t="s">
        <v>0</v>
      </c>
      <c r="X606" s="56">
        <v>0</v>
      </c>
      <c r="Y606" s="53">
        <f t="shared" si="113"/>
        <v>0</v>
      </c>
      <c r="Z606" s="39" t="str">
        <f>IFERROR(IF(Y606=0,"",ROUNDUP(Y606/H606,0)*0.00502),"")</f>
        <v/>
      </c>
      <c r="AA606" s="65" t="s">
        <v>45</v>
      </c>
      <c r="AB606" s="66" t="s">
        <v>45</v>
      </c>
      <c r="AC606" s="715" t="s">
        <v>970</v>
      </c>
      <c r="AG606" s="75"/>
      <c r="AJ606" s="79" t="s">
        <v>45</v>
      </c>
      <c r="AK606" s="79">
        <v>0</v>
      </c>
      <c r="BB606" s="716" t="s">
        <v>66</v>
      </c>
      <c r="BM606" s="75">
        <f t="shared" si="114"/>
        <v>0</v>
      </c>
      <c r="BN606" s="75">
        <f t="shared" si="115"/>
        <v>0</v>
      </c>
      <c r="BO606" s="75">
        <f t="shared" si="116"/>
        <v>0</v>
      </c>
      <c r="BP606" s="75">
        <f t="shared" si="117"/>
        <v>0</v>
      </c>
    </row>
    <row r="607" spans="1:68" ht="27" customHeight="1" x14ac:dyDescent="0.25">
      <c r="A607" s="60" t="s">
        <v>990</v>
      </c>
      <c r="B607" s="60" t="s">
        <v>991</v>
      </c>
      <c r="C607" s="34">
        <v>4301031200</v>
      </c>
      <c r="D607" s="769">
        <v>4640242180489</v>
      </c>
      <c r="E607" s="769"/>
      <c r="F607" s="59">
        <v>0.28000000000000003</v>
      </c>
      <c r="G607" s="35">
        <v>6</v>
      </c>
      <c r="H607" s="59">
        <v>1.68</v>
      </c>
      <c r="I607" s="59">
        <v>1.84</v>
      </c>
      <c r="J607" s="35">
        <v>234</v>
      </c>
      <c r="K607" s="35" t="s">
        <v>126</v>
      </c>
      <c r="L607" s="35" t="s">
        <v>45</v>
      </c>
      <c r="M607" s="36" t="s">
        <v>82</v>
      </c>
      <c r="N607" s="36"/>
      <c r="O607" s="35">
        <v>40</v>
      </c>
      <c r="P607" s="789" t="s">
        <v>992</v>
      </c>
      <c r="Q607" s="771"/>
      <c r="R607" s="771"/>
      <c r="S607" s="771"/>
      <c r="T607" s="772"/>
      <c r="U607" s="37" t="s">
        <v>45</v>
      </c>
      <c r="V607" s="37" t="s">
        <v>45</v>
      </c>
      <c r="W607" s="38" t="s">
        <v>0</v>
      </c>
      <c r="X607" s="56">
        <v>0</v>
      </c>
      <c r="Y607" s="53">
        <f t="shared" si="113"/>
        <v>0</v>
      </c>
      <c r="Z607" s="39" t="str">
        <f>IFERROR(IF(Y607=0,"",ROUNDUP(Y607/H607,0)*0.00502),"")</f>
        <v/>
      </c>
      <c r="AA607" s="65" t="s">
        <v>45</v>
      </c>
      <c r="AB607" s="66" t="s">
        <v>45</v>
      </c>
      <c r="AC607" s="717" t="s">
        <v>974</v>
      </c>
      <c r="AG607" s="75"/>
      <c r="AJ607" s="79" t="s">
        <v>45</v>
      </c>
      <c r="AK607" s="79">
        <v>0</v>
      </c>
      <c r="BB607" s="718" t="s">
        <v>66</v>
      </c>
      <c r="BM607" s="75">
        <f t="shared" si="114"/>
        <v>0</v>
      </c>
      <c r="BN607" s="75">
        <f t="shared" si="115"/>
        <v>0</v>
      </c>
      <c r="BO607" s="75">
        <f t="shared" si="116"/>
        <v>0</v>
      </c>
      <c r="BP607" s="75">
        <f t="shared" si="117"/>
        <v>0</v>
      </c>
    </row>
    <row r="608" spans="1:68" x14ac:dyDescent="0.2">
      <c r="A608" s="759"/>
      <c r="B608" s="759"/>
      <c r="C608" s="759"/>
      <c r="D608" s="759"/>
      <c r="E608" s="759"/>
      <c r="F608" s="759"/>
      <c r="G608" s="759"/>
      <c r="H608" s="759"/>
      <c r="I608" s="759"/>
      <c r="J608" s="759"/>
      <c r="K608" s="759"/>
      <c r="L608" s="759"/>
      <c r="M608" s="759"/>
      <c r="N608" s="759"/>
      <c r="O608" s="767"/>
      <c r="P608" s="764" t="s">
        <v>40</v>
      </c>
      <c r="Q608" s="765"/>
      <c r="R608" s="765"/>
      <c r="S608" s="765"/>
      <c r="T608" s="765"/>
      <c r="U608" s="765"/>
      <c r="V608" s="766"/>
      <c r="W608" s="40" t="s">
        <v>39</v>
      </c>
      <c r="X608" s="41">
        <f>IFERROR(X601/H601,"0")+IFERROR(X602/H602,"0")+IFERROR(X603/H603,"0")+IFERROR(X604/H604,"0")+IFERROR(X605/H605,"0")+IFERROR(X606/H606,"0")+IFERROR(X607/H607,"0")</f>
        <v>14.285714285714285</v>
      </c>
      <c r="Y608" s="41">
        <f>IFERROR(Y601/H601,"0")+IFERROR(Y602/H602,"0")+IFERROR(Y603/H603,"0")+IFERROR(Y604/H604,"0")+IFERROR(Y605/H605,"0")+IFERROR(Y606/H606,"0")+IFERROR(Y607/H607,"0")</f>
        <v>15</v>
      </c>
      <c r="Z608" s="41">
        <f>IFERROR(IF(Z601="",0,Z601),"0")+IFERROR(IF(Z602="",0,Z602),"0")+IFERROR(IF(Z603="",0,Z603),"0")+IFERROR(IF(Z604="",0,Z604),"0")+IFERROR(IF(Z605="",0,Z605),"0")+IFERROR(IF(Z606="",0,Z606),"0")+IFERROR(IF(Z607="",0,Z607),"0")</f>
        <v>0.1353</v>
      </c>
      <c r="AA608" s="64"/>
      <c r="AB608" s="64"/>
      <c r="AC608" s="64"/>
    </row>
    <row r="609" spans="1:68" x14ac:dyDescent="0.2">
      <c r="A609" s="759"/>
      <c r="B609" s="759"/>
      <c r="C609" s="759"/>
      <c r="D609" s="759"/>
      <c r="E609" s="759"/>
      <c r="F609" s="759"/>
      <c r="G609" s="759"/>
      <c r="H609" s="759"/>
      <c r="I609" s="759"/>
      <c r="J609" s="759"/>
      <c r="K609" s="759"/>
      <c r="L609" s="759"/>
      <c r="M609" s="759"/>
      <c r="N609" s="759"/>
      <c r="O609" s="767"/>
      <c r="P609" s="764" t="s">
        <v>40</v>
      </c>
      <c r="Q609" s="765"/>
      <c r="R609" s="765"/>
      <c r="S609" s="765"/>
      <c r="T609" s="765"/>
      <c r="U609" s="765"/>
      <c r="V609" s="766"/>
      <c r="W609" s="40" t="s">
        <v>0</v>
      </c>
      <c r="X609" s="41">
        <f>IFERROR(SUM(X601:X607),"0")</f>
        <v>60</v>
      </c>
      <c r="Y609" s="41">
        <f>IFERROR(SUM(Y601:Y607),"0")</f>
        <v>63</v>
      </c>
      <c r="Z609" s="40"/>
      <c r="AA609" s="64"/>
      <c r="AB609" s="64"/>
      <c r="AC609" s="64"/>
    </row>
    <row r="610" spans="1:68" ht="14.25" customHeight="1" x14ac:dyDescent="0.25">
      <c r="A610" s="768" t="s">
        <v>78</v>
      </c>
      <c r="B610" s="768"/>
      <c r="C610" s="768"/>
      <c r="D610" s="768"/>
      <c r="E610" s="768"/>
      <c r="F610" s="768"/>
      <c r="G610" s="768"/>
      <c r="H610" s="768"/>
      <c r="I610" s="768"/>
      <c r="J610" s="768"/>
      <c r="K610" s="768"/>
      <c r="L610" s="768"/>
      <c r="M610" s="768"/>
      <c r="N610" s="768"/>
      <c r="O610" s="768"/>
      <c r="P610" s="768"/>
      <c r="Q610" s="768"/>
      <c r="R610" s="768"/>
      <c r="S610" s="768"/>
      <c r="T610" s="768"/>
      <c r="U610" s="768"/>
      <c r="V610" s="768"/>
      <c r="W610" s="768"/>
      <c r="X610" s="768"/>
      <c r="Y610" s="768"/>
      <c r="Z610" s="768"/>
      <c r="AA610" s="63"/>
      <c r="AB610" s="63"/>
      <c r="AC610" s="63"/>
    </row>
    <row r="611" spans="1:68" ht="27" customHeight="1" x14ac:dyDescent="0.25">
      <c r="A611" s="60" t="s">
        <v>993</v>
      </c>
      <c r="B611" s="60" t="s">
        <v>994</v>
      </c>
      <c r="C611" s="34">
        <v>4301051746</v>
      </c>
      <c r="D611" s="769">
        <v>4640242180533</v>
      </c>
      <c r="E611" s="769"/>
      <c r="F611" s="59">
        <v>1.3</v>
      </c>
      <c r="G611" s="35">
        <v>6</v>
      </c>
      <c r="H611" s="59">
        <v>7.8</v>
      </c>
      <c r="I611" s="59">
        <v>8.3190000000000008</v>
      </c>
      <c r="J611" s="35">
        <v>64</v>
      </c>
      <c r="K611" s="35" t="s">
        <v>107</v>
      </c>
      <c r="L611" s="35" t="s">
        <v>45</v>
      </c>
      <c r="M611" s="36" t="s">
        <v>106</v>
      </c>
      <c r="N611" s="36"/>
      <c r="O611" s="35">
        <v>40</v>
      </c>
      <c r="P611" s="790" t="s">
        <v>995</v>
      </c>
      <c r="Q611" s="771"/>
      <c r="R611" s="771"/>
      <c r="S611" s="771"/>
      <c r="T611" s="772"/>
      <c r="U611" s="37" t="s">
        <v>45</v>
      </c>
      <c r="V611" s="37" t="s">
        <v>45</v>
      </c>
      <c r="W611" s="38" t="s">
        <v>0</v>
      </c>
      <c r="X611" s="56">
        <v>0</v>
      </c>
      <c r="Y611" s="53">
        <f t="shared" ref="Y611:Y618" si="118">IFERROR(IF(X611="",0,CEILING((X611/$H611),1)*$H611),"")</f>
        <v>0</v>
      </c>
      <c r="Z611" s="39" t="str">
        <f>IFERROR(IF(Y611=0,"",ROUNDUP(Y611/H611,0)*0.01898),"")</f>
        <v/>
      </c>
      <c r="AA611" s="65" t="s">
        <v>45</v>
      </c>
      <c r="AB611" s="66" t="s">
        <v>45</v>
      </c>
      <c r="AC611" s="719" t="s">
        <v>996</v>
      </c>
      <c r="AG611" s="75"/>
      <c r="AJ611" s="79" t="s">
        <v>45</v>
      </c>
      <c r="AK611" s="79">
        <v>0</v>
      </c>
      <c r="BB611" s="720" t="s">
        <v>66</v>
      </c>
      <c r="BM611" s="75">
        <f t="shared" ref="BM611:BM618" si="119">IFERROR(X611*I611/H611,"0")</f>
        <v>0</v>
      </c>
      <c r="BN611" s="75">
        <f t="shared" ref="BN611:BN618" si="120">IFERROR(Y611*I611/H611,"0")</f>
        <v>0</v>
      </c>
      <c r="BO611" s="75">
        <f t="shared" ref="BO611:BO618" si="121">IFERROR(1/J611*(X611/H611),"0")</f>
        <v>0</v>
      </c>
      <c r="BP611" s="75">
        <f t="shared" ref="BP611:BP618" si="122">IFERROR(1/J611*(Y611/H611),"0")</f>
        <v>0</v>
      </c>
    </row>
    <row r="612" spans="1:68" ht="27" customHeight="1" x14ac:dyDescent="0.25">
      <c r="A612" s="60" t="s">
        <v>993</v>
      </c>
      <c r="B612" s="60" t="s">
        <v>997</v>
      </c>
      <c r="C612" s="34">
        <v>4301051887</v>
      </c>
      <c r="D612" s="769">
        <v>4640242180533</v>
      </c>
      <c r="E612" s="769"/>
      <c r="F612" s="59">
        <v>1.3</v>
      </c>
      <c r="G612" s="35">
        <v>6</v>
      </c>
      <c r="H612" s="59">
        <v>7.8</v>
      </c>
      <c r="I612" s="59">
        <v>8.3190000000000008</v>
      </c>
      <c r="J612" s="35">
        <v>64</v>
      </c>
      <c r="K612" s="35" t="s">
        <v>107</v>
      </c>
      <c r="L612" s="35" t="s">
        <v>45</v>
      </c>
      <c r="M612" s="36" t="s">
        <v>106</v>
      </c>
      <c r="N612" s="36"/>
      <c r="O612" s="35">
        <v>45</v>
      </c>
      <c r="P612" s="791" t="s">
        <v>998</v>
      </c>
      <c r="Q612" s="771"/>
      <c r="R612" s="771"/>
      <c r="S612" s="771"/>
      <c r="T612" s="772"/>
      <c r="U612" s="37" t="s">
        <v>45</v>
      </c>
      <c r="V612" s="37" t="s">
        <v>45</v>
      </c>
      <c r="W612" s="38" t="s">
        <v>0</v>
      </c>
      <c r="X612" s="56">
        <v>0</v>
      </c>
      <c r="Y612" s="53">
        <f t="shared" si="118"/>
        <v>0</v>
      </c>
      <c r="Z612" s="39" t="str">
        <f>IFERROR(IF(Y612=0,"",ROUNDUP(Y612/H612,0)*0.01898),"")</f>
        <v/>
      </c>
      <c r="AA612" s="65" t="s">
        <v>45</v>
      </c>
      <c r="AB612" s="66" t="s">
        <v>45</v>
      </c>
      <c r="AC612" s="721" t="s">
        <v>996</v>
      </c>
      <c r="AG612" s="75"/>
      <c r="AJ612" s="79" t="s">
        <v>45</v>
      </c>
      <c r="AK612" s="79">
        <v>0</v>
      </c>
      <c r="BB612" s="722" t="s">
        <v>66</v>
      </c>
      <c r="BM612" s="75">
        <f t="shared" si="119"/>
        <v>0</v>
      </c>
      <c r="BN612" s="75">
        <f t="shared" si="120"/>
        <v>0</v>
      </c>
      <c r="BO612" s="75">
        <f t="shared" si="121"/>
        <v>0</v>
      </c>
      <c r="BP612" s="75">
        <f t="shared" si="122"/>
        <v>0</v>
      </c>
    </row>
    <row r="613" spans="1:68" ht="27" customHeight="1" x14ac:dyDescent="0.25">
      <c r="A613" s="60" t="s">
        <v>999</v>
      </c>
      <c r="B613" s="60" t="s">
        <v>1000</v>
      </c>
      <c r="C613" s="34">
        <v>4301051510</v>
      </c>
      <c r="D613" s="769">
        <v>4640242180540</v>
      </c>
      <c r="E613" s="769"/>
      <c r="F613" s="59">
        <v>1.3</v>
      </c>
      <c r="G613" s="35">
        <v>6</v>
      </c>
      <c r="H613" s="59">
        <v>7.8</v>
      </c>
      <c r="I613" s="59">
        <v>8.3190000000000008</v>
      </c>
      <c r="J613" s="35">
        <v>64</v>
      </c>
      <c r="K613" s="35" t="s">
        <v>107</v>
      </c>
      <c r="L613" s="35" t="s">
        <v>45</v>
      </c>
      <c r="M613" s="36" t="s">
        <v>82</v>
      </c>
      <c r="N613" s="36"/>
      <c r="O613" s="35">
        <v>30</v>
      </c>
      <c r="P613" s="792" t="s">
        <v>1001</v>
      </c>
      <c r="Q613" s="771"/>
      <c r="R613" s="771"/>
      <c r="S613" s="771"/>
      <c r="T613" s="772"/>
      <c r="U613" s="37" t="s">
        <v>45</v>
      </c>
      <c r="V613" s="37" t="s">
        <v>45</v>
      </c>
      <c r="W613" s="38" t="s">
        <v>0</v>
      </c>
      <c r="X613" s="56">
        <v>0</v>
      </c>
      <c r="Y613" s="53">
        <f t="shared" si="118"/>
        <v>0</v>
      </c>
      <c r="Z613" s="39" t="str">
        <f>IFERROR(IF(Y613=0,"",ROUNDUP(Y613/H613,0)*0.01898),"")</f>
        <v/>
      </c>
      <c r="AA613" s="65" t="s">
        <v>45</v>
      </c>
      <c r="AB613" s="66" t="s">
        <v>45</v>
      </c>
      <c r="AC613" s="723" t="s">
        <v>1002</v>
      </c>
      <c r="AG613" s="75"/>
      <c r="AJ613" s="79" t="s">
        <v>45</v>
      </c>
      <c r="AK613" s="79">
        <v>0</v>
      </c>
      <c r="BB613" s="724" t="s">
        <v>66</v>
      </c>
      <c r="BM613" s="75">
        <f t="shared" si="119"/>
        <v>0</v>
      </c>
      <c r="BN613" s="75">
        <f t="shared" si="120"/>
        <v>0</v>
      </c>
      <c r="BO613" s="75">
        <f t="shared" si="121"/>
        <v>0</v>
      </c>
      <c r="BP613" s="75">
        <f t="shared" si="122"/>
        <v>0</v>
      </c>
    </row>
    <row r="614" spans="1:68" ht="27" customHeight="1" x14ac:dyDescent="0.25">
      <c r="A614" s="60" t="s">
        <v>999</v>
      </c>
      <c r="B614" s="60" t="s">
        <v>1003</v>
      </c>
      <c r="C614" s="34">
        <v>4301051933</v>
      </c>
      <c r="D614" s="769">
        <v>4640242180540</v>
      </c>
      <c r="E614" s="769"/>
      <c r="F614" s="59">
        <v>1.3</v>
      </c>
      <c r="G614" s="35">
        <v>6</v>
      </c>
      <c r="H614" s="59">
        <v>7.8</v>
      </c>
      <c r="I614" s="59">
        <v>8.3190000000000008</v>
      </c>
      <c r="J614" s="35">
        <v>64</v>
      </c>
      <c r="K614" s="35" t="s">
        <v>107</v>
      </c>
      <c r="L614" s="35" t="s">
        <v>45</v>
      </c>
      <c r="M614" s="36" t="s">
        <v>106</v>
      </c>
      <c r="N614" s="36"/>
      <c r="O614" s="35">
        <v>45</v>
      </c>
      <c r="P614" s="793" t="s">
        <v>1004</v>
      </c>
      <c r="Q614" s="771"/>
      <c r="R614" s="771"/>
      <c r="S614" s="771"/>
      <c r="T614" s="772"/>
      <c r="U614" s="37" t="s">
        <v>45</v>
      </c>
      <c r="V614" s="37" t="s">
        <v>45</v>
      </c>
      <c r="W614" s="38" t="s">
        <v>0</v>
      </c>
      <c r="X614" s="56">
        <v>0</v>
      </c>
      <c r="Y614" s="53">
        <f t="shared" si="118"/>
        <v>0</v>
      </c>
      <c r="Z614" s="39" t="str">
        <f>IFERROR(IF(Y614=0,"",ROUNDUP(Y614/H614,0)*0.01898),"")</f>
        <v/>
      </c>
      <c r="AA614" s="65" t="s">
        <v>45</v>
      </c>
      <c r="AB614" s="66" t="s">
        <v>45</v>
      </c>
      <c r="AC614" s="725" t="s">
        <v>1002</v>
      </c>
      <c r="AG614" s="75"/>
      <c r="AJ614" s="79" t="s">
        <v>45</v>
      </c>
      <c r="AK614" s="79">
        <v>0</v>
      </c>
      <c r="BB614" s="726" t="s">
        <v>66</v>
      </c>
      <c r="BM614" s="75">
        <f t="shared" si="119"/>
        <v>0</v>
      </c>
      <c r="BN614" s="75">
        <f t="shared" si="120"/>
        <v>0</v>
      </c>
      <c r="BO614" s="75">
        <f t="shared" si="121"/>
        <v>0</v>
      </c>
      <c r="BP614" s="75">
        <f t="shared" si="122"/>
        <v>0</v>
      </c>
    </row>
    <row r="615" spans="1:68" ht="27" customHeight="1" x14ac:dyDescent="0.25">
      <c r="A615" s="60" t="s">
        <v>1005</v>
      </c>
      <c r="B615" s="60" t="s">
        <v>1006</v>
      </c>
      <c r="C615" s="34">
        <v>4301051390</v>
      </c>
      <c r="D615" s="769">
        <v>4640242181233</v>
      </c>
      <c r="E615" s="769"/>
      <c r="F615" s="59">
        <v>0.3</v>
      </c>
      <c r="G615" s="35">
        <v>6</v>
      </c>
      <c r="H615" s="59">
        <v>1.8</v>
      </c>
      <c r="I615" s="59">
        <v>1.984</v>
      </c>
      <c r="J615" s="35">
        <v>234</v>
      </c>
      <c r="K615" s="35" t="s">
        <v>126</v>
      </c>
      <c r="L615" s="35" t="s">
        <v>45</v>
      </c>
      <c r="M615" s="36" t="s">
        <v>82</v>
      </c>
      <c r="N615" s="36"/>
      <c r="O615" s="35">
        <v>40</v>
      </c>
      <c r="P615" s="780" t="s">
        <v>1007</v>
      </c>
      <c r="Q615" s="771"/>
      <c r="R615" s="771"/>
      <c r="S615" s="771"/>
      <c r="T615" s="772"/>
      <c r="U615" s="37" t="s">
        <v>45</v>
      </c>
      <c r="V615" s="37" t="s">
        <v>45</v>
      </c>
      <c r="W615" s="38" t="s">
        <v>0</v>
      </c>
      <c r="X615" s="56">
        <v>0</v>
      </c>
      <c r="Y615" s="53">
        <f t="shared" si="118"/>
        <v>0</v>
      </c>
      <c r="Z615" s="39" t="str">
        <f>IFERROR(IF(Y615=0,"",ROUNDUP(Y615/H615,0)*0.00502),"")</f>
        <v/>
      </c>
      <c r="AA615" s="65" t="s">
        <v>45</v>
      </c>
      <c r="AB615" s="66" t="s">
        <v>45</v>
      </c>
      <c r="AC615" s="727" t="s">
        <v>996</v>
      </c>
      <c r="AG615" s="75"/>
      <c r="AJ615" s="79" t="s">
        <v>45</v>
      </c>
      <c r="AK615" s="79">
        <v>0</v>
      </c>
      <c r="BB615" s="728" t="s">
        <v>66</v>
      </c>
      <c r="BM615" s="75">
        <f t="shared" si="119"/>
        <v>0</v>
      </c>
      <c r="BN615" s="75">
        <f t="shared" si="120"/>
        <v>0</v>
      </c>
      <c r="BO615" s="75">
        <f t="shared" si="121"/>
        <v>0</v>
      </c>
      <c r="BP615" s="75">
        <f t="shared" si="122"/>
        <v>0</v>
      </c>
    </row>
    <row r="616" spans="1:68" ht="27" customHeight="1" x14ac:dyDescent="0.25">
      <c r="A616" s="60" t="s">
        <v>1005</v>
      </c>
      <c r="B616" s="60" t="s">
        <v>1008</v>
      </c>
      <c r="C616" s="34">
        <v>4301051920</v>
      </c>
      <c r="D616" s="769">
        <v>4640242181233</v>
      </c>
      <c r="E616" s="769"/>
      <c r="F616" s="59">
        <v>0.3</v>
      </c>
      <c r="G616" s="35">
        <v>6</v>
      </c>
      <c r="H616" s="59">
        <v>1.8</v>
      </c>
      <c r="I616" s="59">
        <v>2.0640000000000001</v>
      </c>
      <c r="J616" s="35">
        <v>182</v>
      </c>
      <c r="K616" s="35" t="s">
        <v>83</v>
      </c>
      <c r="L616" s="35" t="s">
        <v>45</v>
      </c>
      <c r="M616" s="36" t="s">
        <v>150</v>
      </c>
      <c r="N616" s="36"/>
      <c r="O616" s="35">
        <v>45</v>
      </c>
      <c r="P616" s="781" t="s">
        <v>1009</v>
      </c>
      <c r="Q616" s="771"/>
      <c r="R616" s="771"/>
      <c r="S616" s="771"/>
      <c r="T616" s="772"/>
      <c r="U616" s="37" t="s">
        <v>45</v>
      </c>
      <c r="V616" s="37" t="s">
        <v>45</v>
      </c>
      <c r="W616" s="38" t="s">
        <v>0</v>
      </c>
      <c r="X616" s="56">
        <v>0</v>
      </c>
      <c r="Y616" s="53">
        <f t="shared" si="118"/>
        <v>0</v>
      </c>
      <c r="Z616" s="39" t="str">
        <f>IFERROR(IF(Y616=0,"",ROUNDUP(Y616/H616,0)*0.00651),"")</f>
        <v/>
      </c>
      <c r="AA616" s="65" t="s">
        <v>45</v>
      </c>
      <c r="AB616" s="66" t="s">
        <v>45</v>
      </c>
      <c r="AC616" s="729" t="s">
        <v>996</v>
      </c>
      <c r="AG616" s="75"/>
      <c r="AJ616" s="79" t="s">
        <v>45</v>
      </c>
      <c r="AK616" s="79">
        <v>0</v>
      </c>
      <c r="BB616" s="730" t="s">
        <v>66</v>
      </c>
      <c r="BM616" s="75">
        <f t="shared" si="119"/>
        <v>0</v>
      </c>
      <c r="BN616" s="75">
        <f t="shared" si="120"/>
        <v>0</v>
      </c>
      <c r="BO616" s="75">
        <f t="shared" si="121"/>
        <v>0</v>
      </c>
      <c r="BP616" s="75">
        <f t="shared" si="122"/>
        <v>0</v>
      </c>
    </row>
    <row r="617" spans="1:68" ht="27" customHeight="1" x14ac:dyDescent="0.25">
      <c r="A617" s="60" t="s">
        <v>1010</v>
      </c>
      <c r="B617" s="60" t="s">
        <v>1011</v>
      </c>
      <c r="C617" s="34">
        <v>4301051448</v>
      </c>
      <c r="D617" s="769">
        <v>4640242181226</v>
      </c>
      <c r="E617" s="769"/>
      <c r="F617" s="59">
        <v>0.3</v>
      </c>
      <c r="G617" s="35">
        <v>6</v>
      </c>
      <c r="H617" s="59">
        <v>1.8</v>
      </c>
      <c r="I617" s="59">
        <v>1.972</v>
      </c>
      <c r="J617" s="35">
        <v>234</v>
      </c>
      <c r="K617" s="35" t="s">
        <v>126</v>
      </c>
      <c r="L617" s="35" t="s">
        <v>45</v>
      </c>
      <c r="M617" s="36" t="s">
        <v>82</v>
      </c>
      <c r="N617" s="36"/>
      <c r="O617" s="35">
        <v>30</v>
      </c>
      <c r="P617" s="782" t="s">
        <v>1012</v>
      </c>
      <c r="Q617" s="771"/>
      <c r="R617" s="771"/>
      <c r="S617" s="771"/>
      <c r="T617" s="772"/>
      <c r="U617" s="37" t="s">
        <v>45</v>
      </c>
      <c r="V617" s="37" t="s">
        <v>45</v>
      </c>
      <c r="W617" s="38" t="s">
        <v>0</v>
      </c>
      <c r="X617" s="56">
        <v>0</v>
      </c>
      <c r="Y617" s="53">
        <f t="shared" si="118"/>
        <v>0</v>
      </c>
      <c r="Z617" s="39" t="str">
        <f>IFERROR(IF(Y617=0,"",ROUNDUP(Y617/H617,0)*0.00502),"")</f>
        <v/>
      </c>
      <c r="AA617" s="65" t="s">
        <v>45</v>
      </c>
      <c r="AB617" s="66" t="s">
        <v>45</v>
      </c>
      <c r="AC617" s="731" t="s">
        <v>1002</v>
      </c>
      <c r="AG617" s="75"/>
      <c r="AJ617" s="79" t="s">
        <v>45</v>
      </c>
      <c r="AK617" s="79">
        <v>0</v>
      </c>
      <c r="BB617" s="732" t="s">
        <v>66</v>
      </c>
      <c r="BM617" s="75">
        <f t="shared" si="119"/>
        <v>0</v>
      </c>
      <c r="BN617" s="75">
        <f t="shared" si="120"/>
        <v>0</v>
      </c>
      <c r="BO617" s="75">
        <f t="shared" si="121"/>
        <v>0</v>
      </c>
      <c r="BP617" s="75">
        <f t="shared" si="122"/>
        <v>0</v>
      </c>
    </row>
    <row r="618" spans="1:68" ht="27" customHeight="1" x14ac:dyDescent="0.25">
      <c r="A618" s="60" t="s">
        <v>1010</v>
      </c>
      <c r="B618" s="60" t="s">
        <v>1013</v>
      </c>
      <c r="C618" s="34">
        <v>4301051921</v>
      </c>
      <c r="D618" s="769">
        <v>4640242181226</v>
      </c>
      <c r="E618" s="769"/>
      <c r="F618" s="59">
        <v>0.3</v>
      </c>
      <c r="G618" s="35">
        <v>6</v>
      </c>
      <c r="H618" s="59">
        <v>1.8</v>
      </c>
      <c r="I618" s="59">
        <v>2.052</v>
      </c>
      <c r="J618" s="35">
        <v>182</v>
      </c>
      <c r="K618" s="35" t="s">
        <v>83</v>
      </c>
      <c r="L618" s="35" t="s">
        <v>45</v>
      </c>
      <c r="M618" s="36" t="s">
        <v>150</v>
      </c>
      <c r="N618" s="36"/>
      <c r="O618" s="35">
        <v>45</v>
      </c>
      <c r="P618" s="783" t="s">
        <v>1014</v>
      </c>
      <c r="Q618" s="771"/>
      <c r="R618" s="771"/>
      <c r="S618" s="771"/>
      <c r="T618" s="772"/>
      <c r="U618" s="37" t="s">
        <v>45</v>
      </c>
      <c r="V618" s="37" t="s">
        <v>45</v>
      </c>
      <c r="W618" s="38" t="s">
        <v>0</v>
      </c>
      <c r="X618" s="56">
        <v>0</v>
      </c>
      <c r="Y618" s="53">
        <f t="shared" si="118"/>
        <v>0</v>
      </c>
      <c r="Z618" s="39" t="str">
        <f>IFERROR(IF(Y618=0,"",ROUNDUP(Y618/H618,0)*0.00651),"")</f>
        <v/>
      </c>
      <c r="AA618" s="65" t="s">
        <v>45</v>
      </c>
      <c r="AB618" s="66" t="s">
        <v>45</v>
      </c>
      <c r="AC618" s="733" t="s">
        <v>1002</v>
      </c>
      <c r="AG618" s="75"/>
      <c r="AJ618" s="79" t="s">
        <v>45</v>
      </c>
      <c r="AK618" s="79">
        <v>0</v>
      </c>
      <c r="BB618" s="734" t="s">
        <v>66</v>
      </c>
      <c r="BM618" s="75">
        <f t="shared" si="119"/>
        <v>0</v>
      </c>
      <c r="BN618" s="75">
        <f t="shared" si="120"/>
        <v>0</v>
      </c>
      <c r="BO618" s="75">
        <f t="shared" si="121"/>
        <v>0</v>
      </c>
      <c r="BP618" s="75">
        <f t="shared" si="122"/>
        <v>0</v>
      </c>
    </row>
    <row r="619" spans="1:68" x14ac:dyDescent="0.2">
      <c r="A619" s="759"/>
      <c r="B619" s="759"/>
      <c r="C619" s="759"/>
      <c r="D619" s="759"/>
      <c r="E619" s="759"/>
      <c r="F619" s="759"/>
      <c r="G619" s="759"/>
      <c r="H619" s="759"/>
      <c r="I619" s="759"/>
      <c r="J619" s="759"/>
      <c r="K619" s="759"/>
      <c r="L619" s="759"/>
      <c r="M619" s="759"/>
      <c r="N619" s="759"/>
      <c r="O619" s="767"/>
      <c r="P619" s="764" t="s">
        <v>40</v>
      </c>
      <c r="Q619" s="765"/>
      <c r="R619" s="765"/>
      <c r="S619" s="765"/>
      <c r="T619" s="765"/>
      <c r="U619" s="765"/>
      <c r="V619" s="766"/>
      <c r="W619" s="40" t="s">
        <v>39</v>
      </c>
      <c r="X619" s="41">
        <f>IFERROR(X611/H611,"0")+IFERROR(X612/H612,"0")+IFERROR(X613/H613,"0")+IFERROR(X614/H614,"0")+IFERROR(X615/H615,"0")+IFERROR(X616/H616,"0")+IFERROR(X617/H617,"0")+IFERROR(X618/H618,"0")</f>
        <v>0</v>
      </c>
      <c r="Y619" s="41">
        <f>IFERROR(Y611/H611,"0")+IFERROR(Y612/H612,"0")+IFERROR(Y613/H613,"0")+IFERROR(Y614/H614,"0")+IFERROR(Y615/H615,"0")+IFERROR(Y616/H616,"0")+IFERROR(Y617/H617,"0")+IFERROR(Y618/H618,"0")</f>
        <v>0</v>
      </c>
      <c r="Z619" s="41">
        <f>IFERROR(IF(Z611="",0,Z611),"0")+IFERROR(IF(Z612="",0,Z612),"0")+IFERROR(IF(Z613="",0,Z613),"0")+IFERROR(IF(Z614="",0,Z614),"0")+IFERROR(IF(Z615="",0,Z615),"0")+IFERROR(IF(Z616="",0,Z616),"0")+IFERROR(IF(Z617="",0,Z617),"0")+IFERROR(IF(Z618="",0,Z618),"0")</f>
        <v>0</v>
      </c>
      <c r="AA619" s="64"/>
      <c r="AB619" s="64"/>
      <c r="AC619" s="64"/>
    </row>
    <row r="620" spans="1:68" x14ac:dyDescent="0.2">
      <c r="A620" s="759"/>
      <c r="B620" s="759"/>
      <c r="C620" s="759"/>
      <c r="D620" s="759"/>
      <c r="E620" s="759"/>
      <c r="F620" s="759"/>
      <c r="G620" s="759"/>
      <c r="H620" s="759"/>
      <c r="I620" s="759"/>
      <c r="J620" s="759"/>
      <c r="K620" s="759"/>
      <c r="L620" s="759"/>
      <c r="M620" s="759"/>
      <c r="N620" s="759"/>
      <c r="O620" s="767"/>
      <c r="P620" s="764" t="s">
        <v>40</v>
      </c>
      <c r="Q620" s="765"/>
      <c r="R620" s="765"/>
      <c r="S620" s="765"/>
      <c r="T620" s="765"/>
      <c r="U620" s="765"/>
      <c r="V620" s="766"/>
      <c r="W620" s="40" t="s">
        <v>0</v>
      </c>
      <c r="X620" s="41">
        <f>IFERROR(SUM(X611:X618),"0")</f>
        <v>0</v>
      </c>
      <c r="Y620" s="41">
        <f>IFERROR(SUM(Y611:Y618),"0")</f>
        <v>0</v>
      </c>
      <c r="Z620" s="40"/>
      <c r="AA620" s="64"/>
      <c r="AB620" s="64"/>
      <c r="AC620" s="64"/>
    </row>
    <row r="621" spans="1:68" ht="14.25" customHeight="1" x14ac:dyDescent="0.25">
      <c r="A621" s="768" t="s">
        <v>195</v>
      </c>
      <c r="B621" s="768"/>
      <c r="C621" s="768"/>
      <c r="D621" s="768"/>
      <c r="E621" s="768"/>
      <c r="F621" s="768"/>
      <c r="G621" s="768"/>
      <c r="H621" s="768"/>
      <c r="I621" s="768"/>
      <c r="J621" s="768"/>
      <c r="K621" s="768"/>
      <c r="L621" s="768"/>
      <c r="M621" s="768"/>
      <c r="N621" s="768"/>
      <c r="O621" s="768"/>
      <c r="P621" s="768"/>
      <c r="Q621" s="768"/>
      <c r="R621" s="768"/>
      <c r="S621" s="768"/>
      <c r="T621" s="768"/>
      <c r="U621" s="768"/>
      <c r="V621" s="768"/>
      <c r="W621" s="768"/>
      <c r="X621" s="768"/>
      <c r="Y621" s="768"/>
      <c r="Z621" s="768"/>
      <c r="AA621" s="63"/>
      <c r="AB621" s="63"/>
      <c r="AC621" s="63"/>
    </row>
    <row r="622" spans="1:68" ht="27" customHeight="1" x14ac:dyDescent="0.25">
      <c r="A622" s="60" t="s">
        <v>1015</v>
      </c>
      <c r="B622" s="60" t="s">
        <v>1016</v>
      </c>
      <c r="C622" s="34">
        <v>4301060354</v>
      </c>
      <c r="D622" s="769">
        <v>4640242180120</v>
      </c>
      <c r="E622" s="769"/>
      <c r="F622" s="59">
        <v>1.3</v>
      </c>
      <c r="G622" s="35">
        <v>6</v>
      </c>
      <c r="H622" s="59">
        <v>7.8</v>
      </c>
      <c r="I622" s="59">
        <v>8.2349999999999994</v>
      </c>
      <c r="J622" s="35">
        <v>64</v>
      </c>
      <c r="K622" s="35" t="s">
        <v>107</v>
      </c>
      <c r="L622" s="35" t="s">
        <v>45</v>
      </c>
      <c r="M622" s="36" t="s">
        <v>82</v>
      </c>
      <c r="N622" s="36"/>
      <c r="O622" s="35">
        <v>40</v>
      </c>
      <c r="P622" s="784" t="s">
        <v>1017</v>
      </c>
      <c r="Q622" s="771"/>
      <c r="R622" s="771"/>
      <c r="S622" s="771"/>
      <c r="T622" s="772"/>
      <c r="U622" s="37" t="s">
        <v>45</v>
      </c>
      <c r="V622" s="37" t="s">
        <v>45</v>
      </c>
      <c r="W622" s="38" t="s">
        <v>0</v>
      </c>
      <c r="X622" s="56">
        <v>0</v>
      </c>
      <c r="Y622" s="53">
        <f>IFERROR(IF(X622="",0,CEILING((X622/$H622),1)*$H622),"")</f>
        <v>0</v>
      </c>
      <c r="Z622" s="39" t="str">
        <f>IFERROR(IF(Y622=0,"",ROUNDUP(Y622/H622,0)*0.01898),"")</f>
        <v/>
      </c>
      <c r="AA622" s="65" t="s">
        <v>45</v>
      </c>
      <c r="AB622" s="66" t="s">
        <v>45</v>
      </c>
      <c r="AC622" s="735" t="s">
        <v>1018</v>
      </c>
      <c r="AG622" s="75"/>
      <c r="AJ622" s="79" t="s">
        <v>45</v>
      </c>
      <c r="AK622" s="79">
        <v>0</v>
      </c>
      <c r="BB622" s="736" t="s">
        <v>66</v>
      </c>
      <c r="BM622" s="75">
        <f>IFERROR(X622*I622/H622,"0")</f>
        <v>0</v>
      </c>
      <c r="BN622" s="75">
        <f>IFERROR(Y622*I622/H622,"0")</f>
        <v>0</v>
      </c>
      <c r="BO622" s="75">
        <f>IFERROR(1/J622*(X622/H622),"0")</f>
        <v>0</v>
      </c>
      <c r="BP622" s="75">
        <f>IFERROR(1/J622*(Y622/H622),"0")</f>
        <v>0</v>
      </c>
    </row>
    <row r="623" spans="1:68" ht="27" customHeight="1" x14ac:dyDescent="0.25">
      <c r="A623" s="60" t="s">
        <v>1015</v>
      </c>
      <c r="B623" s="60" t="s">
        <v>1019</v>
      </c>
      <c r="C623" s="34">
        <v>4301060408</v>
      </c>
      <c r="D623" s="769">
        <v>4640242180120</v>
      </c>
      <c r="E623" s="769"/>
      <c r="F623" s="59">
        <v>1.3</v>
      </c>
      <c r="G623" s="35">
        <v>6</v>
      </c>
      <c r="H623" s="59">
        <v>7.8</v>
      </c>
      <c r="I623" s="59">
        <v>8.2349999999999994</v>
      </c>
      <c r="J623" s="35">
        <v>64</v>
      </c>
      <c r="K623" s="35" t="s">
        <v>107</v>
      </c>
      <c r="L623" s="35" t="s">
        <v>45</v>
      </c>
      <c r="M623" s="36" t="s">
        <v>82</v>
      </c>
      <c r="N623" s="36"/>
      <c r="O623" s="35">
        <v>40</v>
      </c>
      <c r="P623" s="785" t="s">
        <v>1020</v>
      </c>
      <c r="Q623" s="771"/>
      <c r="R623" s="771"/>
      <c r="S623" s="771"/>
      <c r="T623" s="772"/>
      <c r="U623" s="37" t="s">
        <v>45</v>
      </c>
      <c r="V623" s="37" t="s">
        <v>45</v>
      </c>
      <c r="W623" s="38" t="s">
        <v>0</v>
      </c>
      <c r="X623" s="56">
        <v>0</v>
      </c>
      <c r="Y623" s="53">
        <f>IFERROR(IF(X623="",0,CEILING((X623/$H623),1)*$H623),"")</f>
        <v>0</v>
      </c>
      <c r="Z623" s="39" t="str">
        <f>IFERROR(IF(Y623=0,"",ROUNDUP(Y623/H623,0)*0.01898),"")</f>
        <v/>
      </c>
      <c r="AA623" s="65" t="s">
        <v>45</v>
      </c>
      <c r="AB623" s="66" t="s">
        <v>45</v>
      </c>
      <c r="AC623" s="737" t="s">
        <v>1018</v>
      </c>
      <c r="AG623" s="75"/>
      <c r="AJ623" s="79" t="s">
        <v>45</v>
      </c>
      <c r="AK623" s="79">
        <v>0</v>
      </c>
      <c r="BB623" s="738" t="s">
        <v>66</v>
      </c>
      <c r="BM623" s="75">
        <f>IFERROR(X623*I623/H623,"0")</f>
        <v>0</v>
      </c>
      <c r="BN623" s="75">
        <f>IFERROR(Y623*I623/H623,"0")</f>
        <v>0</v>
      </c>
      <c r="BO623" s="75">
        <f>IFERROR(1/J623*(X623/H623),"0")</f>
        <v>0</v>
      </c>
      <c r="BP623" s="75">
        <f>IFERROR(1/J623*(Y623/H623),"0")</f>
        <v>0</v>
      </c>
    </row>
    <row r="624" spans="1:68" ht="27" customHeight="1" x14ac:dyDescent="0.25">
      <c r="A624" s="60" t="s">
        <v>1021</v>
      </c>
      <c r="B624" s="60" t="s">
        <v>1022</v>
      </c>
      <c r="C624" s="34">
        <v>4301060355</v>
      </c>
      <c r="D624" s="769">
        <v>4640242180137</v>
      </c>
      <c r="E624" s="769"/>
      <c r="F624" s="59">
        <v>1.3</v>
      </c>
      <c r="G624" s="35">
        <v>6</v>
      </c>
      <c r="H624" s="59">
        <v>7.8</v>
      </c>
      <c r="I624" s="59">
        <v>8.2349999999999994</v>
      </c>
      <c r="J624" s="35">
        <v>64</v>
      </c>
      <c r="K624" s="35" t="s">
        <v>107</v>
      </c>
      <c r="L624" s="35" t="s">
        <v>45</v>
      </c>
      <c r="M624" s="36" t="s">
        <v>82</v>
      </c>
      <c r="N624" s="36"/>
      <c r="O624" s="35">
        <v>40</v>
      </c>
      <c r="P624" s="786" t="s">
        <v>1023</v>
      </c>
      <c r="Q624" s="771"/>
      <c r="R624" s="771"/>
      <c r="S624" s="771"/>
      <c r="T624" s="772"/>
      <c r="U624" s="37" t="s">
        <v>45</v>
      </c>
      <c r="V624" s="37" t="s">
        <v>45</v>
      </c>
      <c r="W624" s="38" t="s">
        <v>0</v>
      </c>
      <c r="X624" s="56">
        <v>0</v>
      </c>
      <c r="Y624" s="53">
        <f>IFERROR(IF(X624="",0,CEILING((X624/$H624),1)*$H624),"")</f>
        <v>0</v>
      </c>
      <c r="Z624" s="39" t="str">
        <f>IFERROR(IF(Y624=0,"",ROUNDUP(Y624/H624,0)*0.01898),"")</f>
        <v/>
      </c>
      <c r="AA624" s="65" t="s">
        <v>45</v>
      </c>
      <c r="AB624" s="66" t="s">
        <v>45</v>
      </c>
      <c r="AC624" s="739" t="s">
        <v>1024</v>
      </c>
      <c r="AG624" s="75"/>
      <c r="AJ624" s="79" t="s">
        <v>45</v>
      </c>
      <c r="AK624" s="79">
        <v>0</v>
      </c>
      <c r="BB624" s="740" t="s">
        <v>66</v>
      </c>
      <c r="BM624" s="75">
        <f>IFERROR(X624*I624/H624,"0")</f>
        <v>0</v>
      </c>
      <c r="BN624" s="75">
        <f>IFERROR(Y624*I624/H624,"0")</f>
        <v>0</v>
      </c>
      <c r="BO624" s="75">
        <f>IFERROR(1/J624*(X624/H624),"0")</f>
        <v>0</v>
      </c>
      <c r="BP624" s="75">
        <f>IFERROR(1/J624*(Y624/H624),"0")</f>
        <v>0</v>
      </c>
    </row>
    <row r="625" spans="1:68" ht="27" customHeight="1" x14ac:dyDescent="0.25">
      <c r="A625" s="60" t="s">
        <v>1021</v>
      </c>
      <c r="B625" s="60" t="s">
        <v>1025</v>
      </c>
      <c r="C625" s="34">
        <v>4301060407</v>
      </c>
      <c r="D625" s="769">
        <v>4640242180137</v>
      </c>
      <c r="E625" s="769"/>
      <c r="F625" s="59">
        <v>1.3</v>
      </c>
      <c r="G625" s="35">
        <v>6</v>
      </c>
      <c r="H625" s="59">
        <v>7.8</v>
      </c>
      <c r="I625" s="59">
        <v>8.2349999999999994</v>
      </c>
      <c r="J625" s="35">
        <v>64</v>
      </c>
      <c r="K625" s="35" t="s">
        <v>107</v>
      </c>
      <c r="L625" s="35" t="s">
        <v>45</v>
      </c>
      <c r="M625" s="36" t="s">
        <v>82</v>
      </c>
      <c r="N625" s="36"/>
      <c r="O625" s="35">
        <v>40</v>
      </c>
      <c r="P625" s="775" t="s">
        <v>1026</v>
      </c>
      <c r="Q625" s="771"/>
      <c r="R625" s="771"/>
      <c r="S625" s="771"/>
      <c r="T625" s="772"/>
      <c r="U625" s="37" t="s">
        <v>45</v>
      </c>
      <c r="V625" s="37" t="s">
        <v>45</v>
      </c>
      <c r="W625" s="38" t="s">
        <v>0</v>
      </c>
      <c r="X625" s="56">
        <v>0</v>
      </c>
      <c r="Y625" s="53">
        <f>IFERROR(IF(X625="",0,CEILING((X625/$H625),1)*$H625),"")</f>
        <v>0</v>
      </c>
      <c r="Z625" s="39" t="str">
        <f>IFERROR(IF(Y625=0,"",ROUNDUP(Y625/H625,0)*0.01898),"")</f>
        <v/>
      </c>
      <c r="AA625" s="65" t="s">
        <v>45</v>
      </c>
      <c r="AB625" s="66" t="s">
        <v>45</v>
      </c>
      <c r="AC625" s="741" t="s">
        <v>1024</v>
      </c>
      <c r="AG625" s="75"/>
      <c r="AJ625" s="79" t="s">
        <v>45</v>
      </c>
      <c r="AK625" s="79">
        <v>0</v>
      </c>
      <c r="BB625" s="742" t="s">
        <v>66</v>
      </c>
      <c r="BM625" s="75">
        <f>IFERROR(X625*I625/H625,"0")</f>
        <v>0</v>
      </c>
      <c r="BN625" s="75">
        <f>IFERROR(Y625*I625/H625,"0")</f>
        <v>0</v>
      </c>
      <c r="BO625" s="75">
        <f>IFERROR(1/J625*(X625/H625),"0")</f>
        <v>0</v>
      </c>
      <c r="BP625" s="75">
        <f>IFERROR(1/J625*(Y625/H625),"0")</f>
        <v>0</v>
      </c>
    </row>
    <row r="626" spans="1:68" x14ac:dyDescent="0.2">
      <c r="A626" s="759"/>
      <c r="B626" s="759"/>
      <c r="C626" s="759"/>
      <c r="D626" s="759"/>
      <c r="E626" s="759"/>
      <c r="F626" s="759"/>
      <c r="G626" s="759"/>
      <c r="H626" s="759"/>
      <c r="I626" s="759"/>
      <c r="J626" s="759"/>
      <c r="K626" s="759"/>
      <c r="L626" s="759"/>
      <c r="M626" s="759"/>
      <c r="N626" s="759"/>
      <c r="O626" s="767"/>
      <c r="P626" s="764" t="s">
        <v>40</v>
      </c>
      <c r="Q626" s="765"/>
      <c r="R626" s="765"/>
      <c r="S626" s="765"/>
      <c r="T626" s="765"/>
      <c r="U626" s="765"/>
      <c r="V626" s="766"/>
      <c r="W626" s="40" t="s">
        <v>39</v>
      </c>
      <c r="X626" s="41">
        <f>IFERROR(X622/H622,"0")+IFERROR(X623/H623,"0")+IFERROR(X624/H624,"0")+IFERROR(X625/H625,"0")</f>
        <v>0</v>
      </c>
      <c r="Y626" s="41">
        <f>IFERROR(Y622/H622,"0")+IFERROR(Y623/H623,"0")+IFERROR(Y624/H624,"0")+IFERROR(Y625/H625,"0")</f>
        <v>0</v>
      </c>
      <c r="Z626" s="41">
        <f>IFERROR(IF(Z622="",0,Z622),"0")+IFERROR(IF(Z623="",0,Z623),"0")+IFERROR(IF(Z624="",0,Z624),"0")+IFERROR(IF(Z625="",0,Z625),"0")</f>
        <v>0</v>
      </c>
      <c r="AA626" s="64"/>
      <c r="AB626" s="64"/>
      <c r="AC626" s="64"/>
    </row>
    <row r="627" spans="1:68" x14ac:dyDescent="0.2">
      <c r="A627" s="759"/>
      <c r="B627" s="759"/>
      <c r="C627" s="759"/>
      <c r="D627" s="759"/>
      <c r="E627" s="759"/>
      <c r="F627" s="759"/>
      <c r="G627" s="759"/>
      <c r="H627" s="759"/>
      <c r="I627" s="759"/>
      <c r="J627" s="759"/>
      <c r="K627" s="759"/>
      <c r="L627" s="759"/>
      <c r="M627" s="759"/>
      <c r="N627" s="759"/>
      <c r="O627" s="767"/>
      <c r="P627" s="764" t="s">
        <v>40</v>
      </c>
      <c r="Q627" s="765"/>
      <c r="R627" s="765"/>
      <c r="S627" s="765"/>
      <c r="T627" s="765"/>
      <c r="U627" s="765"/>
      <c r="V627" s="766"/>
      <c r="W627" s="40" t="s">
        <v>0</v>
      </c>
      <c r="X627" s="41">
        <f>IFERROR(SUM(X622:X625),"0")</f>
        <v>0</v>
      </c>
      <c r="Y627" s="41">
        <f>IFERROR(SUM(Y622:Y625),"0")</f>
        <v>0</v>
      </c>
      <c r="Z627" s="40"/>
      <c r="AA627" s="64"/>
      <c r="AB627" s="64"/>
      <c r="AC627" s="64"/>
    </row>
    <row r="628" spans="1:68" ht="16.5" customHeight="1" x14ac:dyDescent="0.25">
      <c r="A628" s="776" t="s">
        <v>1027</v>
      </c>
      <c r="B628" s="776"/>
      <c r="C628" s="776"/>
      <c r="D628" s="776"/>
      <c r="E628" s="776"/>
      <c r="F628" s="776"/>
      <c r="G628" s="776"/>
      <c r="H628" s="776"/>
      <c r="I628" s="776"/>
      <c r="J628" s="776"/>
      <c r="K628" s="776"/>
      <c r="L628" s="776"/>
      <c r="M628" s="776"/>
      <c r="N628" s="776"/>
      <c r="O628" s="776"/>
      <c r="P628" s="776"/>
      <c r="Q628" s="776"/>
      <c r="R628" s="776"/>
      <c r="S628" s="776"/>
      <c r="T628" s="776"/>
      <c r="U628" s="776"/>
      <c r="V628" s="776"/>
      <c r="W628" s="776"/>
      <c r="X628" s="776"/>
      <c r="Y628" s="776"/>
      <c r="Z628" s="776"/>
      <c r="AA628" s="62"/>
      <c r="AB628" s="62"/>
      <c r="AC628" s="62"/>
    </row>
    <row r="629" spans="1:68" ht="14.25" customHeight="1" x14ac:dyDescent="0.25">
      <c r="A629" s="768" t="s">
        <v>101</v>
      </c>
      <c r="B629" s="768"/>
      <c r="C629" s="768"/>
      <c r="D629" s="768"/>
      <c r="E629" s="768"/>
      <c r="F629" s="768"/>
      <c r="G629" s="768"/>
      <c r="H629" s="768"/>
      <c r="I629" s="768"/>
      <c r="J629" s="768"/>
      <c r="K629" s="768"/>
      <c r="L629" s="768"/>
      <c r="M629" s="768"/>
      <c r="N629" s="768"/>
      <c r="O629" s="768"/>
      <c r="P629" s="768"/>
      <c r="Q629" s="768"/>
      <c r="R629" s="768"/>
      <c r="S629" s="768"/>
      <c r="T629" s="768"/>
      <c r="U629" s="768"/>
      <c r="V629" s="768"/>
      <c r="W629" s="768"/>
      <c r="X629" s="768"/>
      <c r="Y629" s="768"/>
      <c r="Z629" s="768"/>
      <c r="AA629" s="63"/>
      <c r="AB629" s="63"/>
      <c r="AC629" s="63"/>
    </row>
    <row r="630" spans="1:68" ht="27" customHeight="1" x14ac:dyDescent="0.25">
      <c r="A630" s="60" t="s">
        <v>1028</v>
      </c>
      <c r="B630" s="60" t="s">
        <v>1029</v>
      </c>
      <c r="C630" s="34">
        <v>4301011951</v>
      </c>
      <c r="D630" s="769">
        <v>4640242180045</v>
      </c>
      <c r="E630" s="769"/>
      <c r="F630" s="59">
        <v>1.5</v>
      </c>
      <c r="G630" s="35">
        <v>8</v>
      </c>
      <c r="H630" s="59">
        <v>12</v>
      </c>
      <c r="I630" s="59">
        <v>12.435</v>
      </c>
      <c r="J630" s="35">
        <v>64</v>
      </c>
      <c r="K630" s="35" t="s">
        <v>107</v>
      </c>
      <c r="L630" s="35" t="s">
        <v>45</v>
      </c>
      <c r="M630" s="36" t="s">
        <v>110</v>
      </c>
      <c r="N630" s="36"/>
      <c r="O630" s="35">
        <v>55</v>
      </c>
      <c r="P630" s="777" t="s">
        <v>1030</v>
      </c>
      <c r="Q630" s="771"/>
      <c r="R630" s="771"/>
      <c r="S630" s="771"/>
      <c r="T630" s="772"/>
      <c r="U630" s="37" t="s">
        <v>45</v>
      </c>
      <c r="V630" s="37" t="s">
        <v>45</v>
      </c>
      <c r="W630" s="38" t="s">
        <v>0</v>
      </c>
      <c r="X630" s="56">
        <v>0</v>
      </c>
      <c r="Y630" s="53">
        <f>IFERROR(IF(X630="",0,CEILING((X630/$H630),1)*$H630),"")</f>
        <v>0</v>
      </c>
      <c r="Z630" s="39" t="str">
        <f>IFERROR(IF(Y630=0,"",ROUNDUP(Y630/H630,0)*0.01898),"")</f>
        <v/>
      </c>
      <c r="AA630" s="65" t="s">
        <v>45</v>
      </c>
      <c r="AB630" s="66" t="s">
        <v>45</v>
      </c>
      <c r="AC630" s="743" t="s">
        <v>1031</v>
      </c>
      <c r="AG630" s="75"/>
      <c r="AJ630" s="79" t="s">
        <v>45</v>
      </c>
      <c r="AK630" s="79">
        <v>0</v>
      </c>
      <c r="BB630" s="744" t="s">
        <v>66</v>
      </c>
      <c r="BM630" s="75">
        <f>IFERROR(X630*I630/H630,"0")</f>
        <v>0</v>
      </c>
      <c r="BN630" s="75">
        <f>IFERROR(Y630*I630/H630,"0")</f>
        <v>0</v>
      </c>
      <c r="BO630" s="75">
        <f>IFERROR(1/J630*(X630/H630),"0")</f>
        <v>0</v>
      </c>
      <c r="BP630" s="75">
        <f>IFERROR(1/J630*(Y630/H630),"0")</f>
        <v>0</v>
      </c>
    </row>
    <row r="631" spans="1:68" ht="27" customHeight="1" x14ac:dyDescent="0.25">
      <c r="A631" s="60" t="s">
        <v>1032</v>
      </c>
      <c r="B631" s="60" t="s">
        <v>1033</v>
      </c>
      <c r="C631" s="34">
        <v>4301011950</v>
      </c>
      <c r="D631" s="769">
        <v>4640242180601</v>
      </c>
      <c r="E631" s="769"/>
      <c r="F631" s="59">
        <v>1.5</v>
      </c>
      <c r="G631" s="35">
        <v>8</v>
      </c>
      <c r="H631" s="59">
        <v>12</v>
      </c>
      <c r="I631" s="59">
        <v>12.435</v>
      </c>
      <c r="J631" s="35">
        <v>64</v>
      </c>
      <c r="K631" s="35" t="s">
        <v>107</v>
      </c>
      <c r="L631" s="35" t="s">
        <v>45</v>
      </c>
      <c r="M631" s="36" t="s">
        <v>110</v>
      </c>
      <c r="N631" s="36"/>
      <c r="O631" s="35">
        <v>55</v>
      </c>
      <c r="P631" s="778" t="s">
        <v>1034</v>
      </c>
      <c r="Q631" s="771"/>
      <c r="R631" s="771"/>
      <c r="S631" s="771"/>
      <c r="T631" s="772"/>
      <c r="U631" s="37" t="s">
        <v>45</v>
      </c>
      <c r="V631" s="37" t="s">
        <v>45</v>
      </c>
      <c r="W631" s="38" t="s">
        <v>0</v>
      </c>
      <c r="X631" s="56">
        <v>0</v>
      </c>
      <c r="Y631" s="53">
        <f>IFERROR(IF(X631="",0,CEILING((X631/$H631),1)*$H631),"")</f>
        <v>0</v>
      </c>
      <c r="Z631" s="39" t="str">
        <f>IFERROR(IF(Y631=0,"",ROUNDUP(Y631/H631,0)*0.01898),"")</f>
        <v/>
      </c>
      <c r="AA631" s="65" t="s">
        <v>45</v>
      </c>
      <c r="AB631" s="66" t="s">
        <v>45</v>
      </c>
      <c r="AC631" s="745" t="s">
        <v>1035</v>
      </c>
      <c r="AG631" s="75"/>
      <c r="AJ631" s="79" t="s">
        <v>45</v>
      </c>
      <c r="AK631" s="79">
        <v>0</v>
      </c>
      <c r="BB631" s="746" t="s">
        <v>66</v>
      </c>
      <c r="BM631" s="75">
        <f>IFERROR(X631*I631/H631,"0")</f>
        <v>0</v>
      </c>
      <c r="BN631" s="75">
        <f>IFERROR(Y631*I631/H631,"0")</f>
        <v>0</v>
      </c>
      <c r="BO631" s="75">
        <f>IFERROR(1/J631*(X631/H631),"0")</f>
        <v>0</v>
      </c>
      <c r="BP631" s="75">
        <f>IFERROR(1/J631*(Y631/H631),"0")</f>
        <v>0</v>
      </c>
    </row>
    <row r="632" spans="1:68" x14ac:dyDescent="0.2">
      <c r="A632" s="759"/>
      <c r="B632" s="759"/>
      <c r="C632" s="759"/>
      <c r="D632" s="759"/>
      <c r="E632" s="759"/>
      <c r="F632" s="759"/>
      <c r="G632" s="759"/>
      <c r="H632" s="759"/>
      <c r="I632" s="759"/>
      <c r="J632" s="759"/>
      <c r="K632" s="759"/>
      <c r="L632" s="759"/>
      <c r="M632" s="759"/>
      <c r="N632" s="759"/>
      <c r="O632" s="767"/>
      <c r="P632" s="764" t="s">
        <v>40</v>
      </c>
      <c r="Q632" s="765"/>
      <c r="R632" s="765"/>
      <c r="S632" s="765"/>
      <c r="T632" s="765"/>
      <c r="U632" s="765"/>
      <c r="V632" s="766"/>
      <c r="W632" s="40" t="s">
        <v>39</v>
      </c>
      <c r="X632" s="41">
        <f>IFERROR(X630/H630,"0")+IFERROR(X631/H631,"0")</f>
        <v>0</v>
      </c>
      <c r="Y632" s="41">
        <f>IFERROR(Y630/H630,"0")+IFERROR(Y631/H631,"0")</f>
        <v>0</v>
      </c>
      <c r="Z632" s="41">
        <f>IFERROR(IF(Z630="",0,Z630),"0")+IFERROR(IF(Z631="",0,Z631),"0")</f>
        <v>0</v>
      </c>
      <c r="AA632" s="64"/>
      <c r="AB632" s="64"/>
      <c r="AC632" s="64"/>
    </row>
    <row r="633" spans="1:68" x14ac:dyDescent="0.2">
      <c r="A633" s="759"/>
      <c r="B633" s="759"/>
      <c r="C633" s="759"/>
      <c r="D633" s="759"/>
      <c r="E633" s="759"/>
      <c r="F633" s="759"/>
      <c r="G633" s="759"/>
      <c r="H633" s="759"/>
      <c r="I633" s="759"/>
      <c r="J633" s="759"/>
      <c r="K633" s="759"/>
      <c r="L633" s="759"/>
      <c r="M633" s="759"/>
      <c r="N633" s="759"/>
      <c r="O633" s="767"/>
      <c r="P633" s="764" t="s">
        <v>40</v>
      </c>
      <c r="Q633" s="765"/>
      <c r="R633" s="765"/>
      <c r="S633" s="765"/>
      <c r="T633" s="765"/>
      <c r="U633" s="765"/>
      <c r="V633" s="766"/>
      <c r="W633" s="40" t="s">
        <v>0</v>
      </c>
      <c r="X633" s="41">
        <f>IFERROR(SUM(X630:X631),"0")</f>
        <v>0</v>
      </c>
      <c r="Y633" s="41">
        <f>IFERROR(SUM(Y630:Y631),"0")</f>
        <v>0</v>
      </c>
      <c r="Z633" s="40"/>
      <c r="AA633" s="64"/>
      <c r="AB633" s="64"/>
      <c r="AC633" s="64"/>
    </row>
    <row r="634" spans="1:68" ht="14.25" customHeight="1" x14ac:dyDescent="0.25">
      <c r="A634" s="768" t="s">
        <v>153</v>
      </c>
      <c r="B634" s="768"/>
      <c r="C634" s="768"/>
      <c r="D634" s="768"/>
      <c r="E634" s="768"/>
      <c r="F634" s="768"/>
      <c r="G634" s="768"/>
      <c r="H634" s="768"/>
      <c r="I634" s="768"/>
      <c r="J634" s="768"/>
      <c r="K634" s="768"/>
      <c r="L634" s="768"/>
      <c r="M634" s="768"/>
      <c r="N634" s="768"/>
      <c r="O634" s="768"/>
      <c r="P634" s="768"/>
      <c r="Q634" s="768"/>
      <c r="R634" s="768"/>
      <c r="S634" s="768"/>
      <c r="T634" s="768"/>
      <c r="U634" s="768"/>
      <c r="V634" s="768"/>
      <c r="W634" s="768"/>
      <c r="X634" s="768"/>
      <c r="Y634" s="768"/>
      <c r="Z634" s="768"/>
      <c r="AA634" s="63"/>
      <c r="AB634" s="63"/>
      <c r="AC634" s="63"/>
    </row>
    <row r="635" spans="1:68" ht="27" customHeight="1" x14ac:dyDescent="0.25">
      <c r="A635" s="60" t="s">
        <v>1036</v>
      </c>
      <c r="B635" s="60" t="s">
        <v>1037</v>
      </c>
      <c r="C635" s="34">
        <v>4301020314</v>
      </c>
      <c r="D635" s="769">
        <v>4640242180090</v>
      </c>
      <c r="E635" s="769"/>
      <c r="F635" s="59">
        <v>1.5</v>
      </c>
      <c r="G635" s="35">
        <v>8</v>
      </c>
      <c r="H635" s="59">
        <v>12</v>
      </c>
      <c r="I635" s="59">
        <v>12.435</v>
      </c>
      <c r="J635" s="35">
        <v>64</v>
      </c>
      <c r="K635" s="35" t="s">
        <v>107</v>
      </c>
      <c r="L635" s="35" t="s">
        <v>45</v>
      </c>
      <c r="M635" s="36" t="s">
        <v>110</v>
      </c>
      <c r="N635" s="36"/>
      <c r="O635" s="35">
        <v>50</v>
      </c>
      <c r="P635" s="779" t="s">
        <v>1038</v>
      </c>
      <c r="Q635" s="771"/>
      <c r="R635" s="771"/>
      <c r="S635" s="771"/>
      <c r="T635" s="772"/>
      <c r="U635" s="37" t="s">
        <v>45</v>
      </c>
      <c r="V635" s="37" t="s">
        <v>45</v>
      </c>
      <c r="W635" s="38" t="s">
        <v>0</v>
      </c>
      <c r="X635" s="56">
        <v>0</v>
      </c>
      <c r="Y635" s="53">
        <f>IFERROR(IF(X635="",0,CEILING((X635/$H635),1)*$H635),"")</f>
        <v>0</v>
      </c>
      <c r="Z635" s="39" t="str">
        <f>IFERROR(IF(Y635=0,"",ROUNDUP(Y635/H635,0)*0.01898),"")</f>
        <v/>
      </c>
      <c r="AA635" s="65" t="s">
        <v>45</v>
      </c>
      <c r="AB635" s="66" t="s">
        <v>45</v>
      </c>
      <c r="AC635" s="747" t="s">
        <v>1039</v>
      </c>
      <c r="AG635" s="75"/>
      <c r="AJ635" s="79" t="s">
        <v>45</v>
      </c>
      <c r="AK635" s="79">
        <v>0</v>
      </c>
      <c r="BB635" s="748" t="s">
        <v>66</v>
      </c>
      <c r="BM635" s="75">
        <f>IFERROR(X635*I635/H635,"0")</f>
        <v>0</v>
      </c>
      <c r="BN635" s="75">
        <f>IFERROR(Y635*I635/H635,"0")</f>
        <v>0</v>
      </c>
      <c r="BO635" s="75">
        <f>IFERROR(1/J635*(X635/H635),"0")</f>
        <v>0</v>
      </c>
      <c r="BP635" s="75">
        <f>IFERROR(1/J635*(Y635/H635),"0")</f>
        <v>0</v>
      </c>
    </row>
    <row r="636" spans="1:68" x14ac:dyDescent="0.2">
      <c r="A636" s="759"/>
      <c r="B636" s="759"/>
      <c r="C636" s="759"/>
      <c r="D636" s="759"/>
      <c r="E636" s="759"/>
      <c r="F636" s="759"/>
      <c r="G636" s="759"/>
      <c r="H636" s="759"/>
      <c r="I636" s="759"/>
      <c r="J636" s="759"/>
      <c r="K636" s="759"/>
      <c r="L636" s="759"/>
      <c r="M636" s="759"/>
      <c r="N636" s="759"/>
      <c r="O636" s="767"/>
      <c r="P636" s="764" t="s">
        <v>40</v>
      </c>
      <c r="Q636" s="765"/>
      <c r="R636" s="765"/>
      <c r="S636" s="765"/>
      <c r="T636" s="765"/>
      <c r="U636" s="765"/>
      <c r="V636" s="766"/>
      <c r="W636" s="40" t="s">
        <v>39</v>
      </c>
      <c r="X636" s="41">
        <f>IFERROR(X635/H635,"0")</f>
        <v>0</v>
      </c>
      <c r="Y636" s="41">
        <f>IFERROR(Y635/H635,"0")</f>
        <v>0</v>
      </c>
      <c r="Z636" s="41">
        <f>IFERROR(IF(Z635="",0,Z635),"0")</f>
        <v>0</v>
      </c>
      <c r="AA636" s="64"/>
      <c r="AB636" s="64"/>
      <c r="AC636" s="64"/>
    </row>
    <row r="637" spans="1:68" x14ac:dyDescent="0.2">
      <c r="A637" s="759"/>
      <c r="B637" s="759"/>
      <c r="C637" s="759"/>
      <c r="D637" s="759"/>
      <c r="E637" s="759"/>
      <c r="F637" s="759"/>
      <c r="G637" s="759"/>
      <c r="H637" s="759"/>
      <c r="I637" s="759"/>
      <c r="J637" s="759"/>
      <c r="K637" s="759"/>
      <c r="L637" s="759"/>
      <c r="M637" s="759"/>
      <c r="N637" s="759"/>
      <c r="O637" s="767"/>
      <c r="P637" s="764" t="s">
        <v>40</v>
      </c>
      <c r="Q637" s="765"/>
      <c r="R637" s="765"/>
      <c r="S637" s="765"/>
      <c r="T637" s="765"/>
      <c r="U637" s="765"/>
      <c r="V637" s="766"/>
      <c r="W637" s="40" t="s">
        <v>0</v>
      </c>
      <c r="X637" s="41">
        <f>IFERROR(SUM(X635:X635),"0")</f>
        <v>0</v>
      </c>
      <c r="Y637" s="41">
        <f>IFERROR(SUM(Y635:Y635),"0")</f>
        <v>0</v>
      </c>
      <c r="Z637" s="40"/>
      <c r="AA637" s="64"/>
      <c r="AB637" s="64"/>
      <c r="AC637" s="64"/>
    </row>
    <row r="638" spans="1:68" ht="14.25" customHeight="1" x14ac:dyDescent="0.25">
      <c r="A638" s="768" t="s">
        <v>164</v>
      </c>
      <c r="B638" s="768"/>
      <c r="C638" s="768"/>
      <c r="D638" s="768"/>
      <c r="E638" s="768"/>
      <c r="F638" s="768"/>
      <c r="G638" s="768"/>
      <c r="H638" s="768"/>
      <c r="I638" s="768"/>
      <c r="J638" s="768"/>
      <c r="K638" s="768"/>
      <c r="L638" s="768"/>
      <c r="M638" s="768"/>
      <c r="N638" s="768"/>
      <c r="O638" s="768"/>
      <c r="P638" s="768"/>
      <c r="Q638" s="768"/>
      <c r="R638" s="768"/>
      <c r="S638" s="768"/>
      <c r="T638" s="768"/>
      <c r="U638" s="768"/>
      <c r="V638" s="768"/>
      <c r="W638" s="768"/>
      <c r="X638" s="768"/>
      <c r="Y638" s="768"/>
      <c r="Z638" s="768"/>
      <c r="AA638" s="63"/>
      <c r="AB638" s="63"/>
      <c r="AC638" s="63"/>
    </row>
    <row r="639" spans="1:68" ht="27" customHeight="1" x14ac:dyDescent="0.25">
      <c r="A639" s="60" t="s">
        <v>1040</v>
      </c>
      <c r="B639" s="60" t="s">
        <v>1041</v>
      </c>
      <c r="C639" s="34">
        <v>4301031321</v>
      </c>
      <c r="D639" s="769">
        <v>4640242180076</v>
      </c>
      <c r="E639" s="769"/>
      <c r="F639" s="59">
        <v>0.7</v>
      </c>
      <c r="G639" s="35">
        <v>6</v>
      </c>
      <c r="H639" s="59">
        <v>4.2</v>
      </c>
      <c r="I639" s="59">
        <v>4.41</v>
      </c>
      <c r="J639" s="35">
        <v>132</v>
      </c>
      <c r="K639" s="35" t="s">
        <v>116</v>
      </c>
      <c r="L639" s="35" t="s">
        <v>45</v>
      </c>
      <c r="M639" s="36" t="s">
        <v>82</v>
      </c>
      <c r="N639" s="36"/>
      <c r="O639" s="35">
        <v>40</v>
      </c>
      <c r="P639" s="770" t="s">
        <v>1042</v>
      </c>
      <c r="Q639" s="771"/>
      <c r="R639" s="771"/>
      <c r="S639" s="771"/>
      <c r="T639" s="772"/>
      <c r="U639" s="37" t="s">
        <v>45</v>
      </c>
      <c r="V639" s="37" t="s">
        <v>45</v>
      </c>
      <c r="W639" s="38" t="s">
        <v>0</v>
      </c>
      <c r="X639" s="56">
        <v>0</v>
      </c>
      <c r="Y639" s="53">
        <f>IFERROR(IF(X639="",0,CEILING((X639/$H639),1)*$H639),"")</f>
        <v>0</v>
      </c>
      <c r="Z639" s="39" t="str">
        <f>IFERROR(IF(Y639=0,"",ROUNDUP(Y639/H639,0)*0.00902),"")</f>
        <v/>
      </c>
      <c r="AA639" s="65" t="s">
        <v>45</v>
      </c>
      <c r="AB639" s="66" t="s">
        <v>45</v>
      </c>
      <c r="AC639" s="749" t="s">
        <v>1043</v>
      </c>
      <c r="AG639" s="75"/>
      <c r="AJ639" s="79" t="s">
        <v>45</v>
      </c>
      <c r="AK639" s="79">
        <v>0</v>
      </c>
      <c r="BB639" s="750" t="s">
        <v>66</v>
      </c>
      <c r="BM639" s="75">
        <f>IFERROR(X639*I639/H639,"0")</f>
        <v>0</v>
      </c>
      <c r="BN639" s="75">
        <f>IFERROR(Y639*I639/H639,"0")</f>
        <v>0</v>
      </c>
      <c r="BO639" s="75">
        <f>IFERROR(1/J639*(X639/H639),"0")</f>
        <v>0</v>
      </c>
      <c r="BP639" s="75">
        <f>IFERROR(1/J639*(Y639/H639),"0")</f>
        <v>0</v>
      </c>
    </row>
    <row r="640" spans="1:68" x14ac:dyDescent="0.2">
      <c r="A640" s="759"/>
      <c r="B640" s="759"/>
      <c r="C640" s="759"/>
      <c r="D640" s="759"/>
      <c r="E640" s="759"/>
      <c r="F640" s="759"/>
      <c r="G640" s="759"/>
      <c r="H640" s="759"/>
      <c r="I640" s="759"/>
      <c r="J640" s="759"/>
      <c r="K640" s="759"/>
      <c r="L640" s="759"/>
      <c r="M640" s="759"/>
      <c r="N640" s="759"/>
      <c r="O640" s="767"/>
      <c r="P640" s="764" t="s">
        <v>40</v>
      </c>
      <c r="Q640" s="765"/>
      <c r="R640" s="765"/>
      <c r="S640" s="765"/>
      <c r="T640" s="765"/>
      <c r="U640" s="765"/>
      <c r="V640" s="766"/>
      <c r="W640" s="40" t="s">
        <v>39</v>
      </c>
      <c r="X640" s="41">
        <f>IFERROR(X639/H639,"0")</f>
        <v>0</v>
      </c>
      <c r="Y640" s="41">
        <f>IFERROR(Y639/H639,"0")</f>
        <v>0</v>
      </c>
      <c r="Z640" s="41">
        <f>IFERROR(IF(Z639="",0,Z639),"0")</f>
        <v>0</v>
      </c>
      <c r="AA640" s="64"/>
      <c r="AB640" s="64"/>
      <c r="AC640" s="64"/>
    </row>
    <row r="641" spans="1:68" x14ac:dyDescent="0.2">
      <c r="A641" s="759"/>
      <c r="B641" s="759"/>
      <c r="C641" s="759"/>
      <c r="D641" s="759"/>
      <c r="E641" s="759"/>
      <c r="F641" s="759"/>
      <c r="G641" s="759"/>
      <c r="H641" s="759"/>
      <c r="I641" s="759"/>
      <c r="J641" s="759"/>
      <c r="K641" s="759"/>
      <c r="L641" s="759"/>
      <c r="M641" s="759"/>
      <c r="N641" s="759"/>
      <c r="O641" s="767"/>
      <c r="P641" s="764" t="s">
        <v>40</v>
      </c>
      <c r="Q641" s="765"/>
      <c r="R641" s="765"/>
      <c r="S641" s="765"/>
      <c r="T641" s="765"/>
      <c r="U641" s="765"/>
      <c r="V641" s="766"/>
      <c r="W641" s="40" t="s">
        <v>0</v>
      </c>
      <c r="X641" s="41">
        <f>IFERROR(SUM(X639:X639),"0")</f>
        <v>0</v>
      </c>
      <c r="Y641" s="41">
        <f>IFERROR(SUM(Y639:Y639),"0")</f>
        <v>0</v>
      </c>
      <c r="Z641" s="40"/>
      <c r="AA641" s="64"/>
      <c r="AB641" s="64"/>
      <c r="AC641" s="64"/>
    </row>
    <row r="642" spans="1:68" ht="14.25" customHeight="1" x14ac:dyDescent="0.25">
      <c r="A642" s="768" t="s">
        <v>78</v>
      </c>
      <c r="B642" s="768"/>
      <c r="C642" s="768"/>
      <c r="D642" s="768"/>
      <c r="E642" s="768"/>
      <c r="F642" s="768"/>
      <c r="G642" s="768"/>
      <c r="H642" s="768"/>
      <c r="I642" s="768"/>
      <c r="J642" s="768"/>
      <c r="K642" s="768"/>
      <c r="L642" s="768"/>
      <c r="M642" s="768"/>
      <c r="N642" s="768"/>
      <c r="O642" s="768"/>
      <c r="P642" s="768"/>
      <c r="Q642" s="768"/>
      <c r="R642" s="768"/>
      <c r="S642" s="768"/>
      <c r="T642" s="768"/>
      <c r="U642" s="768"/>
      <c r="V642" s="768"/>
      <c r="W642" s="768"/>
      <c r="X642" s="768"/>
      <c r="Y642" s="768"/>
      <c r="Z642" s="768"/>
      <c r="AA642" s="63"/>
      <c r="AB642" s="63"/>
      <c r="AC642" s="63"/>
    </row>
    <row r="643" spans="1:68" ht="27" customHeight="1" x14ac:dyDescent="0.25">
      <c r="A643" s="60" t="s">
        <v>1044</v>
      </c>
      <c r="B643" s="60" t="s">
        <v>1045</v>
      </c>
      <c r="C643" s="34">
        <v>4301051474</v>
      </c>
      <c r="D643" s="769">
        <v>4640242180113</v>
      </c>
      <c r="E643" s="769"/>
      <c r="F643" s="59">
        <v>1.5</v>
      </c>
      <c r="G643" s="35">
        <v>6</v>
      </c>
      <c r="H643" s="59">
        <v>9</v>
      </c>
      <c r="I643" s="59">
        <v>9.4350000000000005</v>
      </c>
      <c r="J643" s="35">
        <v>64</v>
      </c>
      <c r="K643" s="35" t="s">
        <v>107</v>
      </c>
      <c r="L643" s="35" t="s">
        <v>45</v>
      </c>
      <c r="M643" s="36" t="s">
        <v>82</v>
      </c>
      <c r="N643" s="36"/>
      <c r="O643" s="35">
        <v>45</v>
      </c>
      <c r="P643" s="773" t="s">
        <v>1046</v>
      </c>
      <c r="Q643" s="771"/>
      <c r="R643" s="771"/>
      <c r="S643" s="771"/>
      <c r="T643" s="772"/>
      <c r="U643" s="37" t="s">
        <v>45</v>
      </c>
      <c r="V643" s="37" t="s">
        <v>45</v>
      </c>
      <c r="W643" s="38" t="s">
        <v>0</v>
      </c>
      <c r="X643" s="56">
        <v>0</v>
      </c>
      <c r="Y643" s="53">
        <f>IFERROR(IF(X643="",0,CEILING((X643/$H643),1)*$H643),"")</f>
        <v>0</v>
      </c>
      <c r="Z643" s="39" t="str">
        <f>IFERROR(IF(Y643=0,"",ROUNDUP(Y643/H643,0)*0.01898),"")</f>
        <v/>
      </c>
      <c r="AA643" s="65" t="s">
        <v>45</v>
      </c>
      <c r="AB643" s="66" t="s">
        <v>45</v>
      </c>
      <c r="AC643" s="751" t="s">
        <v>1047</v>
      </c>
      <c r="AG643" s="75"/>
      <c r="AJ643" s="79" t="s">
        <v>45</v>
      </c>
      <c r="AK643" s="79">
        <v>0</v>
      </c>
      <c r="BB643" s="752" t="s">
        <v>66</v>
      </c>
      <c r="BM643" s="75">
        <f>IFERROR(X643*I643/H643,"0")</f>
        <v>0</v>
      </c>
      <c r="BN643" s="75">
        <f>IFERROR(Y643*I643/H643,"0")</f>
        <v>0</v>
      </c>
      <c r="BO643" s="75">
        <f>IFERROR(1/J643*(X643/H643),"0")</f>
        <v>0</v>
      </c>
      <c r="BP643" s="75">
        <f>IFERROR(1/J643*(Y643/H643),"0")</f>
        <v>0</v>
      </c>
    </row>
    <row r="644" spans="1:68" ht="27" customHeight="1" x14ac:dyDescent="0.25">
      <c r="A644" s="60" t="s">
        <v>1048</v>
      </c>
      <c r="B644" s="60" t="s">
        <v>1049</v>
      </c>
      <c r="C644" s="34">
        <v>4301051780</v>
      </c>
      <c r="D644" s="769">
        <v>4640242180106</v>
      </c>
      <c r="E644" s="769"/>
      <c r="F644" s="59">
        <v>1.3</v>
      </c>
      <c r="G644" s="35">
        <v>6</v>
      </c>
      <c r="H644" s="59">
        <v>7.8</v>
      </c>
      <c r="I644" s="59">
        <v>8.2349999999999994</v>
      </c>
      <c r="J644" s="35">
        <v>64</v>
      </c>
      <c r="K644" s="35" t="s">
        <v>107</v>
      </c>
      <c r="L644" s="35" t="s">
        <v>45</v>
      </c>
      <c r="M644" s="36" t="s">
        <v>82</v>
      </c>
      <c r="N644" s="36"/>
      <c r="O644" s="35">
        <v>45</v>
      </c>
      <c r="P644" s="774" t="s">
        <v>1050</v>
      </c>
      <c r="Q644" s="771"/>
      <c r="R644" s="771"/>
      <c r="S644" s="771"/>
      <c r="T644" s="772"/>
      <c r="U644" s="37" t="s">
        <v>45</v>
      </c>
      <c r="V644" s="37" t="s">
        <v>45</v>
      </c>
      <c r="W644" s="38" t="s">
        <v>0</v>
      </c>
      <c r="X644" s="56">
        <v>0</v>
      </c>
      <c r="Y644" s="53">
        <f>IFERROR(IF(X644="",0,CEILING((X644/$H644),1)*$H644),"")</f>
        <v>0</v>
      </c>
      <c r="Z644" s="39" t="str">
        <f>IFERROR(IF(Y644=0,"",ROUNDUP(Y644/H644,0)*0.01898),"")</f>
        <v/>
      </c>
      <c r="AA644" s="65" t="s">
        <v>45</v>
      </c>
      <c r="AB644" s="66" t="s">
        <v>45</v>
      </c>
      <c r="AC644" s="753" t="s">
        <v>1051</v>
      </c>
      <c r="AG644" s="75"/>
      <c r="AJ644" s="79" t="s">
        <v>45</v>
      </c>
      <c r="AK644" s="79">
        <v>0</v>
      </c>
      <c r="BB644" s="754" t="s">
        <v>66</v>
      </c>
      <c r="BM644" s="75">
        <f>IFERROR(X644*I644/H644,"0")</f>
        <v>0</v>
      </c>
      <c r="BN644" s="75">
        <f>IFERROR(Y644*I644/H644,"0")</f>
        <v>0</v>
      </c>
      <c r="BO644" s="75">
        <f>IFERROR(1/J644*(X644/H644),"0")</f>
        <v>0</v>
      </c>
      <c r="BP644" s="75">
        <f>IFERROR(1/J644*(Y644/H644),"0")</f>
        <v>0</v>
      </c>
    </row>
    <row r="645" spans="1:68" x14ac:dyDescent="0.2">
      <c r="A645" s="759"/>
      <c r="B645" s="759"/>
      <c r="C645" s="759"/>
      <c r="D645" s="759"/>
      <c r="E645" s="759"/>
      <c r="F645" s="759"/>
      <c r="G645" s="759"/>
      <c r="H645" s="759"/>
      <c r="I645" s="759"/>
      <c r="J645" s="759"/>
      <c r="K645" s="759"/>
      <c r="L645" s="759"/>
      <c r="M645" s="759"/>
      <c r="N645" s="759"/>
      <c r="O645" s="767"/>
      <c r="P645" s="764" t="s">
        <v>40</v>
      </c>
      <c r="Q645" s="765"/>
      <c r="R645" s="765"/>
      <c r="S645" s="765"/>
      <c r="T645" s="765"/>
      <c r="U645" s="765"/>
      <c r="V645" s="766"/>
      <c r="W645" s="40" t="s">
        <v>39</v>
      </c>
      <c r="X645" s="41">
        <f>IFERROR(X643/H643,"0")+IFERROR(X644/H644,"0")</f>
        <v>0</v>
      </c>
      <c r="Y645" s="41">
        <f>IFERROR(Y643/H643,"0")+IFERROR(Y644/H644,"0")</f>
        <v>0</v>
      </c>
      <c r="Z645" s="41">
        <f>IFERROR(IF(Z643="",0,Z643),"0")+IFERROR(IF(Z644="",0,Z644),"0")</f>
        <v>0</v>
      </c>
      <c r="AA645" s="64"/>
      <c r="AB645" s="64"/>
      <c r="AC645" s="64"/>
    </row>
    <row r="646" spans="1:68" x14ac:dyDescent="0.2">
      <c r="A646" s="759"/>
      <c r="B646" s="759"/>
      <c r="C646" s="759"/>
      <c r="D646" s="759"/>
      <c r="E646" s="759"/>
      <c r="F646" s="759"/>
      <c r="G646" s="759"/>
      <c r="H646" s="759"/>
      <c r="I646" s="759"/>
      <c r="J646" s="759"/>
      <c r="K646" s="759"/>
      <c r="L646" s="759"/>
      <c r="M646" s="759"/>
      <c r="N646" s="759"/>
      <c r="O646" s="767"/>
      <c r="P646" s="764" t="s">
        <v>40</v>
      </c>
      <c r="Q646" s="765"/>
      <c r="R646" s="765"/>
      <c r="S646" s="765"/>
      <c r="T646" s="765"/>
      <c r="U646" s="765"/>
      <c r="V646" s="766"/>
      <c r="W646" s="40" t="s">
        <v>0</v>
      </c>
      <c r="X646" s="41">
        <f>IFERROR(SUM(X643:X644),"0")</f>
        <v>0</v>
      </c>
      <c r="Y646" s="41">
        <f>IFERROR(SUM(Y643:Y644),"0")</f>
        <v>0</v>
      </c>
      <c r="Z646" s="40"/>
      <c r="AA646" s="64"/>
      <c r="AB646" s="64"/>
      <c r="AC646" s="64"/>
    </row>
    <row r="647" spans="1:68" ht="15" customHeight="1" x14ac:dyDescent="0.2">
      <c r="A647" s="759"/>
      <c r="B647" s="759"/>
      <c r="C647" s="759"/>
      <c r="D647" s="759"/>
      <c r="E647" s="759"/>
      <c r="F647" s="759"/>
      <c r="G647" s="759"/>
      <c r="H647" s="759"/>
      <c r="I647" s="759"/>
      <c r="J647" s="759"/>
      <c r="K647" s="759"/>
      <c r="L647" s="759"/>
      <c r="M647" s="759"/>
      <c r="N647" s="759"/>
      <c r="O647" s="760"/>
      <c r="P647" s="756" t="s">
        <v>33</v>
      </c>
      <c r="Q647" s="757"/>
      <c r="R647" s="757"/>
      <c r="S647" s="757"/>
      <c r="T647" s="757"/>
      <c r="U647" s="757"/>
      <c r="V647" s="758"/>
      <c r="W647" s="40" t="s">
        <v>0</v>
      </c>
      <c r="X647" s="41">
        <f>IFERROR(X27+X31+X42+X47+X58+X65+X74+X83+X89+X96+X105+X114+X120+X130+X135+X141+X146+X151+X156+X164+X169+X175+X186+X192+X197+X208+X222+X231+X243+X256+X260+X273+X278+X285+X295+X300+X304+X309+X314+X318+X323+X329+X334+X338+X343+X355+X362+X371+X378+X385+X391+X396+X402+X417+X422+X427+X431+X443+X448+X456+X460+X482+X487+X491+X496+X504+X511+X516+X520+X541+X548+X563+X569+X574+X580+X592+X599+X609+X620+X627+X633+X637+X641+X646,"0")</f>
        <v>18031</v>
      </c>
      <c r="Y647" s="41">
        <f>IFERROR(Y27+Y31+Y42+Y47+Y58+Y65+Y74+Y83+Y89+Y96+Y105+Y114+Y120+Y130+Y135+Y141+Y146+Y151+Y156+Y164+Y169+Y175+Y186+Y192+Y197+Y208+Y222+Y231+Y243+Y256+Y260+Y273+Y278+Y285+Y295+Y300+Y304+Y309+Y314+Y318+Y323+Y329+Y334+Y338+Y343+Y355+Y362+Y371+Y378+Y385+Y391+Y396+Y402+Y417+Y422+Y427+Y431+Y443+Y448+Y456+Y460+Y482+Y487+Y491+Y496+Y504+Y511+Y516+Y520+Y541+Y548+Y563+Y569+Y574+Y580+Y592+Y599+Y609+Y620+Y627+Y633+Y637+Y641+Y646,"0")</f>
        <v>18165.22</v>
      </c>
      <c r="Z647" s="40"/>
      <c r="AA647" s="64"/>
      <c r="AB647" s="64"/>
      <c r="AC647" s="64"/>
    </row>
    <row r="648" spans="1:68" x14ac:dyDescent="0.2">
      <c r="A648" s="759"/>
      <c r="B648" s="759"/>
      <c r="C648" s="759"/>
      <c r="D648" s="759"/>
      <c r="E648" s="759"/>
      <c r="F648" s="759"/>
      <c r="G648" s="759"/>
      <c r="H648" s="759"/>
      <c r="I648" s="759"/>
      <c r="J648" s="759"/>
      <c r="K648" s="759"/>
      <c r="L648" s="759"/>
      <c r="M648" s="759"/>
      <c r="N648" s="759"/>
      <c r="O648" s="760"/>
      <c r="P648" s="756" t="s">
        <v>34</v>
      </c>
      <c r="Q648" s="757"/>
      <c r="R648" s="757"/>
      <c r="S648" s="757"/>
      <c r="T648" s="757"/>
      <c r="U648" s="757"/>
      <c r="V648" s="758"/>
      <c r="W648" s="40" t="s">
        <v>0</v>
      </c>
      <c r="X648" s="41">
        <f>IFERROR(SUM(BM22:BM644),"0")</f>
        <v>18769.593122516297</v>
      </c>
      <c r="Y648" s="41">
        <f>IFERROR(SUM(BN22:BN644),"0")</f>
        <v>18911.021999999997</v>
      </c>
      <c r="Z648" s="40"/>
      <c r="AA648" s="64"/>
      <c r="AB648" s="64"/>
      <c r="AC648" s="64"/>
    </row>
    <row r="649" spans="1:68" x14ac:dyDescent="0.2">
      <c r="A649" s="759"/>
      <c r="B649" s="759"/>
      <c r="C649" s="759"/>
      <c r="D649" s="759"/>
      <c r="E649" s="759"/>
      <c r="F649" s="759"/>
      <c r="G649" s="759"/>
      <c r="H649" s="759"/>
      <c r="I649" s="759"/>
      <c r="J649" s="759"/>
      <c r="K649" s="759"/>
      <c r="L649" s="759"/>
      <c r="M649" s="759"/>
      <c r="N649" s="759"/>
      <c r="O649" s="760"/>
      <c r="P649" s="756" t="s">
        <v>35</v>
      </c>
      <c r="Q649" s="757"/>
      <c r="R649" s="757"/>
      <c r="S649" s="757"/>
      <c r="T649" s="757"/>
      <c r="U649" s="757"/>
      <c r="V649" s="758"/>
      <c r="W649" s="40" t="s">
        <v>20</v>
      </c>
      <c r="X649" s="42">
        <f>ROUNDUP(SUM(BO22:BO644),0)</f>
        <v>28</v>
      </c>
      <c r="Y649" s="42">
        <f>ROUNDUP(SUM(BP22:BP644),0)</f>
        <v>28</v>
      </c>
      <c r="Z649" s="40"/>
      <c r="AA649" s="64"/>
      <c r="AB649" s="64"/>
      <c r="AC649" s="64"/>
    </row>
    <row r="650" spans="1:68" x14ac:dyDescent="0.2">
      <c r="A650" s="759"/>
      <c r="B650" s="759"/>
      <c r="C650" s="759"/>
      <c r="D650" s="759"/>
      <c r="E650" s="759"/>
      <c r="F650" s="759"/>
      <c r="G650" s="759"/>
      <c r="H650" s="759"/>
      <c r="I650" s="759"/>
      <c r="J650" s="759"/>
      <c r="K650" s="759"/>
      <c r="L650" s="759"/>
      <c r="M650" s="759"/>
      <c r="N650" s="759"/>
      <c r="O650" s="760"/>
      <c r="P650" s="756" t="s">
        <v>36</v>
      </c>
      <c r="Q650" s="757"/>
      <c r="R650" s="757"/>
      <c r="S650" s="757"/>
      <c r="T650" s="757"/>
      <c r="U650" s="757"/>
      <c r="V650" s="758"/>
      <c r="W650" s="40" t="s">
        <v>0</v>
      </c>
      <c r="X650" s="41">
        <f>GrossWeightTotal+PalletQtyTotal*25</f>
        <v>19469.593122516297</v>
      </c>
      <c r="Y650" s="41">
        <f>GrossWeightTotalR+PalletQtyTotalR*25</f>
        <v>19611.021999999997</v>
      </c>
      <c r="Z650" s="40"/>
      <c r="AA650" s="64"/>
      <c r="AB650" s="64"/>
      <c r="AC650" s="64"/>
    </row>
    <row r="651" spans="1:68" x14ac:dyDescent="0.2">
      <c r="A651" s="759"/>
      <c r="B651" s="759"/>
      <c r="C651" s="759"/>
      <c r="D651" s="759"/>
      <c r="E651" s="759"/>
      <c r="F651" s="759"/>
      <c r="G651" s="759"/>
      <c r="H651" s="759"/>
      <c r="I651" s="759"/>
      <c r="J651" s="759"/>
      <c r="K651" s="759"/>
      <c r="L651" s="759"/>
      <c r="M651" s="759"/>
      <c r="N651" s="759"/>
      <c r="O651" s="760"/>
      <c r="P651" s="756" t="s">
        <v>37</v>
      </c>
      <c r="Q651" s="757"/>
      <c r="R651" s="757"/>
      <c r="S651" s="757"/>
      <c r="T651" s="757"/>
      <c r="U651" s="757"/>
      <c r="V651" s="758"/>
      <c r="W651" s="40" t="s">
        <v>20</v>
      </c>
      <c r="X651" s="41">
        <f>IFERROR(X26+X30+X41+X46+X57+X64+X73+X82+X88+X95+X104+X113+X119+X129+X134+X140+X145+X150+X155+X163+X168+X174+X185+X191+X196+X207+X221+X230+X242+X255+X259+X272+X277+X284+X294+X299+X303+X308+X313+X317+X322+X328+X333+X337+X342+X354+X361+X370+X377+X384+X390+X395+X401+X416+X421+X426+X430+X442+X447+X455+X459+X481+X486+X490+X495+X503+X510+X515+X519+X540+X547+X562+X568+X573+X579+X591+X598+X608+X619+X626+X632+X636+X640+X645,"0")</f>
        <v>1710.8099824714725</v>
      </c>
      <c r="Y651" s="41">
        <f>IFERROR(Y26+Y30+Y41+Y46+Y57+Y64+Y73+Y82+Y88+Y95+Y104+Y113+Y119+Y129+Y134+Y140+Y145+Y150+Y155+Y163+Y168+Y174+Y185+Y191+Y196+Y207+Y221+Y230+Y242+Y255+Y259+Y272+Y277+Y284+Y294+Y299+Y303+Y308+Y313+Y317+Y322+Y328+Y333+Y337+Y342+Y354+Y361+Y370+Y377+Y384+Y390+Y395+Y401+Y416+Y421+Y426+Y430+Y442+Y447+Y455+Y459+Y481+Y486+Y490+Y495+Y503+Y510+Y515+Y519+Y540+Y547+Y562+Y568+Y573+Y579+Y591+Y598+Y608+Y619+Y626+Y632+Y636+Y640+Y645,"0")</f>
        <v>1729</v>
      </c>
      <c r="Z651" s="40"/>
      <c r="AA651" s="64"/>
      <c r="AB651" s="64"/>
      <c r="AC651" s="64"/>
    </row>
    <row r="652" spans="1:68" ht="14.25" x14ac:dyDescent="0.2">
      <c r="A652" s="759"/>
      <c r="B652" s="759"/>
      <c r="C652" s="759"/>
      <c r="D652" s="759"/>
      <c r="E652" s="759"/>
      <c r="F652" s="759"/>
      <c r="G652" s="759"/>
      <c r="H652" s="759"/>
      <c r="I652" s="759"/>
      <c r="J652" s="759"/>
      <c r="K652" s="759"/>
      <c r="L652" s="759"/>
      <c r="M652" s="759"/>
      <c r="N652" s="759"/>
      <c r="O652" s="760"/>
      <c r="P652" s="756" t="s">
        <v>38</v>
      </c>
      <c r="Q652" s="757"/>
      <c r="R652" s="757"/>
      <c r="S652" s="757"/>
      <c r="T652" s="757"/>
      <c r="U652" s="757"/>
      <c r="V652" s="758"/>
      <c r="W652" s="43" t="s">
        <v>51</v>
      </c>
      <c r="X652" s="40"/>
      <c r="Y652" s="40"/>
      <c r="Z652" s="40">
        <f>IFERROR(Z26+Z30+Z41+Z46+Z57+Z64+Z73+Z82+Z88+Z95+Z104+Z113+Z119+Z129+Z134+Z140+Z145+Z150+Z155+Z163+Z168+Z174+Z185+Z191+Z196+Z207+Z221+Z230+Z242+Z255+Z259+Z272+Z277+Z284+Z294+Z299+Z303+Z308+Z313+Z317+Z322+Z328+Z333+Z337+Z342+Z354+Z361+Z370+Z377+Z384+Z390+Z395+Z401+Z416+Z421+Z426+Z430+Z442+Z447+Z455+Z459+Z481+Z486+Z490+Z495+Z503+Z510+Z515+Z519+Z540+Z547+Z562+Z568+Z573+Z579+Z591+Z598+Z608+Z619+Z626+Z632+Z636+Z640+Z645,"0")</f>
        <v>30.359609999999996</v>
      </c>
      <c r="AA652" s="64"/>
      <c r="AB652" s="64"/>
      <c r="AC652" s="64"/>
    </row>
    <row r="653" spans="1:68" ht="13.5" thickBot="1" x14ac:dyDescent="0.25"/>
    <row r="654" spans="1:68" ht="27" thickTop="1" thickBot="1" x14ac:dyDescent="0.25">
      <c r="A654" s="44" t="s">
        <v>9</v>
      </c>
      <c r="B654" s="80" t="s">
        <v>77</v>
      </c>
      <c r="C654" s="755" t="s">
        <v>99</v>
      </c>
      <c r="D654" s="755" t="s">
        <v>99</v>
      </c>
      <c r="E654" s="755" t="s">
        <v>99</v>
      </c>
      <c r="F654" s="755" t="s">
        <v>99</v>
      </c>
      <c r="G654" s="755" t="s">
        <v>99</v>
      </c>
      <c r="H654" s="755" t="s">
        <v>99</v>
      </c>
      <c r="I654" s="755" t="s">
        <v>300</v>
      </c>
      <c r="J654" s="755" t="s">
        <v>300</v>
      </c>
      <c r="K654" s="755" t="s">
        <v>300</v>
      </c>
      <c r="L654" s="755" t="s">
        <v>300</v>
      </c>
      <c r="M654" s="755" t="s">
        <v>300</v>
      </c>
      <c r="N654" s="761"/>
      <c r="O654" s="755" t="s">
        <v>300</v>
      </c>
      <c r="P654" s="755" t="s">
        <v>300</v>
      </c>
      <c r="Q654" s="755" t="s">
        <v>300</v>
      </c>
      <c r="R654" s="755" t="s">
        <v>300</v>
      </c>
      <c r="S654" s="755" t="s">
        <v>300</v>
      </c>
      <c r="T654" s="755" t="s">
        <v>300</v>
      </c>
      <c r="U654" s="755" t="s">
        <v>300</v>
      </c>
      <c r="V654" s="755" t="s">
        <v>300</v>
      </c>
      <c r="W654" s="755" t="s">
        <v>300</v>
      </c>
      <c r="X654" s="755" t="s">
        <v>643</v>
      </c>
      <c r="Y654" s="755" t="s">
        <v>643</v>
      </c>
      <c r="Z654" s="755" t="s">
        <v>729</v>
      </c>
      <c r="AA654" s="755" t="s">
        <v>729</v>
      </c>
      <c r="AB654" s="755" t="s">
        <v>729</v>
      </c>
      <c r="AC654" s="755" t="s">
        <v>729</v>
      </c>
      <c r="AD654" s="80" t="s">
        <v>818</v>
      </c>
      <c r="AE654" s="80" t="s">
        <v>921</v>
      </c>
      <c r="AF654" s="755" t="s">
        <v>927</v>
      </c>
      <c r="AG654" s="755" t="s">
        <v>927</v>
      </c>
    </row>
    <row r="655" spans="1:68" ht="14.25" customHeight="1" thickTop="1" x14ac:dyDescent="0.2">
      <c r="A655" s="762" t="s">
        <v>10</v>
      </c>
      <c r="B655" s="755" t="s">
        <v>77</v>
      </c>
      <c r="C655" s="755" t="s">
        <v>100</v>
      </c>
      <c r="D655" s="755" t="s">
        <v>130</v>
      </c>
      <c r="E655" s="755" t="s">
        <v>203</v>
      </c>
      <c r="F655" s="755" t="s">
        <v>225</v>
      </c>
      <c r="G655" s="755" t="s">
        <v>266</v>
      </c>
      <c r="H655" s="755" t="s">
        <v>99</v>
      </c>
      <c r="I655" s="755" t="s">
        <v>301</v>
      </c>
      <c r="J655" s="755" t="s">
        <v>325</v>
      </c>
      <c r="K655" s="755" t="s">
        <v>402</v>
      </c>
      <c r="L655" s="755" t="s">
        <v>422</v>
      </c>
      <c r="M655" s="755" t="s">
        <v>447</v>
      </c>
      <c r="N655" s="1"/>
      <c r="O655" s="755" t="s">
        <v>474</v>
      </c>
      <c r="P655" s="755" t="s">
        <v>477</v>
      </c>
      <c r="Q655" s="755" t="s">
        <v>486</v>
      </c>
      <c r="R655" s="755" t="s">
        <v>502</v>
      </c>
      <c r="S655" s="755" t="s">
        <v>515</v>
      </c>
      <c r="T655" s="755" t="s">
        <v>528</v>
      </c>
      <c r="U655" s="755" t="s">
        <v>541</v>
      </c>
      <c r="V655" s="755" t="s">
        <v>545</v>
      </c>
      <c r="W655" s="755" t="s">
        <v>630</v>
      </c>
      <c r="X655" s="755" t="s">
        <v>644</v>
      </c>
      <c r="Y655" s="755" t="s">
        <v>685</v>
      </c>
      <c r="Z655" s="755" t="s">
        <v>730</v>
      </c>
      <c r="AA655" s="755" t="s">
        <v>781</v>
      </c>
      <c r="AB655" s="755" t="s">
        <v>799</v>
      </c>
      <c r="AC655" s="755" t="s">
        <v>811</v>
      </c>
      <c r="AD655" s="755" t="s">
        <v>818</v>
      </c>
      <c r="AE655" s="755" t="s">
        <v>921</v>
      </c>
      <c r="AF655" s="755" t="s">
        <v>927</v>
      </c>
      <c r="AG655" s="755" t="s">
        <v>1027</v>
      </c>
    </row>
    <row r="656" spans="1:68" ht="13.5" thickBot="1" x14ac:dyDescent="0.25">
      <c r="A656" s="763"/>
      <c r="B656" s="755"/>
      <c r="C656" s="755"/>
      <c r="D656" s="755"/>
      <c r="E656" s="755"/>
      <c r="F656" s="755"/>
      <c r="G656" s="755"/>
      <c r="H656" s="755"/>
      <c r="I656" s="755"/>
      <c r="J656" s="755"/>
      <c r="K656" s="755"/>
      <c r="L656" s="755"/>
      <c r="M656" s="755"/>
      <c r="N656" s="1"/>
      <c r="O656" s="755"/>
      <c r="P656" s="755"/>
      <c r="Q656" s="755"/>
      <c r="R656" s="755"/>
      <c r="S656" s="755"/>
      <c r="T656" s="755"/>
      <c r="U656" s="755"/>
      <c r="V656" s="755"/>
      <c r="W656" s="755"/>
      <c r="X656" s="755"/>
      <c r="Y656" s="755"/>
      <c r="Z656" s="755"/>
      <c r="AA656" s="755"/>
      <c r="AB656" s="755"/>
      <c r="AC656" s="755"/>
      <c r="AD656" s="755"/>
      <c r="AE656" s="755"/>
      <c r="AF656" s="755"/>
      <c r="AG656" s="755"/>
    </row>
    <row r="657" spans="1:33" ht="18" thickTop="1" thickBot="1" x14ac:dyDescent="0.25">
      <c r="A657" s="44" t="s">
        <v>13</v>
      </c>
      <c r="B657" s="50">
        <f>IFERROR(Y22*1,"0")+IFERROR(Y23*1,"0")+IFERROR(Y24*1,"0")+IFERROR(Y25*1,"0")+IFERROR(Y29*1,"0")</f>
        <v>0</v>
      </c>
      <c r="C657" s="50">
        <f>IFERROR(Y35*1,"0")+IFERROR(Y36*1,"0")+IFERROR(Y37*1,"0")+IFERROR(Y38*1,"0")+IFERROR(Y39*1,"0")+IFERROR(Y40*1,"0")+IFERROR(Y44*1,"0")+IFERROR(Y45*1,"0")</f>
        <v>0</v>
      </c>
      <c r="D657" s="50">
        <f>IFERROR(Y50*1,"0")+IFERROR(Y51*1,"0")+IFERROR(Y52*1,"0")+IFERROR(Y53*1,"0")+IFERROR(Y54*1,"0")+IFERROR(Y55*1,"0")+IFERROR(Y56*1,"0")+IFERROR(Y60*1,"0")+IFERROR(Y61*1,"0")+IFERROR(Y62*1,"0")+IFERROR(Y63*1,"0")+IFERROR(Y67*1,"0")+IFERROR(Y68*1,"0")+IFERROR(Y69*1,"0")+IFERROR(Y70*1,"0")+IFERROR(Y71*1,"0")+IFERROR(Y72*1,"0")+IFERROR(Y76*1,"0")+IFERROR(Y77*1,"0")+IFERROR(Y78*1,"0")+IFERROR(Y79*1,"0")+IFERROR(Y80*1,"0")+IFERROR(Y81*1,"0")+IFERROR(Y85*1,"0")+IFERROR(Y86*1,"0")+IFERROR(Y87*1,"0")</f>
        <v>207</v>
      </c>
      <c r="E657" s="50">
        <f>IFERROR(Y92*1,"0")+IFERROR(Y93*1,"0")+IFERROR(Y94*1,"0")+IFERROR(Y98*1,"0")+IFERROR(Y99*1,"0")+IFERROR(Y100*1,"0")+IFERROR(Y101*1,"0")+IFERROR(Y102*1,"0")+IFERROR(Y103*1,"0")</f>
        <v>81.000000000000014</v>
      </c>
      <c r="F657" s="50">
        <f>IFERROR(Y108*1,"0")+IFERROR(Y109*1,"0")+IFERROR(Y110*1,"0")+IFERROR(Y111*1,"0")+IFERROR(Y112*1,"0")+IFERROR(Y116*1,"0")+IFERROR(Y117*1,"0")+IFERROR(Y118*1,"0")+IFERROR(Y122*1,"0")+IFERROR(Y123*1,"0")+IFERROR(Y124*1,"0")+IFERROR(Y125*1,"0")+IFERROR(Y126*1,"0")+IFERROR(Y127*1,"0")+IFERROR(Y128*1,"0")+IFERROR(Y132*1,"0")+IFERROR(Y133*1,"0")</f>
        <v>42</v>
      </c>
      <c r="G657" s="50">
        <f>IFERROR(Y138*1,"0")+IFERROR(Y139*1,"0")+IFERROR(Y143*1,"0")+IFERROR(Y144*1,"0")+IFERROR(Y148*1,"0")+IFERROR(Y149*1,"0")</f>
        <v>149.59999999999997</v>
      </c>
      <c r="H657" s="50">
        <f>IFERROR(Y154*1,"0")+IFERROR(Y158*1,"0")+IFERROR(Y159*1,"0")+IFERROR(Y160*1,"0")+IFERROR(Y161*1,"0")+IFERROR(Y162*1,"0")+IFERROR(Y166*1,"0")+IFERROR(Y167*1,"0")</f>
        <v>0</v>
      </c>
      <c r="I657" s="50">
        <f>IFERROR(Y173*1,"0")+IFERROR(Y177*1,"0")+IFERROR(Y178*1,"0")+IFERROR(Y179*1,"0")+IFERROR(Y180*1,"0")+IFERROR(Y181*1,"0")+IFERROR(Y182*1,"0")+IFERROR(Y183*1,"0")+IFERROR(Y184*1,"0")</f>
        <v>105</v>
      </c>
      <c r="J657" s="50">
        <f>IFERROR(Y189*1,"0")+IFERROR(Y190*1,"0")+IFERROR(Y194*1,"0")+IFERROR(Y195*1,"0")+IFERROR(Y199*1,"0")+IFERROR(Y200*1,"0")+IFERROR(Y201*1,"0")+IFERROR(Y202*1,"0")+IFERROR(Y203*1,"0")+IFERROR(Y204*1,"0")+IFERROR(Y205*1,"0")+IFERROR(Y206*1,"0")+IFERROR(Y210*1,"0")+IFERROR(Y211*1,"0")+IFERROR(Y212*1,"0")+IFERROR(Y213*1,"0")+IFERROR(Y214*1,"0")+IFERROR(Y215*1,"0")+IFERROR(Y216*1,"0")+IFERROR(Y217*1,"0")+IFERROR(Y218*1,"0")+IFERROR(Y219*1,"0")+IFERROR(Y220*1,"0")+IFERROR(Y224*1,"0")+IFERROR(Y225*1,"0")+IFERROR(Y226*1,"0")+IFERROR(Y227*1,"0")+IFERROR(Y228*1,"0")+IFERROR(Y229*1,"0")</f>
        <v>1297.7000000000003</v>
      </c>
      <c r="K657" s="50">
        <f>IFERROR(Y234*1,"0")+IFERROR(Y235*1,"0")+IFERROR(Y236*1,"0")+IFERROR(Y237*1,"0")+IFERROR(Y238*1,"0")+IFERROR(Y239*1,"0")+IFERROR(Y240*1,"0")+IFERROR(Y241*1,"0")</f>
        <v>0</v>
      </c>
      <c r="L657" s="50">
        <f>IFERROR(Y246*1,"0")+IFERROR(Y247*1,"0")+IFERROR(Y248*1,"0")+IFERROR(Y249*1,"0")+IFERROR(Y250*1,"0")+IFERROR(Y251*1,"0")+IFERROR(Y252*1,"0")+IFERROR(Y253*1,"0")+IFERROR(Y254*1,"0")+IFERROR(Y258*1,"0")</f>
        <v>0</v>
      </c>
      <c r="M657" s="50">
        <f>IFERROR(Y263*1,"0")+IFERROR(Y264*1,"0")+IFERROR(Y265*1,"0")+IFERROR(Y266*1,"0")+IFERROR(Y267*1,"0")+IFERROR(Y268*1,"0")+IFERROR(Y269*1,"0")+IFERROR(Y270*1,"0")+IFERROR(Y271*1,"0")</f>
        <v>0</v>
      </c>
      <c r="N657" s="1"/>
      <c r="O657" s="50">
        <f>IFERROR(Y276*1,"0")</f>
        <v>0</v>
      </c>
      <c r="P657" s="50">
        <f>IFERROR(Y281*1,"0")+IFERROR(Y282*1,"0")+IFERROR(Y283*1,"0")</f>
        <v>0</v>
      </c>
      <c r="Q657" s="50">
        <f>IFERROR(Y288*1,"0")+IFERROR(Y289*1,"0")+IFERROR(Y290*1,"0")+IFERROR(Y291*1,"0")+IFERROR(Y292*1,"0")+IFERROR(Y293*1,"0")</f>
        <v>0</v>
      </c>
      <c r="R657" s="50">
        <f>IFERROR(Y298*1,"0")+IFERROR(Y302*1,"0")+IFERROR(Y306*1,"0")+IFERROR(Y307*1,"0")</f>
        <v>0</v>
      </c>
      <c r="S657" s="50">
        <f>IFERROR(Y312*1,"0")+IFERROR(Y316*1,"0")+IFERROR(Y320*1,"0")+IFERROR(Y321*1,"0")</f>
        <v>0</v>
      </c>
      <c r="T657" s="50">
        <f>IFERROR(Y326*1,"0")+IFERROR(Y327*1,"0")+IFERROR(Y331*1,"0")+IFERROR(Y332*1,"0")+IFERROR(Y336*1,"0")</f>
        <v>0</v>
      </c>
      <c r="U657" s="50">
        <f>IFERROR(Y341*1,"0")</f>
        <v>0</v>
      </c>
      <c r="V657" s="50">
        <f>IFERROR(Y346*1,"0")+IFERROR(Y347*1,"0")+IFERROR(Y348*1,"0")+IFERROR(Y349*1,"0")+IFERROR(Y350*1,"0")+IFERROR(Y351*1,"0")+IFERROR(Y352*1,"0")+IFERROR(Y353*1,"0")+IFERROR(Y357*1,"0")+IFERROR(Y358*1,"0")+IFERROR(Y359*1,"0")+IFERROR(Y360*1,"0")+IFERROR(Y364*1,"0")+IFERROR(Y365*1,"0")+IFERROR(Y366*1,"0")+IFERROR(Y367*1,"0")+IFERROR(Y368*1,"0")+IFERROR(Y369*1,"0")+IFERROR(Y373*1,"0")+IFERROR(Y374*1,"0")+IFERROR(Y375*1,"0")+IFERROR(Y376*1,"0")+IFERROR(Y380*1,"0")+IFERROR(Y381*1,"0")+IFERROR(Y382*1,"0")+IFERROR(Y383*1,"0")+IFERROR(Y387*1,"0")+IFERROR(Y388*1,"0")+IFERROR(Y389*1,"0")</f>
        <v>1552.1999999999998</v>
      </c>
      <c r="W657" s="50">
        <f>IFERROR(Y394*1,"0")+IFERROR(Y398*1,"0")+IFERROR(Y399*1,"0")+IFERROR(Y400*1,"0")</f>
        <v>0</v>
      </c>
      <c r="X657" s="50">
        <f>IFERROR(Y406*1,"0")+IFERROR(Y407*1,"0")+IFERROR(Y408*1,"0")+IFERROR(Y409*1,"0")+IFERROR(Y410*1,"0")+IFERROR(Y411*1,"0")+IFERROR(Y412*1,"0")+IFERROR(Y413*1,"0")+IFERROR(Y414*1,"0")+IFERROR(Y415*1,"0")+IFERROR(Y419*1,"0")+IFERROR(Y420*1,"0")+IFERROR(Y424*1,"0")+IFERROR(Y425*1,"0")+IFERROR(Y429*1,"0")</f>
        <v>13401</v>
      </c>
      <c r="Y657" s="50">
        <f>IFERROR(Y434*1,"0")+IFERROR(Y435*1,"0")+IFERROR(Y436*1,"0")+IFERROR(Y437*1,"0")+IFERROR(Y438*1,"0")+IFERROR(Y439*1,"0")+IFERROR(Y440*1,"0")+IFERROR(Y441*1,"0")+IFERROR(Y445*1,"0")+IFERROR(Y446*1,"0")+IFERROR(Y450*1,"0")+IFERROR(Y451*1,"0")+IFERROR(Y452*1,"0")+IFERROR(Y453*1,"0")+IFERROR(Y454*1,"0")+IFERROR(Y458*1,"0")</f>
        <v>283.2</v>
      </c>
      <c r="Z657" s="50">
        <f>IFERROR(Y464*1,"0")+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489*1,"0")</f>
        <v>0</v>
      </c>
      <c r="AA657" s="50">
        <f>IFERROR(Y494*1,"0")+IFERROR(Y498*1,"0")+IFERROR(Y499*1,"0")+IFERROR(Y500*1,"0")+IFERROR(Y501*1,"0")+IFERROR(Y502*1,"0")</f>
        <v>0</v>
      </c>
      <c r="AB657" s="50">
        <f>IFERROR(Y507*1,"0")+IFERROR(Y508*1,"0")+IFERROR(Y509*1,"0")</f>
        <v>0</v>
      </c>
      <c r="AC657" s="50">
        <f>IFERROR(Y514*1,"0")+IFERROR(Y518*1,"0")</f>
        <v>0</v>
      </c>
      <c r="AD657" s="50">
        <f>IFERROR(Y524*1,"0")+IFERROR(Y525*1,"0")+IFERROR(Y526*1,"0")+IFERROR(Y527*1,"0")+IFERROR(Y528*1,"0")+IFERROR(Y529*1,"0")+IFERROR(Y530*1,"0")+IFERROR(Y531*1,"0")+IFERROR(Y532*1,"0")+IFERROR(Y533*1,"0")+IFERROR(Y534*1,"0")+IFERROR(Y535*1,"0")+IFERROR(Y536*1,"0")+IFERROR(Y537*1,"0")+IFERROR(Y538*1,"0")+IFERROR(Y539*1,"0")+IFERROR(Y543*1,"0")+IFERROR(Y544*1,"0")+IFERROR(Y545*1,"0")+IFERROR(Y546*1,"0")+IFERROR(Y550*1,"0")+IFERROR(Y551*1,"0")+IFERROR(Y552*1,"0")+IFERROR(Y553*1,"0")+IFERROR(Y554*1,"0")+IFERROR(Y555*1,"0")+IFERROR(Y556*1,"0")+IFERROR(Y557*1,"0")+IFERROR(Y558*1,"0")+IFERROR(Y559*1,"0")+IFERROR(Y560*1,"0")+IFERROR(Y561*1,"0")+IFERROR(Y565*1,"0")+IFERROR(Y566*1,"0")+IFERROR(Y567*1,"0")+IFERROR(Y571*1,"0")+IFERROR(Y572*1,"0")</f>
        <v>839.5200000000001</v>
      </c>
      <c r="AE657" s="50">
        <f>IFERROR(Y578*1,"0")</f>
        <v>0</v>
      </c>
      <c r="AF657" s="50">
        <f>IFERROR(Y584*1,"0")+IFERROR(Y585*1,"0")+IFERROR(Y586*1,"0")+IFERROR(Y587*1,"0")+IFERROR(Y588*1,"0")+IFERROR(Y589*1,"0")+IFERROR(Y590*1,"0")+IFERROR(Y594*1,"0")+IFERROR(Y595*1,"0")+IFERROR(Y596*1,"0")+IFERROR(Y597*1,"0")+IFERROR(Y601*1,"0")+IFERROR(Y602*1,"0")+IFERROR(Y603*1,"0")+IFERROR(Y604*1,"0")+IFERROR(Y605*1,"0")+IFERROR(Y606*1,"0")+IFERROR(Y607*1,"0")+IFERROR(Y611*1,"0")+IFERROR(Y612*1,"0")+IFERROR(Y613*1,"0")+IFERROR(Y614*1,"0")+IFERROR(Y615*1,"0")+IFERROR(Y616*1,"0")+IFERROR(Y617*1,"0")+IFERROR(Y618*1,"0")+IFERROR(Y622*1,"0")+IFERROR(Y623*1,"0")+IFERROR(Y624*1,"0")+IFERROR(Y625*1,"0")</f>
        <v>207</v>
      </c>
      <c r="AG657" s="50">
        <f>IFERROR(Y630*1,"0")+IFERROR(Y631*1,"0")+IFERROR(Y635*1,"0")+IFERROR(Y639*1,"0")+IFERROR(Y643*1,"0")+IFERROR(Y644*1,"0")</f>
        <v>0</v>
      </c>
    </row>
  </sheetData>
  <sheetProtection algorithmName="SHA-512" hashValue="/p9rd/ewuw4Fg2Fcna4Uk7UKzb9+6xS5LJKngEvV66whSDvygoMy10Veq13dSIGehoBhEVlc6t9OHTkZCEp/ag==" saltValue="pGtdg/AyGv/nqnipTqNWD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15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D25:E25"/>
    <mergeCell ref="P25:T25"/>
    <mergeCell ref="P26:V26"/>
    <mergeCell ref="A26:O27"/>
    <mergeCell ref="P27:V27"/>
    <mergeCell ref="A28:Z28"/>
    <mergeCell ref="D29:E29"/>
    <mergeCell ref="P29:T29"/>
    <mergeCell ref="P30:V30"/>
    <mergeCell ref="A30:O31"/>
    <mergeCell ref="P31:V31"/>
    <mergeCell ref="A32:Z32"/>
    <mergeCell ref="A33:Z33"/>
    <mergeCell ref="A34:Z34"/>
    <mergeCell ref="D35:E35"/>
    <mergeCell ref="P35:T35"/>
    <mergeCell ref="D36:E36"/>
    <mergeCell ref="P36:T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D45:E45"/>
    <mergeCell ref="P45:T45"/>
    <mergeCell ref="P46:V46"/>
    <mergeCell ref="A46:O47"/>
    <mergeCell ref="P47:V47"/>
    <mergeCell ref="A48:Z48"/>
    <mergeCell ref="A49:Z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D55:E55"/>
    <mergeCell ref="P55:T55"/>
    <mergeCell ref="D56:E56"/>
    <mergeCell ref="P56:T56"/>
    <mergeCell ref="P57:V57"/>
    <mergeCell ref="A57:O58"/>
    <mergeCell ref="P58:V58"/>
    <mergeCell ref="A59:Z59"/>
    <mergeCell ref="D60:E60"/>
    <mergeCell ref="P60:T60"/>
    <mergeCell ref="D61:E61"/>
    <mergeCell ref="P61:T61"/>
    <mergeCell ref="D62:E62"/>
    <mergeCell ref="P62:T62"/>
    <mergeCell ref="D63:E63"/>
    <mergeCell ref="P63:T63"/>
    <mergeCell ref="P64:V64"/>
    <mergeCell ref="A64:O65"/>
    <mergeCell ref="P65:V65"/>
    <mergeCell ref="A66:Z66"/>
    <mergeCell ref="D67:E67"/>
    <mergeCell ref="P67:T67"/>
    <mergeCell ref="D68:E68"/>
    <mergeCell ref="P68:T68"/>
    <mergeCell ref="D69:E69"/>
    <mergeCell ref="P69:T69"/>
    <mergeCell ref="D70:E70"/>
    <mergeCell ref="P70:T70"/>
    <mergeCell ref="D71:E71"/>
    <mergeCell ref="P71:T71"/>
    <mergeCell ref="D72:E72"/>
    <mergeCell ref="P72:T72"/>
    <mergeCell ref="P73:V73"/>
    <mergeCell ref="A73:O74"/>
    <mergeCell ref="P74:V74"/>
    <mergeCell ref="A75:Z75"/>
    <mergeCell ref="D76:E76"/>
    <mergeCell ref="P76:T76"/>
    <mergeCell ref="D77:E77"/>
    <mergeCell ref="P77:T77"/>
    <mergeCell ref="D78:E78"/>
    <mergeCell ref="P78:T78"/>
    <mergeCell ref="D79:E79"/>
    <mergeCell ref="P79:T79"/>
    <mergeCell ref="D80:E80"/>
    <mergeCell ref="P80:T80"/>
    <mergeCell ref="D81:E81"/>
    <mergeCell ref="P81:T81"/>
    <mergeCell ref="P82:V82"/>
    <mergeCell ref="A82:O83"/>
    <mergeCell ref="P83:V83"/>
    <mergeCell ref="A84:Z84"/>
    <mergeCell ref="D85:E85"/>
    <mergeCell ref="P85:T85"/>
    <mergeCell ref="D86:E86"/>
    <mergeCell ref="P86:T86"/>
    <mergeCell ref="D87:E87"/>
    <mergeCell ref="P87:T87"/>
    <mergeCell ref="P88:V88"/>
    <mergeCell ref="A88:O89"/>
    <mergeCell ref="P89:V89"/>
    <mergeCell ref="A90:Z90"/>
    <mergeCell ref="A91:Z91"/>
    <mergeCell ref="D92:E92"/>
    <mergeCell ref="P92:T92"/>
    <mergeCell ref="D93:E93"/>
    <mergeCell ref="P93:T93"/>
    <mergeCell ref="D94:E94"/>
    <mergeCell ref="P94:T94"/>
    <mergeCell ref="P95:V95"/>
    <mergeCell ref="A95:O96"/>
    <mergeCell ref="P96:V96"/>
    <mergeCell ref="A97:Z9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D102:E102"/>
    <mergeCell ref="P102:T102"/>
    <mergeCell ref="D103:E103"/>
    <mergeCell ref="P103:T103"/>
    <mergeCell ref="P104:V104"/>
    <mergeCell ref="A104:O105"/>
    <mergeCell ref="P105:V105"/>
    <mergeCell ref="A106:Z106"/>
    <mergeCell ref="A107:Z107"/>
    <mergeCell ref="D108:E108"/>
    <mergeCell ref="P108:T108"/>
    <mergeCell ref="D109:E109"/>
    <mergeCell ref="P109:T109"/>
    <mergeCell ref="D110:E110"/>
    <mergeCell ref="P110:T110"/>
    <mergeCell ref="D111:E111"/>
    <mergeCell ref="P111:T111"/>
    <mergeCell ref="D112:E112"/>
    <mergeCell ref="P112:T112"/>
    <mergeCell ref="P113:V113"/>
    <mergeCell ref="A113:O114"/>
    <mergeCell ref="P114:V114"/>
    <mergeCell ref="A115:Z115"/>
    <mergeCell ref="D116:E116"/>
    <mergeCell ref="P116:T116"/>
    <mergeCell ref="D117:E117"/>
    <mergeCell ref="P117:T117"/>
    <mergeCell ref="D118:E118"/>
    <mergeCell ref="P118:T118"/>
    <mergeCell ref="P119:V119"/>
    <mergeCell ref="A119:O120"/>
    <mergeCell ref="P120:V120"/>
    <mergeCell ref="A121:Z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27:E127"/>
    <mergeCell ref="P127:T127"/>
    <mergeCell ref="D128:E128"/>
    <mergeCell ref="P128:T128"/>
    <mergeCell ref="P129:V129"/>
    <mergeCell ref="A129:O130"/>
    <mergeCell ref="P130:V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D143:E143"/>
    <mergeCell ref="P143:T143"/>
    <mergeCell ref="D144:E144"/>
    <mergeCell ref="P144:T144"/>
    <mergeCell ref="P145:V145"/>
    <mergeCell ref="A145:O146"/>
    <mergeCell ref="P146:V146"/>
    <mergeCell ref="A147:Z147"/>
    <mergeCell ref="D148:E148"/>
    <mergeCell ref="P148:T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P155:V155"/>
    <mergeCell ref="A155:O156"/>
    <mergeCell ref="P156:V156"/>
    <mergeCell ref="A157:Z157"/>
    <mergeCell ref="D158:E158"/>
    <mergeCell ref="P158:T158"/>
    <mergeCell ref="D159:E159"/>
    <mergeCell ref="P159:T159"/>
    <mergeCell ref="D160:E160"/>
    <mergeCell ref="P160:T160"/>
    <mergeCell ref="D161:E161"/>
    <mergeCell ref="P161:T161"/>
    <mergeCell ref="D162:E162"/>
    <mergeCell ref="P162:T162"/>
    <mergeCell ref="P163:V163"/>
    <mergeCell ref="A163:O164"/>
    <mergeCell ref="P164:V164"/>
    <mergeCell ref="A165:Z165"/>
    <mergeCell ref="D166:E166"/>
    <mergeCell ref="P166:T166"/>
    <mergeCell ref="D167:E167"/>
    <mergeCell ref="P167:T167"/>
    <mergeCell ref="P168:V168"/>
    <mergeCell ref="A168:O169"/>
    <mergeCell ref="P169:V169"/>
    <mergeCell ref="A170:Z170"/>
    <mergeCell ref="A171:Z171"/>
    <mergeCell ref="A172:Z172"/>
    <mergeCell ref="D173:E173"/>
    <mergeCell ref="P173:T173"/>
    <mergeCell ref="P174:V174"/>
    <mergeCell ref="A174:O175"/>
    <mergeCell ref="P175:V175"/>
    <mergeCell ref="A176:Z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82:E182"/>
    <mergeCell ref="P182:T182"/>
    <mergeCell ref="D183:E183"/>
    <mergeCell ref="P183:T183"/>
    <mergeCell ref="D184:E184"/>
    <mergeCell ref="P184:T184"/>
    <mergeCell ref="P185:V185"/>
    <mergeCell ref="A185:O186"/>
    <mergeCell ref="P186:V186"/>
    <mergeCell ref="A187:Z187"/>
    <mergeCell ref="A188:Z188"/>
    <mergeCell ref="D189:E189"/>
    <mergeCell ref="P189:T189"/>
    <mergeCell ref="D190:E190"/>
    <mergeCell ref="P190:T190"/>
    <mergeCell ref="P191:V191"/>
    <mergeCell ref="A191:O192"/>
    <mergeCell ref="P192:V192"/>
    <mergeCell ref="A193:Z193"/>
    <mergeCell ref="D194:E194"/>
    <mergeCell ref="P194:T194"/>
    <mergeCell ref="D195:E195"/>
    <mergeCell ref="P195:T195"/>
    <mergeCell ref="P196:V196"/>
    <mergeCell ref="A196:O197"/>
    <mergeCell ref="P197:V197"/>
    <mergeCell ref="A198:Z198"/>
    <mergeCell ref="D199:E199"/>
    <mergeCell ref="P199:T199"/>
    <mergeCell ref="D200:E200"/>
    <mergeCell ref="P200:T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D205:E205"/>
    <mergeCell ref="P205:T205"/>
    <mergeCell ref="D206:E206"/>
    <mergeCell ref="P206:T206"/>
    <mergeCell ref="P207:V207"/>
    <mergeCell ref="A207:O208"/>
    <mergeCell ref="P208:V208"/>
    <mergeCell ref="A209:Z209"/>
    <mergeCell ref="D210:E210"/>
    <mergeCell ref="P210:T210"/>
    <mergeCell ref="D211:E211"/>
    <mergeCell ref="P211:T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D224:E224"/>
    <mergeCell ref="P224:T224"/>
    <mergeCell ref="D225:E225"/>
    <mergeCell ref="P225:T225"/>
    <mergeCell ref="D226:E226"/>
    <mergeCell ref="P226:T226"/>
    <mergeCell ref="D227:E227"/>
    <mergeCell ref="P227:T227"/>
    <mergeCell ref="D228:E228"/>
    <mergeCell ref="P228:T228"/>
    <mergeCell ref="D229:E229"/>
    <mergeCell ref="P229:T229"/>
    <mergeCell ref="P230:V230"/>
    <mergeCell ref="A230:O231"/>
    <mergeCell ref="P231:V231"/>
    <mergeCell ref="A232:Z232"/>
    <mergeCell ref="A233:Z233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D238:E238"/>
    <mergeCell ref="P238:T238"/>
    <mergeCell ref="D239:E239"/>
    <mergeCell ref="P239:T239"/>
    <mergeCell ref="D240:E240"/>
    <mergeCell ref="P240:T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D248:E248"/>
    <mergeCell ref="P248:T248"/>
    <mergeCell ref="D249:E249"/>
    <mergeCell ref="P249:T249"/>
    <mergeCell ref="D250:E250"/>
    <mergeCell ref="P250:T250"/>
    <mergeCell ref="D251:E251"/>
    <mergeCell ref="P251:T251"/>
    <mergeCell ref="D252:E252"/>
    <mergeCell ref="P252:T252"/>
    <mergeCell ref="D253:E253"/>
    <mergeCell ref="P253:T253"/>
    <mergeCell ref="D254:E254"/>
    <mergeCell ref="P254:T254"/>
    <mergeCell ref="P255:V255"/>
    <mergeCell ref="A255:O256"/>
    <mergeCell ref="P256:V256"/>
    <mergeCell ref="A257:Z257"/>
    <mergeCell ref="D258:E258"/>
    <mergeCell ref="P258:T258"/>
    <mergeCell ref="P259:V259"/>
    <mergeCell ref="A259:O260"/>
    <mergeCell ref="P260:V260"/>
    <mergeCell ref="A261:Z261"/>
    <mergeCell ref="A262:Z262"/>
    <mergeCell ref="D263:E263"/>
    <mergeCell ref="P263:T263"/>
    <mergeCell ref="D264:E264"/>
    <mergeCell ref="P264:T264"/>
    <mergeCell ref="D265:E265"/>
    <mergeCell ref="P265:T265"/>
    <mergeCell ref="D266:E266"/>
    <mergeCell ref="P266:T266"/>
    <mergeCell ref="D267:E267"/>
    <mergeCell ref="P267:T267"/>
    <mergeCell ref="D268:E268"/>
    <mergeCell ref="P268:T268"/>
    <mergeCell ref="D269:E269"/>
    <mergeCell ref="P269:T269"/>
    <mergeCell ref="D270:E270"/>
    <mergeCell ref="P270:T270"/>
    <mergeCell ref="D271:E271"/>
    <mergeCell ref="P271:T271"/>
    <mergeCell ref="P272:V272"/>
    <mergeCell ref="A272:O273"/>
    <mergeCell ref="P273:V273"/>
    <mergeCell ref="A274:Z274"/>
    <mergeCell ref="A275:Z275"/>
    <mergeCell ref="D276:E276"/>
    <mergeCell ref="P276:T276"/>
    <mergeCell ref="P277:V277"/>
    <mergeCell ref="A277:O278"/>
    <mergeCell ref="P278:V278"/>
    <mergeCell ref="A279:Z279"/>
    <mergeCell ref="A280:Z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A286:Z286"/>
    <mergeCell ref="A287:Z287"/>
    <mergeCell ref="D288:E288"/>
    <mergeCell ref="P288:T288"/>
    <mergeCell ref="D289:E289"/>
    <mergeCell ref="P289:T289"/>
    <mergeCell ref="D290:E290"/>
    <mergeCell ref="P290:T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A297:Z297"/>
    <mergeCell ref="D298:E298"/>
    <mergeCell ref="P298:T298"/>
    <mergeCell ref="P299:V299"/>
    <mergeCell ref="A299:O300"/>
    <mergeCell ref="P300:V300"/>
    <mergeCell ref="A301:Z301"/>
    <mergeCell ref="D302:E302"/>
    <mergeCell ref="P302:T302"/>
    <mergeCell ref="P303:V303"/>
    <mergeCell ref="A303:O304"/>
    <mergeCell ref="P304:V304"/>
    <mergeCell ref="A305:Z305"/>
    <mergeCell ref="D306:E306"/>
    <mergeCell ref="P306:T306"/>
    <mergeCell ref="D307:E307"/>
    <mergeCell ref="P307:T307"/>
    <mergeCell ref="P308:V308"/>
    <mergeCell ref="A308:O309"/>
    <mergeCell ref="P309:V309"/>
    <mergeCell ref="A310:Z310"/>
    <mergeCell ref="A311:Z311"/>
    <mergeCell ref="D312:E312"/>
    <mergeCell ref="P312:T312"/>
    <mergeCell ref="P313:V313"/>
    <mergeCell ref="A313:O314"/>
    <mergeCell ref="P314:V314"/>
    <mergeCell ref="A315:Z315"/>
    <mergeCell ref="D316:E316"/>
    <mergeCell ref="P316:T316"/>
    <mergeCell ref="P317:V317"/>
    <mergeCell ref="A317:O318"/>
    <mergeCell ref="P318:V318"/>
    <mergeCell ref="A319:Z319"/>
    <mergeCell ref="D320:E320"/>
    <mergeCell ref="P320:T320"/>
    <mergeCell ref="D321:E321"/>
    <mergeCell ref="P321:T321"/>
    <mergeCell ref="P322:V322"/>
    <mergeCell ref="A322:O323"/>
    <mergeCell ref="P323:V323"/>
    <mergeCell ref="A324:Z324"/>
    <mergeCell ref="A325:Z325"/>
    <mergeCell ref="D326:E326"/>
    <mergeCell ref="P326:T326"/>
    <mergeCell ref="D327:E327"/>
    <mergeCell ref="P327:T327"/>
    <mergeCell ref="P328:V328"/>
    <mergeCell ref="A328:O329"/>
    <mergeCell ref="P329:V329"/>
    <mergeCell ref="A330:Z330"/>
    <mergeCell ref="D331:E331"/>
    <mergeCell ref="P331:T331"/>
    <mergeCell ref="D332:E332"/>
    <mergeCell ref="P332:T332"/>
    <mergeCell ref="P333:V333"/>
    <mergeCell ref="A333:O334"/>
    <mergeCell ref="P334:V334"/>
    <mergeCell ref="A335:Z335"/>
    <mergeCell ref="D336:E336"/>
    <mergeCell ref="P336:T336"/>
    <mergeCell ref="P337:V337"/>
    <mergeCell ref="A337:O338"/>
    <mergeCell ref="P338:V338"/>
    <mergeCell ref="A339:Z339"/>
    <mergeCell ref="A340:Z340"/>
    <mergeCell ref="D341:E341"/>
    <mergeCell ref="P341:T341"/>
    <mergeCell ref="P342:V342"/>
    <mergeCell ref="A342:O343"/>
    <mergeCell ref="P343:V343"/>
    <mergeCell ref="A344:Z344"/>
    <mergeCell ref="A345:Z345"/>
    <mergeCell ref="D346:E346"/>
    <mergeCell ref="P346:T346"/>
    <mergeCell ref="D347:E347"/>
    <mergeCell ref="P347:T347"/>
    <mergeCell ref="D348:E348"/>
    <mergeCell ref="P348:T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D353:E353"/>
    <mergeCell ref="P353:T353"/>
    <mergeCell ref="P354:V354"/>
    <mergeCell ref="A354:O355"/>
    <mergeCell ref="P355:V355"/>
    <mergeCell ref="A356:Z356"/>
    <mergeCell ref="D357:E357"/>
    <mergeCell ref="P357:T357"/>
    <mergeCell ref="D358:E358"/>
    <mergeCell ref="P358:T358"/>
    <mergeCell ref="D359:E359"/>
    <mergeCell ref="P359:T359"/>
    <mergeCell ref="D360:E360"/>
    <mergeCell ref="P360:T360"/>
    <mergeCell ref="P361:V361"/>
    <mergeCell ref="A361:O362"/>
    <mergeCell ref="P362:V362"/>
    <mergeCell ref="A363:Z363"/>
    <mergeCell ref="D364:E364"/>
    <mergeCell ref="P364:T364"/>
    <mergeCell ref="D365:E365"/>
    <mergeCell ref="P365:T365"/>
    <mergeCell ref="D366:E366"/>
    <mergeCell ref="P366:T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D373:E373"/>
    <mergeCell ref="P373:T373"/>
    <mergeCell ref="D374:E374"/>
    <mergeCell ref="P374:T374"/>
    <mergeCell ref="D375:E375"/>
    <mergeCell ref="P375:T375"/>
    <mergeCell ref="D376:E376"/>
    <mergeCell ref="P376:T376"/>
    <mergeCell ref="P377:V377"/>
    <mergeCell ref="A377:O378"/>
    <mergeCell ref="P378:V378"/>
    <mergeCell ref="A379:Z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P384:V384"/>
    <mergeCell ref="A384:O385"/>
    <mergeCell ref="P385:V385"/>
    <mergeCell ref="A386:Z386"/>
    <mergeCell ref="D387:E387"/>
    <mergeCell ref="P387:T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A393:Z393"/>
    <mergeCell ref="D394:E394"/>
    <mergeCell ref="P394:T394"/>
    <mergeCell ref="P395:V395"/>
    <mergeCell ref="A395:O396"/>
    <mergeCell ref="P396:V396"/>
    <mergeCell ref="A397:Z397"/>
    <mergeCell ref="D398:E398"/>
    <mergeCell ref="P398:T398"/>
    <mergeCell ref="D399:E399"/>
    <mergeCell ref="P399:T399"/>
    <mergeCell ref="D400:E400"/>
    <mergeCell ref="P400:T400"/>
    <mergeCell ref="P401:V401"/>
    <mergeCell ref="A401:O402"/>
    <mergeCell ref="P402:V402"/>
    <mergeCell ref="A403:Z403"/>
    <mergeCell ref="A404:Z404"/>
    <mergeCell ref="A405:Z405"/>
    <mergeCell ref="D406:E406"/>
    <mergeCell ref="P406:T406"/>
    <mergeCell ref="D407:E407"/>
    <mergeCell ref="P407:T407"/>
    <mergeCell ref="D408:E408"/>
    <mergeCell ref="P408:T408"/>
    <mergeCell ref="D409:E409"/>
    <mergeCell ref="P409:T409"/>
    <mergeCell ref="D410:E410"/>
    <mergeCell ref="P410:T410"/>
    <mergeCell ref="D411:E411"/>
    <mergeCell ref="P411:T411"/>
    <mergeCell ref="D412:E412"/>
    <mergeCell ref="P412:T412"/>
    <mergeCell ref="D413:E413"/>
    <mergeCell ref="P413:T413"/>
    <mergeCell ref="D414:E414"/>
    <mergeCell ref="P414:T414"/>
    <mergeCell ref="D415:E415"/>
    <mergeCell ref="P415:T415"/>
    <mergeCell ref="P416:V416"/>
    <mergeCell ref="A416:O417"/>
    <mergeCell ref="P417:V417"/>
    <mergeCell ref="A418:Z418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D425:E425"/>
    <mergeCell ref="P425:T425"/>
    <mergeCell ref="P426:V426"/>
    <mergeCell ref="A426:O427"/>
    <mergeCell ref="P427:V427"/>
    <mergeCell ref="A428:Z428"/>
    <mergeCell ref="D429:E429"/>
    <mergeCell ref="P429:T429"/>
    <mergeCell ref="P430:V430"/>
    <mergeCell ref="A430:O431"/>
    <mergeCell ref="P431:V431"/>
    <mergeCell ref="A432:Z432"/>
    <mergeCell ref="A433:Z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D450:E450"/>
    <mergeCell ref="P450:T450"/>
    <mergeCell ref="D451:E451"/>
    <mergeCell ref="P451:T451"/>
    <mergeCell ref="D452:E452"/>
    <mergeCell ref="P452:T452"/>
    <mergeCell ref="D453:E453"/>
    <mergeCell ref="P453:T453"/>
    <mergeCell ref="D454:E454"/>
    <mergeCell ref="P454:T454"/>
    <mergeCell ref="P455:V455"/>
    <mergeCell ref="A455:O456"/>
    <mergeCell ref="P456:V456"/>
    <mergeCell ref="A457:Z457"/>
    <mergeCell ref="D458:E458"/>
    <mergeCell ref="P458:T458"/>
    <mergeCell ref="P459:V459"/>
    <mergeCell ref="A459:O460"/>
    <mergeCell ref="P460:V460"/>
    <mergeCell ref="A461:Z461"/>
    <mergeCell ref="A462:Z462"/>
    <mergeCell ref="A463:Z463"/>
    <mergeCell ref="D464:E464"/>
    <mergeCell ref="P464:T464"/>
    <mergeCell ref="D465:E465"/>
    <mergeCell ref="P465:T465"/>
    <mergeCell ref="D466:E466"/>
    <mergeCell ref="P466:T466"/>
    <mergeCell ref="D467:E467"/>
    <mergeCell ref="P467:T467"/>
    <mergeCell ref="D468:E468"/>
    <mergeCell ref="P468:T468"/>
    <mergeCell ref="D469:E469"/>
    <mergeCell ref="P469:T469"/>
    <mergeCell ref="D470:E470"/>
    <mergeCell ref="P470:T470"/>
    <mergeCell ref="D471:E471"/>
    <mergeCell ref="P471:T471"/>
    <mergeCell ref="D472:E472"/>
    <mergeCell ref="P472:T472"/>
    <mergeCell ref="D473:E473"/>
    <mergeCell ref="P473:T473"/>
    <mergeCell ref="D474:E474"/>
    <mergeCell ref="P474:T474"/>
    <mergeCell ref="D475:E475"/>
    <mergeCell ref="P475:T475"/>
    <mergeCell ref="D476:E476"/>
    <mergeCell ref="P476:T476"/>
    <mergeCell ref="D477:E477"/>
    <mergeCell ref="P477:T477"/>
    <mergeCell ref="D478:E478"/>
    <mergeCell ref="P478:T478"/>
    <mergeCell ref="D479:E479"/>
    <mergeCell ref="P479:T479"/>
    <mergeCell ref="D480:E480"/>
    <mergeCell ref="P480:T480"/>
    <mergeCell ref="P481:V481"/>
    <mergeCell ref="A481:O482"/>
    <mergeCell ref="P482:V482"/>
    <mergeCell ref="A483:Z483"/>
    <mergeCell ref="D484:E484"/>
    <mergeCell ref="P484:T484"/>
    <mergeCell ref="D485:E485"/>
    <mergeCell ref="P485:T485"/>
    <mergeCell ref="P486:V486"/>
    <mergeCell ref="A486:O487"/>
    <mergeCell ref="P487:V487"/>
    <mergeCell ref="A488:Z488"/>
    <mergeCell ref="D489:E489"/>
    <mergeCell ref="P489:T489"/>
    <mergeCell ref="P490:V490"/>
    <mergeCell ref="A490:O491"/>
    <mergeCell ref="P491:V491"/>
    <mergeCell ref="A492:Z492"/>
    <mergeCell ref="A493:Z493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D502:E502"/>
    <mergeCell ref="P502:T502"/>
    <mergeCell ref="P503:V503"/>
    <mergeCell ref="A503:O504"/>
    <mergeCell ref="P504:V504"/>
    <mergeCell ref="A505:Z505"/>
    <mergeCell ref="A506:Z506"/>
    <mergeCell ref="D507:E507"/>
    <mergeCell ref="P507:T507"/>
    <mergeCell ref="D508:E508"/>
    <mergeCell ref="P508:T508"/>
    <mergeCell ref="D509:E509"/>
    <mergeCell ref="P509:T509"/>
    <mergeCell ref="P510:V510"/>
    <mergeCell ref="A510:O511"/>
    <mergeCell ref="P511:V511"/>
    <mergeCell ref="A512:Z512"/>
    <mergeCell ref="A513:Z513"/>
    <mergeCell ref="D514:E514"/>
    <mergeCell ref="P514:T514"/>
    <mergeCell ref="P515:V515"/>
    <mergeCell ref="A515:O516"/>
    <mergeCell ref="P516:V516"/>
    <mergeCell ref="A517:Z517"/>
    <mergeCell ref="D518:E518"/>
    <mergeCell ref="P518:T518"/>
    <mergeCell ref="P519:V519"/>
    <mergeCell ref="A519:O520"/>
    <mergeCell ref="P520:V520"/>
    <mergeCell ref="A521:Z521"/>
    <mergeCell ref="A522:Z522"/>
    <mergeCell ref="A523:Z523"/>
    <mergeCell ref="D524:E524"/>
    <mergeCell ref="P524:T524"/>
    <mergeCell ref="D525:E525"/>
    <mergeCell ref="P525:T525"/>
    <mergeCell ref="D526:E526"/>
    <mergeCell ref="P526:T526"/>
    <mergeCell ref="D527:E527"/>
    <mergeCell ref="P527:T527"/>
    <mergeCell ref="D528:E528"/>
    <mergeCell ref="P528:T528"/>
    <mergeCell ref="D529:E529"/>
    <mergeCell ref="P529:T529"/>
    <mergeCell ref="D530:E530"/>
    <mergeCell ref="P530:T530"/>
    <mergeCell ref="D531:E531"/>
    <mergeCell ref="P531:T531"/>
    <mergeCell ref="D532:E532"/>
    <mergeCell ref="P532:T532"/>
    <mergeCell ref="D533:E533"/>
    <mergeCell ref="P533:T533"/>
    <mergeCell ref="D534:E534"/>
    <mergeCell ref="P534:T53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D539:E539"/>
    <mergeCell ref="P539:T539"/>
    <mergeCell ref="P540:V540"/>
    <mergeCell ref="A540:O541"/>
    <mergeCell ref="P541:V541"/>
    <mergeCell ref="A542:Z542"/>
    <mergeCell ref="D543:E543"/>
    <mergeCell ref="P543:T543"/>
    <mergeCell ref="D544:E544"/>
    <mergeCell ref="P544:T54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55:E555"/>
    <mergeCell ref="P555:T555"/>
    <mergeCell ref="D556:E556"/>
    <mergeCell ref="P556:T556"/>
    <mergeCell ref="D557:E557"/>
    <mergeCell ref="P557:T557"/>
    <mergeCell ref="D558:E558"/>
    <mergeCell ref="P558:T558"/>
    <mergeCell ref="D559:E559"/>
    <mergeCell ref="P559:T559"/>
    <mergeCell ref="D560:E560"/>
    <mergeCell ref="P560:T560"/>
    <mergeCell ref="D561:E561"/>
    <mergeCell ref="P561:T561"/>
    <mergeCell ref="P562:V562"/>
    <mergeCell ref="A562:O563"/>
    <mergeCell ref="P563:V563"/>
    <mergeCell ref="A564:Z564"/>
    <mergeCell ref="D565:E565"/>
    <mergeCell ref="P565:T565"/>
    <mergeCell ref="D566:E566"/>
    <mergeCell ref="P566:T566"/>
    <mergeCell ref="D567:E567"/>
    <mergeCell ref="P567:T567"/>
    <mergeCell ref="P568:V568"/>
    <mergeCell ref="A568:O569"/>
    <mergeCell ref="P569:V569"/>
    <mergeCell ref="A570:Z570"/>
    <mergeCell ref="D571:E571"/>
    <mergeCell ref="P571:T571"/>
    <mergeCell ref="D572:E572"/>
    <mergeCell ref="P572:T572"/>
    <mergeCell ref="P573:V573"/>
    <mergeCell ref="A573:O574"/>
    <mergeCell ref="P574:V574"/>
    <mergeCell ref="A575:Z575"/>
    <mergeCell ref="A576:Z576"/>
    <mergeCell ref="A577:Z577"/>
    <mergeCell ref="D578:E578"/>
    <mergeCell ref="P578:T578"/>
    <mergeCell ref="P579:V579"/>
    <mergeCell ref="A579:O580"/>
    <mergeCell ref="P580:V580"/>
    <mergeCell ref="A581:Z581"/>
    <mergeCell ref="A582:Z582"/>
    <mergeCell ref="A583:Z583"/>
    <mergeCell ref="D584:E584"/>
    <mergeCell ref="P584:T584"/>
    <mergeCell ref="D585:E585"/>
    <mergeCell ref="P585:T585"/>
    <mergeCell ref="D586:E586"/>
    <mergeCell ref="P586:T586"/>
    <mergeCell ref="D587:E587"/>
    <mergeCell ref="P587:T587"/>
    <mergeCell ref="D588:E588"/>
    <mergeCell ref="P588:T588"/>
    <mergeCell ref="D589:E589"/>
    <mergeCell ref="P589:T589"/>
    <mergeCell ref="D590:E590"/>
    <mergeCell ref="P590:T590"/>
    <mergeCell ref="P591:V591"/>
    <mergeCell ref="A591:O592"/>
    <mergeCell ref="P592:V592"/>
    <mergeCell ref="A593:Z593"/>
    <mergeCell ref="D594:E594"/>
    <mergeCell ref="P594:T594"/>
    <mergeCell ref="D595:E595"/>
    <mergeCell ref="P595:T595"/>
    <mergeCell ref="D596:E596"/>
    <mergeCell ref="P596:T596"/>
    <mergeCell ref="D597:E597"/>
    <mergeCell ref="P597:T597"/>
    <mergeCell ref="P598:V598"/>
    <mergeCell ref="A598:O599"/>
    <mergeCell ref="P599:V599"/>
    <mergeCell ref="A600:Z600"/>
    <mergeCell ref="D601:E601"/>
    <mergeCell ref="P601:T601"/>
    <mergeCell ref="D602:E602"/>
    <mergeCell ref="P602:T602"/>
    <mergeCell ref="D603:E603"/>
    <mergeCell ref="P603:T603"/>
    <mergeCell ref="D604:E604"/>
    <mergeCell ref="P604:T604"/>
    <mergeCell ref="D605:E605"/>
    <mergeCell ref="P605:T605"/>
    <mergeCell ref="D606:E606"/>
    <mergeCell ref="P606:T606"/>
    <mergeCell ref="D607:E607"/>
    <mergeCell ref="P607:T607"/>
    <mergeCell ref="P608:V608"/>
    <mergeCell ref="A608:O609"/>
    <mergeCell ref="P609:V609"/>
    <mergeCell ref="A610:Z610"/>
    <mergeCell ref="D611:E611"/>
    <mergeCell ref="P611:T611"/>
    <mergeCell ref="D612:E612"/>
    <mergeCell ref="P612:T612"/>
    <mergeCell ref="D613:E613"/>
    <mergeCell ref="P613:T613"/>
    <mergeCell ref="D614:E614"/>
    <mergeCell ref="P614:T614"/>
    <mergeCell ref="D615:E615"/>
    <mergeCell ref="P615:T615"/>
    <mergeCell ref="D616:E616"/>
    <mergeCell ref="P616:T616"/>
    <mergeCell ref="D617:E617"/>
    <mergeCell ref="P617:T617"/>
    <mergeCell ref="D618:E618"/>
    <mergeCell ref="P618:T618"/>
    <mergeCell ref="P619:V619"/>
    <mergeCell ref="A619:O620"/>
    <mergeCell ref="P620:V620"/>
    <mergeCell ref="A621:Z621"/>
    <mergeCell ref="D622:E622"/>
    <mergeCell ref="P622:T622"/>
    <mergeCell ref="D623:E623"/>
    <mergeCell ref="P623:T623"/>
    <mergeCell ref="D624:E624"/>
    <mergeCell ref="P624:T624"/>
    <mergeCell ref="D625:E625"/>
    <mergeCell ref="P625:T625"/>
    <mergeCell ref="P626:V626"/>
    <mergeCell ref="A626:O627"/>
    <mergeCell ref="P627:V627"/>
    <mergeCell ref="A628:Z628"/>
    <mergeCell ref="A629:Z629"/>
    <mergeCell ref="D630:E630"/>
    <mergeCell ref="P630:T630"/>
    <mergeCell ref="D631:E631"/>
    <mergeCell ref="P631:T631"/>
    <mergeCell ref="P632:V632"/>
    <mergeCell ref="A632:O633"/>
    <mergeCell ref="P633:V633"/>
    <mergeCell ref="A634:Z634"/>
    <mergeCell ref="D635:E635"/>
    <mergeCell ref="P635:T635"/>
    <mergeCell ref="O655:O656"/>
    <mergeCell ref="P655:P656"/>
    <mergeCell ref="Q655:Q656"/>
    <mergeCell ref="R655:R656"/>
    <mergeCell ref="S655:S656"/>
    <mergeCell ref="T655:T656"/>
    <mergeCell ref="U655:U656"/>
    <mergeCell ref="P636:V636"/>
    <mergeCell ref="A636:O637"/>
    <mergeCell ref="P637:V637"/>
    <mergeCell ref="A638:Z638"/>
    <mergeCell ref="D639:E639"/>
    <mergeCell ref="P639:T639"/>
    <mergeCell ref="P640:V640"/>
    <mergeCell ref="A640:O641"/>
    <mergeCell ref="P641:V641"/>
    <mergeCell ref="A642:Z642"/>
    <mergeCell ref="D643:E643"/>
    <mergeCell ref="P643:T643"/>
    <mergeCell ref="D644:E644"/>
    <mergeCell ref="P644:T644"/>
    <mergeCell ref="P645:V645"/>
    <mergeCell ref="A645:O646"/>
    <mergeCell ref="P646:V646"/>
    <mergeCell ref="V655:V656"/>
    <mergeCell ref="W655:W656"/>
    <mergeCell ref="X655:X656"/>
    <mergeCell ref="Y655:Y656"/>
    <mergeCell ref="Z655:Z656"/>
    <mergeCell ref="AA655:AA656"/>
    <mergeCell ref="AB655:AB656"/>
    <mergeCell ref="AC655:AC656"/>
    <mergeCell ref="AD655:AD656"/>
    <mergeCell ref="AE655:AE656"/>
    <mergeCell ref="AF655:AF656"/>
    <mergeCell ref="AG655:AG656"/>
    <mergeCell ref="P647:V647"/>
    <mergeCell ref="A647:O652"/>
    <mergeCell ref="P648:V648"/>
    <mergeCell ref="P649:V649"/>
    <mergeCell ref="P650:V650"/>
    <mergeCell ref="P651:V651"/>
    <mergeCell ref="P652:V652"/>
    <mergeCell ref="C654:H654"/>
    <mergeCell ref="I654:W654"/>
    <mergeCell ref="X654:Y654"/>
    <mergeCell ref="Z654:AC654"/>
    <mergeCell ref="AF654:AG654"/>
    <mergeCell ref="A655:A656"/>
    <mergeCell ref="B655:B656"/>
    <mergeCell ref="C655:C656"/>
    <mergeCell ref="D655:D656"/>
    <mergeCell ref="E655:E656"/>
    <mergeCell ref="F655:F656"/>
    <mergeCell ref="G655:G656"/>
    <mergeCell ref="H655:H656"/>
    <mergeCell ref="I655:I656"/>
    <mergeCell ref="J655:J656"/>
    <mergeCell ref="K655:K656"/>
    <mergeCell ref="L655:L656"/>
    <mergeCell ref="M655:M656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19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9 X292 X110 X94" xr:uid="{00000000-0002-0000-0000-000011000000}">
      <formula1>IF(AK39&gt;0,OR(X39=0,AND(IF(X39-AK39&gt;=0,TRUE,FALSE),X39&gt;0,IF(X39/(H39*K39)=ROUND(X39/(H39*K39),0),TRUE,FALSE))),FALSE)</formula1>
    </dataValidation>
    <dataValidation type="custom" allowBlank="1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1 X419 X411 X408 X406 X348 X126 X100 X63 X56" xr:uid="{00000000-0002-0000-0000-000012000000}">
      <formula1>IF(AK51&gt;0,OR(X51=0,AND(IF(X51-AK51&gt;=0,TRUE,FALSE),X51&gt;0,IF(X51/(H51*J51)=ROUND(X51/(H51*J51),0),TRUE,FALSE))),FALSE)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1052</v>
      </c>
      <c r="H1" s="9"/>
    </row>
    <row r="3" spans="2:8" x14ac:dyDescent="0.2">
      <c r="B3" s="51" t="s">
        <v>1053</v>
      </c>
      <c r="C3" s="51" t="s">
        <v>45</v>
      </c>
      <c r="D3" s="51" t="s">
        <v>45</v>
      </c>
      <c r="E3" s="51" t="s">
        <v>45</v>
      </c>
    </row>
    <row r="4" spans="2:8" x14ac:dyDescent="0.2">
      <c r="B4" s="51" t="s">
        <v>1054</v>
      </c>
      <c r="C4" s="51" t="s">
        <v>45</v>
      </c>
      <c r="D4" s="51" t="s">
        <v>45</v>
      </c>
      <c r="E4" s="51" t="s">
        <v>45</v>
      </c>
    </row>
    <row r="6" spans="2:8" x14ac:dyDescent="0.2">
      <c r="B6" s="51" t="s">
        <v>75</v>
      </c>
      <c r="C6" s="51" t="s">
        <v>1055</v>
      </c>
      <c r="D6" s="51" t="s">
        <v>1056</v>
      </c>
      <c r="E6" s="51" t="s">
        <v>45</v>
      </c>
    </row>
    <row r="8" spans="2:8" x14ac:dyDescent="0.2">
      <c r="B8" s="51" t="s">
        <v>76</v>
      </c>
      <c r="C8" s="51" t="s">
        <v>1055</v>
      </c>
      <c r="D8" s="51" t="s">
        <v>45</v>
      </c>
      <c r="E8" s="51" t="s">
        <v>45</v>
      </c>
    </row>
    <row r="10" spans="2:8" x14ac:dyDescent="0.2">
      <c r="B10" s="51" t="s">
        <v>1057</v>
      </c>
      <c r="C10" s="51" t="s">
        <v>45</v>
      </c>
      <c r="D10" s="51" t="s">
        <v>45</v>
      </c>
      <c r="E10" s="51" t="s">
        <v>45</v>
      </c>
    </row>
    <row r="11" spans="2:8" x14ac:dyDescent="0.2">
      <c r="B11" s="51" t="s">
        <v>1058</v>
      </c>
      <c r="C11" s="51" t="s">
        <v>45</v>
      </c>
      <c r="D11" s="51" t="s">
        <v>45</v>
      </c>
      <c r="E11" s="51" t="s">
        <v>45</v>
      </c>
    </row>
    <row r="12" spans="2:8" x14ac:dyDescent="0.2">
      <c r="B12" s="51" t="s">
        <v>1059</v>
      </c>
      <c r="C12" s="51" t="s">
        <v>45</v>
      </c>
      <c r="D12" s="51" t="s">
        <v>45</v>
      </c>
      <c r="E12" s="51" t="s">
        <v>45</v>
      </c>
    </row>
    <row r="13" spans="2:8" x14ac:dyDescent="0.2">
      <c r="B13" s="51" t="s">
        <v>1060</v>
      </c>
      <c r="C13" s="51" t="s">
        <v>45</v>
      </c>
      <c r="D13" s="51" t="s">
        <v>45</v>
      </c>
      <c r="E13" s="51" t="s">
        <v>45</v>
      </c>
    </row>
    <row r="14" spans="2:8" x14ac:dyDescent="0.2">
      <c r="B14" s="51" t="s">
        <v>1061</v>
      </c>
      <c r="C14" s="51" t="s">
        <v>45</v>
      </c>
      <c r="D14" s="51" t="s">
        <v>45</v>
      </c>
      <c r="E14" s="51" t="s">
        <v>45</v>
      </c>
    </row>
    <row r="15" spans="2:8" x14ac:dyDescent="0.2">
      <c r="B15" s="51" t="s">
        <v>1062</v>
      </c>
      <c r="C15" s="51" t="s">
        <v>45</v>
      </c>
      <c r="D15" s="51" t="s">
        <v>45</v>
      </c>
      <c r="E15" s="51" t="s">
        <v>45</v>
      </c>
    </row>
    <row r="16" spans="2:8" x14ac:dyDescent="0.2">
      <c r="B16" s="51" t="s">
        <v>1063</v>
      </c>
      <c r="C16" s="51" t="s">
        <v>45</v>
      </c>
      <c r="D16" s="51" t="s">
        <v>45</v>
      </c>
      <c r="E16" s="51" t="s">
        <v>45</v>
      </c>
    </row>
    <row r="17" spans="2:5" x14ac:dyDescent="0.2">
      <c r="B17" s="51" t="s">
        <v>1064</v>
      </c>
      <c r="C17" s="51" t="s">
        <v>45</v>
      </c>
      <c r="D17" s="51" t="s">
        <v>45</v>
      </c>
      <c r="E17" s="51" t="s">
        <v>45</v>
      </c>
    </row>
    <row r="18" spans="2:5" x14ac:dyDescent="0.2">
      <c r="B18" s="51" t="s">
        <v>1065</v>
      </c>
      <c r="C18" s="51" t="s">
        <v>45</v>
      </c>
      <c r="D18" s="51" t="s">
        <v>45</v>
      </c>
      <c r="E18" s="51" t="s">
        <v>45</v>
      </c>
    </row>
    <row r="19" spans="2:5" x14ac:dyDescent="0.2">
      <c r="B19" s="51" t="s">
        <v>1066</v>
      </c>
      <c r="C19" s="51" t="s">
        <v>45</v>
      </c>
      <c r="D19" s="51" t="s">
        <v>45</v>
      </c>
      <c r="E19" s="51" t="s">
        <v>45</v>
      </c>
    </row>
    <row r="20" spans="2:5" x14ac:dyDescent="0.2">
      <c r="B20" s="51" t="s">
        <v>1067</v>
      </c>
      <c r="C20" s="51" t="s">
        <v>45</v>
      </c>
      <c r="D20" s="51" t="s">
        <v>45</v>
      </c>
      <c r="E20" s="51" t="s">
        <v>45</v>
      </c>
    </row>
  </sheetData>
  <sheetProtection algorithmName="SHA-512" hashValue="ZptdImQ8mF3e8Daw/n1Nhj18vQ40ol1CvTkD6Vnqsfc744HXFD8MnY1MXidJAnEwLKELE7sN9/Angt9mMV0/5Q==" saltValue="Xb5Dyfyt6Osfbg8aKk0rJ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1390</vt:i4>
      </vt:variant>
    </vt:vector>
  </HeadingPairs>
  <TitlesOfParts>
    <vt:vector size="139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ProductId315</vt:lpstr>
      <vt:lpstr>ProductId316</vt:lpstr>
      <vt:lpstr>ProductId317</vt:lpstr>
      <vt:lpstr>ProductId318</vt:lpstr>
      <vt:lpstr>ProductId319</vt:lpstr>
      <vt:lpstr>ProductId32</vt:lpstr>
      <vt:lpstr>ProductId320</vt:lpstr>
      <vt:lpstr>ProductId321</vt:lpstr>
      <vt:lpstr>ProductId322</vt:lpstr>
      <vt:lpstr>ProductId323</vt:lpstr>
      <vt:lpstr>ProductId324</vt:lpstr>
      <vt:lpstr>ProductId325</vt:lpstr>
      <vt:lpstr>ProductId326</vt:lpstr>
      <vt:lpstr>ProductId327</vt:lpstr>
      <vt:lpstr>ProductId328</vt:lpstr>
      <vt:lpstr>ProductId329</vt:lpstr>
      <vt:lpstr>ProductId33</vt:lpstr>
      <vt:lpstr>ProductId330</vt:lpstr>
      <vt:lpstr>ProductId331</vt:lpstr>
      <vt:lpstr>ProductId332</vt:lpstr>
      <vt:lpstr>ProductId333</vt:lpstr>
      <vt:lpstr>ProductId334</vt:lpstr>
      <vt:lpstr>ProductId335</vt:lpstr>
      <vt:lpstr>ProductId336</vt:lpstr>
      <vt:lpstr>ProductId337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SalesQty315</vt:lpstr>
      <vt:lpstr>SalesQty316</vt:lpstr>
      <vt:lpstr>SalesQty317</vt:lpstr>
      <vt:lpstr>SalesQty318</vt:lpstr>
      <vt:lpstr>SalesQty319</vt:lpstr>
      <vt:lpstr>SalesQty32</vt:lpstr>
      <vt:lpstr>SalesQty320</vt:lpstr>
      <vt:lpstr>SalesQty321</vt:lpstr>
      <vt:lpstr>SalesQty322</vt:lpstr>
      <vt:lpstr>SalesQty323</vt:lpstr>
      <vt:lpstr>SalesQty324</vt:lpstr>
      <vt:lpstr>SalesQty325</vt:lpstr>
      <vt:lpstr>SalesQty326</vt:lpstr>
      <vt:lpstr>SalesQty327</vt:lpstr>
      <vt:lpstr>SalesQty328</vt:lpstr>
      <vt:lpstr>SalesQty329</vt:lpstr>
      <vt:lpstr>SalesQty33</vt:lpstr>
      <vt:lpstr>SalesQty330</vt:lpstr>
      <vt:lpstr>SalesQty331</vt:lpstr>
      <vt:lpstr>SalesQty332</vt:lpstr>
      <vt:lpstr>SalesQty333</vt:lpstr>
      <vt:lpstr>SalesQty334</vt:lpstr>
      <vt:lpstr>SalesQty335</vt:lpstr>
      <vt:lpstr>SalesQty336</vt:lpstr>
      <vt:lpstr>SalesQty337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SalesRoundBox315</vt:lpstr>
      <vt:lpstr>SalesRoundBox316</vt:lpstr>
      <vt:lpstr>SalesRoundBox317</vt:lpstr>
      <vt:lpstr>SalesRoundBox318</vt:lpstr>
      <vt:lpstr>SalesRoundBox319</vt:lpstr>
      <vt:lpstr>SalesRoundBox32</vt:lpstr>
      <vt:lpstr>SalesRoundBox320</vt:lpstr>
      <vt:lpstr>SalesRoundBox321</vt:lpstr>
      <vt:lpstr>SalesRoundBox322</vt:lpstr>
      <vt:lpstr>SalesRoundBox323</vt:lpstr>
      <vt:lpstr>SalesRoundBox324</vt:lpstr>
      <vt:lpstr>SalesRoundBox325</vt:lpstr>
      <vt:lpstr>SalesRoundBox326</vt:lpstr>
      <vt:lpstr>SalesRoundBox327</vt:lpstr>
      <vt:lpstr>SalesRoundBox328</vt:lpstr>
      <vt:lpstr>SalesRoundBox329</vt:lpstr>
      <vt:lpstr>SalesRoundBox33</vt:lpstr>
      <vt:lpstr>SalesRoundBox330</vt:lpstr>
      <vt:lpstr>SalesRoundBox331</vt:lpstr>
      <vt:lpstr>SalesRoundBox332</vt:lpstr>
      <vt:lpstr>SalesRoundBox333</vt:lpstr>
      <vt:lpstr>SalesRoundBox334</vt:lpstr>
      <vt:lpstr>SalesRoundBox335</vt:lpstr>
      <vt:lpstr>SalesRoundBox336</vt:lpstr>
      <vt:lpstr>SalesRoundBox337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UnitOfMeasure315</vt:lpstr>
      <vt:lpstr>UnitOfMeasure316</vt:lpstr>
      <vt:lpstr>UnitOfMeasure317</vt:lpstr>
      <vt:lpstr>UnitOfMeasure318</vt:lpstr>
      <vt:lpstr>UnitOfMeasure319</vt:lpstr>
      <vt:lpstr>UnitOfMeasure32</vt:lpstr>
      <vt:lpstr>UnitOfMeasure320</vt:lpstr>
      <vt:lpstr>UnitOfMeasure321</vt:lpstr>
      <vt:lpstr>UnitOfMeasure322</vt:lpstr>
      <vt:lpstr>UnitOfMeasure323</vt:lpstr>
      <vt:lpstr>UnitOfMeasure324</vt:lpstr>
      <vt:lpstr>UnitOfMeasure325</vt:lpstr>
      <vt:lpstr>UnitOfMeasure326</vt:lpstr>
      <vt:lpstr>UnitOfMeasure327</vt:lpstr>
      <vt:lpstr>UnitOfMeasure328</vt:lpstr>
      <vt:lpstr>UnitOfMeasure329</vt:lpstr>
      <vt:lpstr>UnitOfMeasure33</vt:lpstr>
      <vt:lpstr>UnitOfMeasure330</vt:lpstr>
      <vt:lpstr>UnitOfMeasure331</vt:lpstr>
      <vt:lpstr>UnitOfMeasure332</vt:lpstr>
      <vt:lpstr>UnitOfMeasure333</vt:lpstr>
      <vt:lpstr>UnitOfMeasure334</vt:lpstr>
      <vt:lpstr>UnitOfMeasure335</vt:lpstr>
      <vt:lpstr>UnitOfMeasure336</vt:lpstr>
      <vt:lpstr>UnitOfMeasure337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2025-02-25T08:18:18Z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