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9,24 ПОКОМ ЗПФ филиалы\2 машина Бердянск_Донецк_Луганск\"/>
    </mc:Choice>
  </mc:AlternateContent>
  <xr:revisionPtr revIDLastSave="0" documentId="13_ncr:1_{8924741F-9717-49FE-A083-C5315D955C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1" l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69" i="1" s="1"/>
  <c r="Y249" i="1"/>
  <c r="Y270" i="1" s="1"/>
  <c r="Y247" i="1"/>
  <c r="X247" i="1"/>
  <c r="Z246" i="1"/>
  <c r="X246" i="1"/>
  <c r="BO245" i="1"/>
  <c r="BM245" i="1"/>
  <c r="Z245" i="1"/>
  <c r="Y245" i="1"/>
  <c r="P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Y246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Y197" i="1"/>
  <c r="X197" i="1"/>
  <c r="Z196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P164" i="1"/>
  <c r="X162" i="1"/>
  <c r="X161" i="1"/>
  <c r="BO160" i="1"/>
  <c r="BM160" i="1"/>
  <c r="Z160" i="1"/>
  <c r="Y160" i="1"/>
  <c r="BO159" i="1"/>
  <c r="BM159" i="1"/>
  <c r="Z159" i="1"/>
  <c r="Y159" i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54" i="1"/>
  <c r="X154" i="1"/>
  <c r="Z153" i="1"/>
  <c r="X153" i="1"/>
  <c r="BO152" i="1"/>
  <c r="BM152" i="1"/>
  <c r="Z152" i="1"/>
  <c r="Y152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X137" i="1"/>
  <c r="Y136" i="1"/>
  <c r="X136" i="1"/>
  <c r="BP135" i="1"/>
  <c r="BO135" i="1"/>
  <c r="BN135" i="1"/>
  <c r="BM135" i="1"/>
  <c r="Z135" i="1"/>
  <c r="Z136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P129" i="1"/>
  <c r="BP128" i="1"/>
  <c r="BO128" i="1"/>
  <c r="BN128" i="1"/>
  <c r="BM128" i="1"/>
  <c r="Z128" i="1"/>
  <c r="Z131" i="1" s="1"/>
  <c r="Y128" i="1"/>
  <c r="Y132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Z118" i="1" s="1"/>
  <c r="Y116" i="1"/>
  <c r="Y119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12" i="1" s="1"/>
  <c r="Y104" i="1"/>
  <c r="P104" i="1"/>
  <c r="BO103" i="1"/>
  <c r="BM103" i="1"/>
  <c r="Z103" i="1"/>
  <c r="Y103" i="1"/>
  <c r="Y112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P97" i="1"/>
  <c r="BO96" i="1"/>
  <c r="BM96" i="1"/>
  <c r="Z96" i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5" i="1" s="1"/>
  <c r="Y52" i="1"/>
  <c r="Y66" i="1" s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271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75" i="1" s="1"/>
  <c r="BO22" i="1"/>
  <c r="X273" i="1" s="1"/>
  <c r="BM22" i="1"/>
  <c r="X272" i="1" s="1"/>
  <c r="X274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75" i="1" s="1"/>
  <c r="Y40" i="1"/>
  <c r="Y49" i="1"/>
  <c r="Y65" i="1"/>
  <c r="Y72" i="1"/>
  <c r="Y77" i="1"/>
  <c r="Y82" i="1"/>
  <c r="Y93" i="1"/>
  <c r="Y100" i="1"/>
  <c r="Y113" i="1"/>
  <c r="Y118" i="1"/>
  <c r="BP159" i="1"/>
  <c r="BN159" i="1"/>
  <c r="BP160" i="1"/>
  <c r="BN160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3" i="1"/>
  <c r="BN55" i="1"/>
  <c r="BN57" i="1"/>
  <c r="BN59" i="1"/>
  <c r="BN61" i="1"/>
  <c r="BN63" i="1"/>
  <c r="BN70" i="1"/>
  <c r="BN75" i="1"/>
  <c r="BP75" i="1"/>
  <c r="BN80" i="1"/>
  <c r="BP80" i="1"/>
  <c r="BN87" i="1"/>
  <c r="BN89" i="1"/>
  <c r="BN91" i="1"/>
  <c r="BN96" i="1"/>
  <c r="BP96" i="1"/>
  <c r="BN98" i="1"/>
  <c r="BN103" i="1"/>
  <c r="BP103" i="1"/>
  <c r="BN105" i="1"/>
  <c r="BN107" i="1"/>
  <c r="BN109" i="1"/>
  <c r="BN111" i="1"/>
  <c r="BN116" i="1"/>
  <c r="BP116" i="1"/>
  <c r="Y125" i="1"/>
  <c r="BN123" i="1"/>
  <c r="Y124" i="1"/>
  <c r="BP129" i="1"/>
  <c r="BN129" i="1"/>
  <c r="Y131" i="1"/>
  <c r="Y143" i="1"/>
  <c r="BP140" i="1"/>
  <c r="BN140" i="1"/>
  <c r="Y142" i="1"/>
  <c r="Y153" i="1"/>
  <c r="BP152" i="1"/>
  <c r="BN152" i="1"/>
  <c r="Y161" i="1"/>
  <c r="Y162" i="1"/>
  <c r="Y167" i="1"/>
  <c r="BP164" i="1"/>
  <c r="BN164" i="1"/>
  <c r="Y166" i="1"/>
  <c r="BP172" i="1"/>
  <c r="BN172" i="1"/>
  <c r="Y174" i="1"/>
  <c r="BP184" i="1"/>
  <c r="BN184" i="1"/>
  <c r="Y186" i="1"/>
  <c r="BP191" i="1"/>
  <c r="BN191" i="1"/>
  <c r="BP193" i="1"/>
  <c r="BN193" i="1"/>
  <c r="BP195" i="1"/>
  <c r="BN195" i="1"/>
  <c r="Z204" i="1"/>
  <c r="Z276" i="1" s="1"/>
  <c r="Z210" i="1"/>
  <c r="Y217" i="1"/>
  <c r="Y224" i="1"/>
  <c r="BP221" i="1"/>
  <c r="BN221" i="1"/>
  <c r="Y223" i="1"/>
  <c r="Y231" i="1"/>
  <c r="BP228" i="1"/>
  <c r="BN228" i="1"/>
  <c r="BP229" i="1"/>
  <c r="BN229" i="1"/>
  <c r="BP230" i="1"/>
  <c r="BN230" i="1"/>
  <c r="Y241" i="1"/>
  <c r="BP245" i="1"/>
  <c r="BN245" i="1"/>
  <c r="Y273" i="1" l="1"/>
  <c r="Y272" i="1"/>
  <c r="Y274" i="1" s="1"/>
  <c r="Y271" i="1"/>
  <c r="A284" i="1"/>
  <c r="B284" i="1" l="1"/>
  <c r="C284" i="1"/>
</calcChain>
</file>

<file path=xl/sharedStrings.xml><?xml version="1.0" encoding="utf-8"?>
<sst xmlns="http://schemas.openxmlformats.org/spreadsheetml/2006/main" count="1317" uniqueCount="425">
  <si>
    <t xml:space="preserve">  БЛАНК ЗАКАЗА </t>
  </si>
  <si>
    <t>ЗПФ</t>
  </si>
  <si>
    <t>на отгрузку продукции с ООО Трейд-Сервис с</t>
  </si>
  <si>
    <t>09.09.2024</t>
  </si>
  <si>
    <t>бланк создан</t>
  </si>
  <si>
    <t>05.09.2024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</si>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</sst>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5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258" t="s">
        <v>0</v>
      </c>
      <c r="E1" s="222"/>
      <c r="F1" s="222"/>
      <c r="G1" s="12" t="s">
        <v>1</v>
      </c>
      <c r="H1" s="258" t="s">
        <v>2</v>
      </c>
      <c r="I1" s="222"/>
      <c r="J1" s="222"/>
      <c r="K1" s="222"/>
      <c r="L1" s="222"/>
      <c r="M1" s="222"/>
      <c r="N1" s="222"/>
      <c r="O1" s="222"/>
      <c r="P1" s="222"/>
      <c r="Q1" s="222"/>
      <c r="R1" s="221" t="s">
        <v>3</v>
      </c>
      <c r="S1" s="222"/>
      <c r="T1" s="2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7"/>
      <c r="R2" s="207"/>
      <c r="S2" s="207"/>
      <c r="T2" s="207"/>
      <c r="U2" s="207"/>
      <c r="V2" s="207"/>
      <c r="W2" s="207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7"/>
      <c r="Q3" s="207"/>
      <c r="R3" s="207"/>
      <c r="S3" s="207"/>
      <c r="T3" s="207"/>
      <c r="U3" s="207"/>
      <c r="V3" s="207"/>
      <c r="W3" s="207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293" t="s">
        <v>8</v>
      </c>
      <c r="B5" s="260"/>
      <c r="C5" s="261"/>
      <c r="D5" s="265"/>
      <c r="E5" s="266"/>
      <c r="F5" s="388" t="s">
        <v>9</v>
      </c>
      <c r="G5" s="261"/>
      <c r="H5" s="265"/>
      <c r="I5" s="357"/>
      <c r="J5" s="357"/>
      <c r="K5" s="357"/>
      <c r="L5" s="357"/>
      <c r="M5" s="266"/>
      <c r="N5" s="61"/>
      <c r="P5" s="24" t="s">
        <v>10</v>
      </c>
      <c r="Q5" s="396">
        <v>45544</v>
      </c>
      <c r="R5" s="292"/>
      <c r="T5" s="312" t="s">
        <v>11</v>
      </c>
      <c r="U5" s="227"/>
      <c r="V5" s="314" t="s">
        <v>12</v>
      </c>
      <c r="W5" s="292"/>
      <c r="AB5" s="51"/>
      <c r="AC5" s="51"/>
      <c r="AD5" s="51"/>
      <c r="AE5" s="51"/>
    </row>
    <row r="6" spans="1:32" s="190" customFormat="1" ht="24" customHeight="1" x14ac:dyDescent="0.2">
      <c r="A6" s="293" t="s">
        <v>13</v>
      </c>
      <c r="B6" s="260"/>
      <c r="C6" s="261"/>
      <c r="D6" s="359" t="s">
        <v>14</v>
      </c>
      <c r="E6" s="360"/>
      <c r="F6" s="360"/>
      <c r="G6" s="360"/>
      <c r="H6" s="360"/>
      <c r="I6" s="360"/>
      <c r="J6" s="360"/>
      <c r="K6" s="360"/>
      <c r="L6" s="360"/>
      <c r="M6" s="292"/>
      <c r="N6" s="62"/>
      <c r="P6" s="24" t="s">
        <v>15</v>
      </c>
      <c r="Q6" s="400" t="str">
        <f>IF(Q5=0," ",CHOOSE(WEEKDAY(Q5,2),"Понедельник","Вторник","Среда","Четверг","Пятница","Суббота","Воскресенье"))</f>
        <v>Понедельник</v>
      </c>
      <c r="R6" s="202"/>
      <c r="T6" s="318" t="s">
        <v>16</v>
      </c>
      <c r="U6" s="227"/>
      <c r="V6" s="346" t="s">
        <v>17</v>
      </c>
      <c r="W6" s="238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245" t="str">
        <f>IFERROR(VLOOKUP(DeliveryAddress,Table,3,0),1)</f>
        <v>1</v>
      </c>
      <c r="E7" s="246"/>
      <c r="F7" s="246"/>
      <c r="G7" s="246"/>
      <c r="H7" s="246"/>
      <c r="I7" s="246"/>
      <c r="J7" s="246"/>
      <c r="K7" s="246"/>
      <c r="L7" s="246"/>
      <c r="M7" s="247"/>
      <c r="N7" s="63"/>
      <c r="P7" s="24"/>
      <c r="Q7" s="42"/>
      <c r="R7" s="42"/>
      <c r="T7" s="207"/>
      <c r="U7" s="227"/>
      <c r="V7" s="347"/>
      <c r="W7" s="348"/>
      <c r="AB7" s="51"/>
      <c r="AC7" s="51"/>
      <c r="AD7" s="51"/>
      <c r="AE7" s="51"/>
    </row>
    <row r="8" spans="1:32" s="190" customFormat="1" ht="25.5" customHeight="1" x14ac:dyDescent="0.2">
      <c r="A8" s="407" t="s">
        <v>18</v>
      </c>
      <c r="B8" s="211"/>
      <c r="C8" s="212"/>
      <c r="D8" s="251" t="s">
        <v>19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20</v>
      </c>
      <c r="Q8" s="296">
        <v>0.41666666666666669</v>
      </c>
      <c r="R8" s="247"/>
      <c r="T8" s="207"/>
      <c r="U8" s="227"/>
      <c r="V8" s="347"/>
      <c r="W8" s="348"/>
      <c r="AB8" s="51"/>
      <c r="AC8" s="51"/>
      <c r="AD8" s="51"/>
      <c r="AE8" s="51"/>
    </row>
    <row r="9" spans="1:32" s="190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300"/>
      <c r="E9" s="209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209"/>
      <c r="N9" s="188"/>
      <c r="P9" s="26" t="s">
        <v>21</v>
      </c>
      <c r="Q9" s="289"/>
      <c r="R9" s="290"/>
      <c r="T9" s="207"/>
      <c r="U9" s="227"/>
      <c r="V9" s="349"/>
      <c r="W9" s="350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300"/>
      <c r="E10" s="209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39" t="str">
        <f>IFERROR(VLOOKUP($D$10,Proxy,2,FALSE),"")</f>
        <v/>
      </c>
      <c r="I10" s="207"/>
      <c r="J10" s="207"/>
      <c r="K10" s="207"/>
      <c r="L10" s="207"/>
      <c r="M10" s="207"/>
      <c r="N10" s="189"/>
      <c r="P10" s="26" t="s">
        <v>22</v>
      </c>
      <c r="Q10" s="319"/>
      <c r="R10" s="320"/>
      <c r="U10" s="24" t="s">
        <v>23</v>
      </c>
      <c r="V10" s="237" t="s">
        <v>24</v>
      </c>
      <c r="W10" s="238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1"/>
      <c r="R11" s="292"/>
      <c r="U11" s="24" t="s">
        <v>27</v>
      </c>
      <c r="V11" s="370" t="s">
        <v>28</v>
      </c>
      <c r="W11" s="290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311" t="s">
        <v>29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30</v>
      </c>
      <c r="Q12" s="296"/>
      <c r="R12" s="247"/>
      <c r="S12" s="23"/>
      <c r="U12" s="24"/>
      <c r="V12" s="222"/>
      <c r="W12" s="207"/>
      <c r="AB12" s="51"/>
      <c r="AC12" s="51"/>
      <c r="AD12" s="51"/>
      <c r="AE12" s="51"/>
    </row>
    <row r="13" spans="1:32" s="190" customFormat="1" ht="23.25" customHeight="1" x14ac:dyDescent="0.2">
      <c r="A13" s="311" t="s">
        <v>31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32</v>
      </c>
      <c r="Q13" s="370"/>
      <c r="R13" s="2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311" t="s">
        <v>33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27" t="s">
        <v>34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306" t="s">
        <v>35</v>
      </c>
      <c r="Q15" s="222"/>
      <c r="R15" s="222"/>
      <c r="S15" s="222"/>
      <c r="T15" s="2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2" t="s">
        <v>36</v>
      </c>
      <c r="B17" s="232" t="s">
        <v>37</v>
      </c>
      <c r="C17" s="298" t="s">
        <v>38</v>
      </c>
      <c r="D17" s="232" t="s">
        <v>39</v>
      </c>
      <c r="E17" s="277"/>
      <c r="F17" s="232" t="s">
        <v>40</v>
      </c>
      <c r="G17" s="232" t="s">
        <v>41</v>
      </c>
      <c r="H17" s="232" t="s">
        <v>42</v>
      </c>
      <c r="I17" s="232" t="s">
        <v>43</v>
      </c>
      <c r="J17" s="232" t="s">
        <v>44</v>
      </c>
      <c r="K17" s="232" t="s">
        <v>45</v>
      </c>
      <c r="L17" s="232" t="s">
        <v>46</v>
      </c>
      <c r="M17" s="232" t="s">
        <v>47</v>
      </c>
      <c r="N17" s="232" t="s">
        <v>48</v>
      </c>
      <c r="O17" s="232" t="s">
        <v>49</v>
      </c>
      <c r="P17" s="232" t="s">
        <v>50</v>
      </c>
      <c r="Q17" s="276"/>
      <c r="R17" s="276"/>
      <c r="S17" s="276"/>
      <c r="T17" s="277"/>
      <c r="U17" s="404" t="s">
        <v>51</v>
      </c>
      <c r="V17" s="261"/>
      <c r="W17" s="232" t="s">
        <v>52</v>
      </c>
      <c r="X17" s="232" t="s">
        <v>53</v>
      </c>
      <c r="Y17" s="405" t="s">
        <v>54</v>
      </c>
      <c r="Z17" s="232" t="s">
        <v>55</v>
      </c>
      <c r="AA17" s="337" t="s">
        <v>56</v>
      </c>
      <c r="AB17" s="337" t="s">
        <v>57</v>
      </c>
      <c r="AC17" s="337" t="s">
        <v>58</v>
      </c>
      <c r="AD17" s="337" t="s">
        <v>59</v>
      </c>
      <c r="AE17" s="383"/>
      <c r="AF17" s="384"/>
      <c r="AG17" s="287"/>
      <c r="BD17" s="331" t="s">
        <v>60</v>
      </c>
    </row>
    <row r="18" spans="1:68" ht="14.25" customHeight="1" x14ac:dyDescent="0.2">
      <c r="A18" s="233"/>
      <c r="B18" s="233"/>
      <c r="C18" s="233"/>
      <c r="D18" s="278"/>
      <c r="E18" s="280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78"/>
      <c r="Q18" s="279"/>
      <c r="R18" s="279"/>
      <c r="S18" s="279"/>
      <c r="T18" s="280"/>
      <c r="U18" s="191" t="s">
        <v>61</v>
      </c>
      <c r="V18" s="191" t="s">
        <v>62</v>
      </c>
      <c r="W18" s="233"/>
      <c r="X18" s="233"/>
      <c r="Y18" s="406"/>
      <c r="Z18" s="233"/>
      <c r="AA18" s="338"/>
      <c r="AB18" s="338"/>
      <c r="AC18" s="338"/>
      <c r="AD18" s="385"/>
      <c r="AE18" s="386"/>
      <c r="AF18" s="387"/>
      <c r="AG18" s="288"/>
      <c r="BD18" s="207"/>
    </row>
    <row r="19" spans="1:68" ht="27.75" customHeight="1" x14ac:dyDescent="0.2">
      <c r="A19" s="240" t="s">
        <v>63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48"/>
      <c r="AB19" s="48"/>
      <c r="AC19" s="48"/>
    </row>
    <row r="20" spans="1:68" ht="16.5" customHeight="1" x14ac:dyDescent="0.25">
      <c r="A20" s="206" t="s">
        <v>63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192"/>
      <c r="AB20" s="192"/>
      <c r="AC20" s="192"/>
    </row>
    <row r="21" spans="1:68" ht="14.25" customHeight="1" x14ac:dyDescent="0.25">
      <c r="A21" s="243" t="s">
        <v>64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193"/>
      <c r="AB21" s="193"/>
      <c r="AC21" s="193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1">
        <v>4607111035752</v>
      </c>
      <c r="E22" s="202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5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16"/>
      <c r="P23" s="210" t="s">
        <v>72</v>
      </c>
      <c r="Q23" s="211"/>
      <c r="R23" s="211"/>
      <c r="S23" s="211"/>
      <c r="T23" s="211"/>
      <c r="U23" s="211"/>
      <c r="V23" s="212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16"/>
      <c r="P24" s="210" t="s">
        <v>72</v>
      </c>
      <c r="Q24" s="211"/>
      <c r="R24" s="211"/>
      <c r="S24" s="211"/>
      <c r="T24" s="211"/>
      <c r="U24" s="211"/>
      <c r="V24" s="212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customHeight="1" x14ac:dyDescent="0.2">
      <c r="A25" s="240" t="s">
        <v>74</v>
      </c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48"/>
      <c r="AB25" s="48"/>
      <c r="AC25" s="48"/>
    </row>
    <row r="26" spans="1:68" ht="16.5" customHeight="1" x14ac:dyDescent="0.25">
      <c r="A26" s="206" t="s">
        <v>75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192"/>
      <c r="AB26" s="192"/>
      <c r="AC26" s="192"/>
    </row>
    <row r="27" spans="1:68" ht="14.25" customHeight="1" x14ac:dyDescent="0.25">
      <c r="A27" s="243" t="s">
        <v>76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193"/>
      <c r="AB27" s="193"/>
      <c r="AC27" s="193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1">
        <v>4607111036605</v>
      </c>
      <c r="E28" s="202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7">
        <v>0</v>
      </c>
      <c r="Y28" s="198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1">
        <v>4607111036520</v>
      </c>
      <c r="E29" s="202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1">
        <v>4607111036537</v>
      </c>
      <c r="E30" s="202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7">
        <v>56</v>
      </c>
      <c r="Y30" s="198">
        <f>IFERROR(IF(X30="","",X30),"")</f>
        <v>56</v>
      </c>
      <c r="Z30" s="36">
        <f>IFERROR(IF(X30="","",X30*0.00936),"")</f>
        <v>0.52415999999999996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0.44444444444444442</v>
      </c>
      <c r="BP30" s="67">
        <f>IFERROR(Y30/J30,"0")</f>
        <v>0.44444444444444442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1">
        <v>4607111036599</v>
      </c>
      <c r="E31" s="202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5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16"/>
      <c r="P32" s="210" t="s">
        <v>72</v>
      </c>
      <c r="Q32" s="211"/>
      <c r="R32" s="211"/>
      <c r="S32" s="211"/>
      <c r="T32" s="211"/>
      <c r="U32" s="211"/>
      <c r="V32" s="212"/>
      <c r="W32" s="37" t="s">
        <v>70</v>
      </c>
      <c r="X32" s="199">
        <f>IFERROR(SUM(X28:X31),"0")</f>
        <v>56</v>
      </c>
      <c r="Y32" s="199">
        <f>IFERROR(SUM(Y28:Y31),"0")</f>
        <v>56</v>
      </c>
      <c r="Z32" s="199">
        <f>IFERROR(IF(Z28="",0,Z28),"0")+IFERROR(IF(Z29="",0,Z29),"0")+IFERROR(IF(Z30="",0,Z30),"0")+IFERROR(IF(Z31="",0,Z31),"0")</f>
        <v>0.52415999999999996</v>
      </c>
      <c r="AA32" s="200"/>
      <c r="AB32" s="200"/>
      <c r="AC32" s="200"/>
    </row>
    <row r="33" spans="1:68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16"/>
      <c r="P33" s="210" t="s">
        <v>72</v>
      </c>
      <c r="Q33" s="211"/>
      <c r="R33" s="211"/>
      <c r="S33" s="211"/>
      <c r="T33" s="211"/>
      <c r="U33" s="211"/>
      <c r="V33" s="212"/>
      <c r="W33" s="37" t="s">
        <v>73</v>
      </c>
      <c r="X33" s="199">
        <f>IFERROR(SUMPRODUCT(X28:X31*H28:H31),"0")</f>
        <v>84</v>
      </c>
      <c r="Y33" s="199">
        <f>IFERROR(SUMPRODUCT(Y28:Y31*H28:H31),"0")</f>
        <v>84</v>
      </c>
      <c r="Z33" s="37"/>
      <c r="AA33" s="200"/>
      <c r="AB33" s="200"/>
      <c r="AC33" s="200"/>
    </row>
    <row r="34" spans="1:68" ht="16.5" customHeight="1" x14ac:dyDescent="0.25">
      <c r="A34" s="206" t="s">
        <v>87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192"/>
      <c r="AB34" s="192"/>
      <c r="AC34" s="192"/>
    </row>
    <row r="35" spans="1:68" ht="14.25" customHeight="1" x14ac:dyDescent="0.25">
      <c r="A35" s="243" t="s">
        <v>64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193"/>
      <c r="AB35" s="193"/>
      <c r="AC35" s="193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1">
        <v>4607111036285</v>
      </c>
      <c r="E36" s="202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1">
        <v>4607111036308</v>
      </c>
      <c r="E37" s="202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0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1">
        <v>4607111036292</v>
      </c>
      <c r="E38" s="202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7">
        <v>48</v>
      </c>
      <c r="Y38" s="198">
        <f>IFERROR(IF(X38="","",X38),"")</f>
        <v>48</v>
      </c>
      <c r="Z38" s="36">
        <f>IFERROR(IF(X38="","",X38*0.0155),"")</f>
        <v>0.74399999999999999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215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16"/>
      <c r="P39" s="210" t="s">
        <v>72</v>
      </c>
      <c r="Q39" s="211"/>
      <c r="R39" s="211"/>
      <c r="S39" s="211"/>
      <c r="T39" s="211"/>
      <c r="U39" s="211"/>
      <c r="V39" s="212"/>
      <c r="W39" s="37" t="s">
        <v>70</v>
      </c>
      <c r="X39" s="199">
        <f>IFERROR(SUM(X36:X38),"0")</f>
        <v>48</v>
      </c>
      <c r="Y39" s="199">
        <f>IFERROR(SUM(Y36:Y38),"0")</f>
        <v>48</v>
      </c>
      <c r="Z39" s="199">
        <f>IFERROR(IF(Z36="",0,Z36),"0")+IFERROR(IF(Z37="",0,Z37),"0")+IFERROR(IF(Z38="",0,Z38),"0")</f>
        <v>0.74399999999999999</v>
      </c>
      <c r="AA39" s="200"/>
      <c r="AB39" s="200"/>
      <c r="AC39" s="200"/>
    </row>
    <row r="40" spans="1:68" x14ac:dyDescent="0.2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16"/>
      <c r="P40" s="210" t="s">
        <v>72</v>
      </c>
      <c r="Q40" s="211"/>
      <c r="R40" s="211"/>
      <c r="S40" s="211"/>
      <c r="T40" s="211"/>
      <c r="U40" s="211"/>
      <c r="V40" s="212"/>
      <c r="W40" s="37" t="s">
        <v>73</v>
      </c>
      <c r="X40" s="199">
        <f>IFERROR(SUMPRODUCT(X36:X38*H36:H38),"0")</f>
        <v>288</v>
      </c>
      <c r="Y40" s="199">
        <f>IFERROR(SUMPRODUCT(Y36:Y38*H36:H38),"0")</f>
        <v>288</v>
      </c>
      <c r="Z40" s="37"/>
      <c r="AA40" s="200"/>
      <c r="AB40" s="200"/>
      <c r="AC40" s="200"/>
    </row>
    <row r="41" spans="1:68" ht="16.5" customHeight="1" x14ac:dyDescent="0.25">
      <c r="A41" s="206" t="s">
        <v>95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192"/>
      <c r="AB41" s="192"/>
      <c r="AC41" s="192"/>
    </row>
    <row r="42" spans="1:68" ht="14.25" customHeight="1" x14ac:dyDescent="0.25">
      <c r="A42" s="243" t="s">
        <v>96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193"/>
      <c r="AB42" s="193"/>
      <c r="AC42" s="193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1">
        <v>4607111038951</v>
      </c>
      <c r="E43" s="202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1">
        <v>4607111037596</v>
      </c>
      <c r="E44" s="202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1">
        <v>4607111037053</v>
      </c>
      <c r="E45" s="202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7">
        <v>0</v>
      </c>
      <c r="Y45" s="198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1">
        <v>4607111037060</v>
      </c>
      <c r="E46" s="202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7">
        <v>0</v>
      </c>
      <c r="Y46" s="198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1">
        <v>4607111038968</v>
      </c>
      <c r="E47" s="202"/>
      <c r="F47" s="196">
        <v>0.2</v>
      </c>
      <c r="G47" s="32">
        <v>6</v>
      </c>
      <c r="H47" s="196">
        <v>1.2</v>
      </c>
      <c r="I47" s="196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4"/>
      <c r="R47" s="204"/>
      <c r="S47" s="204"/>
      <c r="T47" s="205"/>
      <c r="U47" s="34"/>
      <c r="V47" s="34"/>
      <c r="W47" s="35" t="s">
        <v>70</v>
      </c>
      <c r="X47" s="197">
        <v>0</v>
      </c>
      <c r="Y47" s="198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5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16"/>
      <c r="P48" s="210" t="s">
        <v>72</v>
      </c>
      <c r="Q48" s="211"/>
      <c r="R48" s="211"/>
      <c r="S48" s="211"/>
      <c r="T48" s="211"/>
      <c r="U48" s="211"/>
      <c r="V48" s="212"/>
      <c r="W48" s="37" t="s">
        <v>70</v>
      </c>
      <c r="X48" s="199">
        <f>IFERROR(SUM(X43:X47),"0")</f>
        <v>0</v>
      </c>
      <c r="Y48" s="199">
        <f>IFERROR(SUM(Y43:Y47),"0")</f>
        <v>0</v>
      </c>
      <c r="Z48" s="199">
        <f>IFERROR(IF(Z43="",0,Z43),"0")+IFERROR(IF(Z44="",0,Z44),"0")+IFERROR(IF(Z45="",0,Z45),"0")+IFERROR(IF(Z46="",0,Z46),"0")+IFERROR(IF(Z47="",0,Z47),"0")</f>
        <v>0</v>
      </c>
      <c r="AA48" s="200"/>
      <c r="AB48" s="200"/>
      <c r="AC48" s="200"/>
    </row>
    <row r="49" spans="1:68" x14ac:dyDescent="0.2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16"/>
      <c r="P49" s="210" t="s">
        <v>72</v>
      </c>
      <c r="Q49" s="211"/>
      <c r="R49" s="211"/>
      <c r="S49" s="211"/>
      <c r="T49" s="211"/>
      <c r="U49" s="211"/>
      <c r="V49" s="212"/>
      <c r="W49" s="37" t="s">
        <v>73</v>
      </c>
      <c r="X49" s="199">
        <f>IFERROR(SUMPRODUCT(X43:X47*H43:H47),"0")</f>
        <v>0</v>
      </c>
      <c r="Y49" s="199">
        <f>IFERROR(SUMPRODUCT(Y43:Y47*H43:H47),"0")</f>
        <v>0</v>
      </c>
      <c r="Z49" s="37"/>
      <c r="AA49" s="200"/>
      <c r="AB49" s="200"/>
      <c r="AC49" s="200"/>
    </row>
    <row r="50" spans="1:68" ht="16.5" customHeight="1" x14ac:dyDescent="0.25">
      <c r="A50" s="206" t="s">
        <v>108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192"/>
      <c r="AB50" s="192"/>
      <c r="AC50" s="192"/>
    </row>
    <row r="51" spans="1:68" ht="14.25" customHeight="1" x14ac:dyDescent="0.25">
      <c r="A51" s="243" t="s">
        <v>64</v>
      </c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193"/>
      <c r="AB51" s="193"/>
      <c r="AC51" s="193"/>
    </row>
    <row r="52" spans="1:68" ht="27" customHeight="1" x14ac:dyDescent="0.25">
      <c r="A52" s="54" t="s">
        <v>109</v>
      </c>
      <c r="B52" s="54" t="s">
        <v>110</v>
      </c>
      <c r="C52" s="31">
        <v>4301071045</v>
      </c>
      <c r="D52" s="201">
        <v>4607111039392</v>
      </c>
      <c r="E52" s="202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6" t="s">
        <v>111</v>
      </c>
      <c r="Q52" s="204"/>
      <c r="R52" s="204"/>
      <c r="S52" s="204"/>
      <c r="T52" s="205"/>
      <c r="U52" s="34"/>
      <c r="V52" s="34"/>
      <c r="W52" s="35" t="s">
        <v>70</v>
      </c>
      <c r="X52" s="197">
        <v>0</v>
      </c>
      <c r="Y52" s="198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4301070989</v>
      </c>
      <c r="D53" s="201">
        <v>4607111037190</v>
      </c>
      <c r="E53" s="202"/>
      <c r="F53" s="196">
        <v>0.43</v>
      </c>
      <c r="G53" s="32">
        <v>16</v>
      </c>
      <c r="H53" s="196">
        <v>6.88</v>
      </c>
      <c r="I53" s="196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4301071032</v>
      </c>
      <c r="D54" s="201">
        <v>4607111038999</v>
      </c>
      <c r="E54" s="202"/>
      <c r="F54" s="196">
        <v>0.4</v>
      </c>
      <c r="G54" s="32">
        <v>16</v>
      </c>
      <c r="H54" s="196">
        <v>6.4</v>
      </c>
      <c r="I54" s="196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4301070972</v>
      </c>
      <c r="D55" s="201">
        <v>4607111037183</v>
      </c>
      <c r="E55" s="202"/>
      <c r="F55" s="196">
        <v>0.9</v>
      </c>
      <c r="G55" s="32">
        <v>8</v>
      </c>
      <c r="H55" s="196">
        <v>7.2</v>
      </c>
      <c r="I55" s="196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4301071044</v>
      </c>
      <c r="D56" s="201">
        <v>4607111039385</v>
      </c>
      <c r="E56" s="202"/>
      <c r="F56" s="196">
        <v>0.7</v>
      </c>
      <c r="G56" s="32">
        <v>10</v>
      </c>
      <c r="H56" s="196">
        <v>7</v>
      </c>
      <c r="I56" s="196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4301070970</v>
      </c>
      <c r="D57" s="201">
        <v>4607111037091</v>
      </c>
      <c r="E57" s="202"/>
      <c r="F57" s="196">
        <v>0.43</v>
      </c>
      <c r="G57" s="32">
        <v>16</v>
      </c>
      <c r="H57" s="196">
        <v>6.88</v>
      </c>
      <c r="I57" s="196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1">
        <v>4607111036902</v>
      </c>
      <c r="E58" s="202"/>
      <c r="F58" s="196">
        <v>0.9</v>
      </c>
      <c r="G58" s="32">
        <v>8</v>
      </c>
      <c r="H58" s="196">
        <v>7.2</v>
      </c>
      <c r="I58" s="196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7">
        <v>48</v>
      </c>
      <c r="Y58" s="198">
        <f t="shared" si="0"/>
        <v>48</v>
      </c>
      <c r="Z58" s="36">
        <f t="shared" si="1"/>
        <v>0.74399999999999999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356.64</v>
      </c>
      <c r="BN58" s="67">
        <f t="shared" si="3"/>
        <v>356.64</v>
      </c>
      <c r="BO58" s="67">
        <f t="shared" si="4"/>
        <v>0.5714285714285714</v>
      </c>
      <c r="BP58" s="67">
        <f t="shared" si="5"/>
        <v>0.5714285714285714</v>
      </c>
    </row>
    <row r="59" spans="1:68" ht="27" customHeight="1" x14ac:dyDescent="0.25">
      <c r="A59" s="54" t="s">
        <v>125</v>
      </c>
      <c r="B59" s="54" t="s">
        <v>126</v>
      </c>
      <c r="C59" s="31">
        <v>4301071031</v>
      </c>
      <c r="D59" s="201">
        <v>4607111038982</v>
      </c>
      <c r="E59" s="202"/>
      <c r="F59" s="196">
        <v>0.7</v>
      </c>
      <c r="G59" s="32">
        <v>10</v>
      </c>
      <c r="H59" s="196">
        <v>7</v>
      </c>
      <c r="I59" s="196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4301070969</v>
      </c>
      <c r="D60" s="201">
        <v>4607111036858</v>
      </c>
      <c r="E60" s="202"/>
      <c r="F60" s="196">
        <v>0.43</v>
      </c>
      <c r="G60" s="32">
        <v>16</v>
      </c>
      <c r="H60" s="196">
        <v>6.88</v>
      </c>
      <c r="I60" s="196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4301071046</v>
      </c>
      <c r="D61" s="201">
        <v>4607111039354</v>
      </c>
      <c r="E61" s="202"/>
      <c r="F61" s="196">
        <v>0.4</v>
      </c>
      <c r="G61" s="32">
        <v>16</v>
      </c>
      <c r="H61" s="196">
        <v>6.4</v>
      </c>
      <c r="I61" s="196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4301070968</v>
      </c>
      <c r="D62" s="201">
        <v>4607111036889</v>
      </c>
      <c r="E62" s="202"/>
      <c r="F62" s="196">
        <v>0.9</v>
      </c>
      <c r="G62" s="32">
        <v>8</v>
      </c>
      <c r="H62" s="196">
        <v>7.2</v>
      </c>
      <c r="I62" s="196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4301071047</v>
      </c>
      <c r="D63" s="201">
        <v>4607111039330</v>
      </c>
      <c r="E63" s="202"/>
      <c r="F63" s="196">
        <v>0.7</v>
      </c>
      <c r="G63" s="32">
        <v>10</v>
      </c>
      <c r="H63" s="196">
        <v>7</v>
      </c>
      <c r="I63" s="196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7">
        <v>0</v>
      </c>
      <c r="Y63" s="198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customHeight="1" x14ac:dyDescent="0.25">
      <c r="A64" s="54" t="s">
        <v>135</v>
      </c>
      <c r="B64" s="54" t="s">
        <v>136</v>
      </c>
      <c r="C64" s="31">
        <v>4301070947</v>
      </c>
      <c r="D64" s="201">
        <v>4607111037510</v>
      </c>
      <c r="E64" s="202"/>
      <c r="F64" s="196">
        <v>0.8</v>
      </c>
      <c r="G64" s="32">
        <v>8</v>
      </c>
      <c r="H64" s="196">
        <v>6.4</v>
      </c>
      <c r="I64" s="196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7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04"/>
      <c r="R64" s="204"/>
      <c r="S64" s="204"/>
      <c r="T64" s="205"/>
      <c r="U64" s="34"/>
      <c r="V64" s="34"/>
      <c r="W64" s="35" t="s">
        <v>70</v>
      </c>
      <c r="X64" s="197">
        <v>0</v>
      </c>
      <c r="Y64" s="198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16"/>
      <c r="P65" s="210" t="s">
        <v>72</v>
      </c>
      <c r="Q65" s="211"/>
      <c r="R65" s="211"/>
      <c r="S65" s="211"/>
      <c r="T65" s="211"/>
      <c r="U65" s="211"/>
      <c r="V65" s="212"/>
      <c r="W65" s="37" t="s">
        <v>70</v>
      </c>
      <c r="X65" s="199">
        <f>IFERROR(SUM(X52:X64),"0")</f>
        <v>48</v>
      </c>
      <c r="Y65" s="199">
        <f>IFERROR(SUM(Y52:Y64),"0")</f>
        <v>48</v>
      </c>
      <c r="Z65" s="199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0.74399999999999999</v>
      </c>
      <c r="AA65" s="200"/>
      <c r="AB65" s="200"/>
      <c r="AC65" s="200"/>
    </row>
    <row r="66" spans="1:68" x14ac:dyDescent="0.2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16"/>
      <c r="P66" s="210" t="s">
        <v>72</v>
      </c>
      <c r="Q66" s="211"/>
      <c r="R66" s="211"/>
      <c r="S66" s="211"/>
      <c r="T66" s="211"/>
      <c r="U66" s="211"/>
      <c r="V66" s="212"/>
      <c r="W66" s="37" t="s">
        <v>73</v>
      </c>
      <c r="X66" s="199">
        <f>IFERROR(SUMPRODUCT(X52:X64*H52:H64),"0")</f>
        <v>345.6</v>
      </c>
      <c r="Y66" s="199">
        <f>IFERROR(SUMPRODUCT(Y52:Y64*H52:H64),"0")</f>
        <v>345.6</v>
      </c>
      <c r="Z66" s="37"/>
      <c r="AA66" s="200"/>
      <c r="AB66" s="200"/>
      <c r="AC66" s="200"/>
    </row>
    <row r="67" spans="1:68" ht="16.5" customHeight="1" x14ac:dyDescent="0.25">
      <c r="A67" s="206" t="s">
        <v>137</v>
      </c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192"/>
      <c r="AB67" s="192"/>
      <c r="AC67" s="192"/>
    </row>
    <row r="68" spans="1:68" ht="14.25" customHeight="1" x14ac:dyDescent="0.25">
      <c r="A68" s="243" t="s">
        <v>64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193"/>
      <c r="AB68" s="193"/>
      <c r="AC68" s="193"/>
    </row>
    <row r="69" spans="1:68" ht="27" customHeight="1" x14ac:dyDescent="0.25">
      <c r="A69" s="54" t="s">
        <v>138</v>
      </c>
      <c r="B69" s="54" t="s">
        <v>139</v>
      </c>
      <c r="C69" s="31">
        <v>4301070977</v>
      </c>
      <c r="D69" s="201">
        <v>4607111037411</v>
      </c>
      <c r="E69" s="202"/>
      <c r="F69" s="196">
        <v>2.7</v>
      </c>
      <c r="G69" s="32">
        <v>1</v>
      </c>
      <c r="H69" s="196">
        <v>2.7</v>
      </c>
      <c r="I69" s="196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04"/>
      <c r="R69" s="204"/>
      <c r="S69" s="204"/>
      <c r="T69" s="205"/>
      <c r="U69" s="34"/>
      <c r="V69" s="34"/>
      <c r="W69" s="35" t="s">
        <v>70</v>
      </c>
      <c r="X69" s="197">
        <v>0</v>
      </c>
      <c r="Y69" s="198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4301070981</v>
      </c>
      <c r="D70" s="201">
        <v>4607111036728</v>
      </c>
      <c r="E70" s="202"/>
      <c r="F70" s="196">
        <v>5</v>
      </c>
      <c r="G70" s="32">
        <v>1</v>
      </c>
      <c r="H70" s="196">
        <v>5</v>
      </c>
      <c r="I70" s="196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04"/>
      <c r="R70" s="204"/>
      <c r="S70" s="204"/>
      <c r="T70" s="205"/>
      <c r="U70" s="34"/>
      <c r="V70" s="34"/>
      <c r="W70" s="35" t="s">
        <v>70</v>
      </c>
      <c r="X70" s="197">
        <v>108</v>
      </c>
      <c r="Y70" s="198">
        <f>IFERROR(IF(X70="","",X70),"")</f>
        <v>108</v>
      </c>
      <c r="Z70" s="36">
        <f>IFERROR(IF(X70="","",X70*0.00866),"")</f>
        <v>0.93527999999999989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563.02559999999994</v>
      </c>
      <c r="BN70" s="67">
        <f>IFERROR(Y70*I70,"0")</f>
        <v>563.02559999999994</v>
      </c>
      <c r="BO70" s="67">
        <f>IFERROR(X70/J70,"0")</f>
        <v>0.75</v>
      </c>
      <c r="BP70" s="67">
        <f>IFERROR(Y70/J70,"0")</f>
        <v>0.75</v>
      </c>
    </row>
    <row r="71" spans="1:68" x14ac:dyDescent="0.2">
      <c r="A71" s="21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16"/>
      <c r="P71" s="210" t="s">
        <v>72</v>
      </c>
      <c r="Q71" s="211"/>
      <c r="R71" s="211"/>
      <c r="S71" s="211"/>
      <c r="T71" s="211"/>
      <c r="U71" s="211"/>
      <c r="V71" s="212"/>
      <c r="W71" s="37" t="s">
        <v>70</v>
      </c>
      <c r="X71" s="199">
        <f>IFERROR(SUM(X69:X70),"0")</f>
        <v>108</v>
      </c>
      <c r="Y71" s="199">
        <f>IFERROR(SUM(Y69:Y70),"0")</f>
        <v>108</v>
      </c>
      <c r="Z71" s="199">
        <f>IFERROR(IF(Z69="",0,Z69),"0")+IFERROR(IF(Z70="",0,Z70),"0")</f>
        <v>0.93527999999999989</v>
      </c>
      <c r="AA71" s="200"/>
      <c r="AB71" s="200"/>
      <c r="AC71" s="200"/>
    </row>
    <row r="72" spans="1:68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16"/>
      <c r="P72" s="210" t="s">
        <v>72</v>
      </c>
      <c r="Q72" s="211"/>
      <c r="R72" s="211"/>
      <c r="S72" s="211"/>
      <c r="T72" s="211"/>
      <c r="U72" s="211"/>
      <c r="V72" s="212"/>
      <c r="W72" s="37" t="s">
        <v>73</v>
      </c>
      <c r="X72" s="199">
        <f>IFERROR(SUMPRODUCT(X69:X70*H69:H70),"0")</f>
        <v>540</v>
      </c>
      <c r="Y72" s="199">
        <f>IFERROR(SUMPRODUCT(Y69:Y70*H69:H70),"0")</f>
        <v>540</v>
      </c>
      <c r="Z72" s="37"/>
      <c r="AA72" s="200"/>
      <c r="AB72" s="200"/>
      <c r="AC72" s="200"/>
    </row>
    <row r="73" spans="1:68" ht="16.5" customHeight="1" x14ac:dyDescent="0.25">
      <c r="A73" s="206" t="s">
        <v>143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192"/>
      <c r="AB73" s="192"/>
      <c r="AC73" s="192"/>
    </row>
    <row r="74" spans="1:68" ht="14.25" customHeight="1" x14ac:dyDescent="0.25">
      <c r="A74" s="243" t="s">
        <v>144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193"/>
      <c r="AB74" s="193"/>
      <c r="AC74" s="193"/>
    </row>
    <row r="75" spans="1:68" ht="27" customHeight="1" x14ac:dyDescent="0.25">
      <c r="A75" s="54" t="s">
        <v>145</v>
      </c>
      <c r="B75" s="54" t="s">
        <v>146</v>
      </c>
      <c r="C75" s="31">
        <v>4301135271</v>
      </c>
      <c r="D75" s="201">
        <v>4607111033659</v>
      </c>
      <c r="E75" s="202"/>
      <c r="F75" s="196">
        <v>0.3</v>
      </c>
      <c r="G75" s="32">
        <v>12</v>
      </c>
      <c r="H75" s="196">
        <v>3.6</v>
      </c>
      <c r="I75" s="196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9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04"/>
      <c r="R75" s="204"/>
      <c r="S75" s="204"/>
      <c r="T75" s="205"/>
      <c r="U75" s="34"/>
      <c r="V75" s="34"/>
      <c r="W75" s="35" t="s">
        <v>70</v>
      </c>
      <c r="X75" s="197">
        <v>0</v>
      </c>
      <c r="Y75" s="198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15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16"/>
      <c r="P76" s="210" t="s">
        <v>72</v>
      </c>
      <c r="Q76" s="211"/>
      <c r="R76" s="211"/>
      <c r="S76" s="211"/>
      <c r="T76" s="211"/>
      <c r="U76" s="211"/>
      <c r="V76" s="212"/>
      <c r="W76" s="37" t="s">
        <v>70</v>
      </c>
      <c r="X76" s="199">
        <f>IFERROR(SUM(X75:X75),"0")</f>
        <v>0</v>
      </c>
      <c r="Y76" s="199">
        <f>IFERROR(SUM(Y75:Y75),"0")</f>
        <v>0</v>
      </c>
      <c r="Z76" s="199">
        <f>IFERROR(IF(Z75="",0,Z75),"0")</f>
        <v>0</v>
      </c>
      <c r="AA76" s="200"/>
      <c r="AB76" s="200"/>
      <c r="AC76" s="200"/>
    </row>
    <row r="77" spans="1:68" x14ac:dyDescent="0.2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16"/>
      <c r="P77" s="210" t="s">
        <v>72</v>
      </c>
      <c r="Q77" s="211"/>
      <c r="R77" s="211"/>
      <c r="S77" s="211"/>
      <c r="T77" s="211"/>
      <c r="U77" s="211"/>
      <c r="V77" s="212"/>
      <c r="W77" s="37" t="s">
        <v>73</v>
      </c>
      <c r="X77" s="199">
        <f>IFERROR(SUMPRODUCT(X75:X75*H75:H75),"0")</f>
        <v>0</v>
      </c>
      <c r="Y77" s="199">
        <f>IFERROR(SUMPRODUCT(Y75:Y75*H75:H75),"0")</f>
        <v>0</v>
      </c>
      <c r="Z77" s="37"/>
      <c r="AA77" s="200"/>
      <c r="AB77" s="200"/>
      <c r="AC77" s="200"/>
    </row>
    <row r="78" spans="1:68" ht="16.5" customHeight="1" x14ac:dyDescent="0.25">
      <c r="A78" s="206" t="s">
        <v>147</v>
      </c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192"/>
      <c r="AB78" s="192"/>
      <c r="AC78" s="192"/>
    </row>
    <row r="79" spans="1:68" ht="14.25" customHeight="1" x14ac:dyDescent="0.25">
      <c r="A79" s="243" t="s">
        <v>148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193"/>
      <c r="AB79" s="193"/>
      <c r="AC79" s="193"/>
    </row>
    <row r="80" spans="1:68" ht="27" customHeight="1" x14ac:dyDescent="0.25">
      <c r="A80" s="54" t="s">
        <v>149</v>
      </c>
      <c r="B80" s="54" t="s">
        <v>150</v>
      </c>
      <c r="C80" s="31">
        <v>4301131021</v>
      </c>
      <c r="D80" s="201">
        <v>4607111034137</v>
      </c>
      <c r="E80" s="202"/>
      <c r="F80" s="196">
        <v>0.3</v>
      </c>
      <c r="G80" s="32">
        <v>12</v>
      </c>
      <c r="H80" s="196">
        <v>3.6</v>
      </c>
      <c r="I80" s="196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7">
        <v>0</v>
      </c>
      <c r="Y80" s="198">
        <f>IFERROR(IF(X80="","",X80),"")</f>
        <v>0</v>
      </c>
      <c r="Z80" s="36">
        <f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151</v>
      </c>
      <c r="B81" s="54" t="s">
        <v>152</v>
      </c>
      <c r="C81" s="31">
        <v>4301131022</v>
      </c>
      <c r="D81" s="201">
        <v>4607111034120</v>
      </c>
      <c r="E81" s="202"/>
      <c r="F81" s="196">
        <v>0.3</v>
      </c>
      <c r="G81" s="32">
        <v>12</v>
      </c>
      <c r="H81" s="196">
        <v>3.6</v>
      </c>
      <c r="I81" s="196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04"/>
      <c r="R81" s="204"/>
      <c r="S81" s="204"/>
      <c r="T81" s="205"/>
      <c r="U81" s="34"/>
      <c r="V81" s="34"/>
      <c r="W81" s="35" t="s">
        <v>70</v>
      </c>
      <c r="X81" s="197">
        <v>28</v>
      </c>
      <c r="Y81" s="198">
        <f>IFERROR(IF(X81="","",X81),"")</f>
        <v>28</v>
      </c>
      <c r="Z81" s="36">
        <f>IFERROR(IF(X81="","",X81*0.01788),"")</f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15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16"/>
      <c r="P82" s="210" t="s">
        <v>72</v>
      </c>
      <c r="Q82" s="211"/>
      <c r="R82" s="211"/>
      <c r="S82" s="211"/>
      <c r="T82" s="211"/>
      <c r="U82" s="211"/>
      <c r="V82" s="212"/>
      <c r="W82" s="37" t="s">
        <v>70</v>
      </c>
      <c r="X82" s="199">
        <f>IFERROR(SUM(X80:X81),"0")</f>
        <v>28</v>
      </c>
      <c r="Y82" s="199">
        <f>IFERROR(SUM(Y80:Y81),"0")</f>
        <v>28</v>
      </c>
      <c r="Z82" s="199">
        <f>IFERROR(IF(Z80="",0,Z80),"0")+IFERROR(IF(Z81="",0,Z81),"0")</f>
        <v>0.50063999999999997</v>
      </c>
      <c r="AA82" s="200"/>
      <c r="AB82" s="200"/>
      <c r="AC82" s="200"/>
    </row>
    <row r="83" spans="1:68" x14ac:dyDescent="0.2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16"/>
      <c r="P83" s="210" t="s">
        <v>72</v>
      </c>
      <c r="Q83" s="211"/>
      <c r="R83" s="211"/>
      <c r="S83" s="211"/>
      <c r="T83" s="211"/>
      <c r="U83" s="211"/>
      <c r="V83" s="212"/>
      <c r="W83" s="37" t="s">
        <v>73</v>
      </c>
      <c r="X83" s="199">
        <f>IFERROR(SUMPRODUCT(X80:X81*H80:H81),"0")</f>
        <v>100.8</v>
      </c>
      <c r="Y83" s="199">
        <f>IFERROR(SUMPRODUCT(Y80:Y81*H80:H81),"0")</f>
        <v>100.8</v>
      </c>
      <c r="Z83" s="37"/>
      <c r="AA83" s="200"/>
      <c r="AB83" s="200"/>
      <c r="AC83" s="200"/>
    </row>
    <row r="84" spans="1:68" ht="16.5" customHeight="1" x14ac:dyDescent="0.25">
      <c r="A84" s="206" t="s">
        <v>153</v>
      </c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192"/>
      <c r="AB84" s="192"/>
      <c r="AC84" s="192"/>
    </row>
    <row r="85" spans="1:68" ht="14.25" customHeight="1" x14ac:dyDescent="0.25">
      <c r="A85" s="243" t="s">
        <v>144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193"/>
      <c r="AB85" s="193"/>
      <c r="AC85" s="193"/>
    </row>
    <row r="86" spans="1:68" ht="27" customHeight="1" x14ac:dyDescent="0.25">
      <c r="A86" s="54" t="s">
        <v>154</v>
      </c>
      <c r="B86" s="54" t="s">
        <v>155</v>
      </c>
      <c r="C86" s="31">
        <v>4301135285</v>
      </c>
      <c r="D86" s="201">
        <v>4607111036407</v>
      </c>
      <c r="E86" s="202"/>
      <c r="F86" s="196">
        <v>0.3</v>
      </c>
      <c r="G86" s="32">
        <v>14</v>
      </c>
      <c r="H86" s="196">
        <v>4.2</v>
      </c>
      <c r="I86" s="196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7">
        <v>0</v>
      </c>
      <c r="Y86" s="198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1">
        <v>4607111033628</v>
      </c>
      <c r="E87" s="202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7">
        <v>0</v>
      </c>
      <c r="Y87" s="198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158</v>
      </c>
      <c r="B88" s="54" t="s">
        <v>159</v>
      </c>
      <c r="C88" s="31">
        <v>4301135292</v>
      </c>
      <c r="D88" s="201">
        <v>4607111033451</v>
      </c>
      <c r="E88" s="202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7">
        <v>0</v>
      </c>
      <c r="Y88" s="198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4301135295</v>
      </c>
      <c r="D89" s="201">
        <v>4607111035141</v>
      </c>
      <c r="E89" s="202"/>
      <c r="F89" s="196">
        <v>0.3</v>
      </c>
      <c r="G89" s="32">
        <v>12</v>
      </c>
      <c r="H89" s="196">
        <v>3.6</v>
      </c>
      <c r="I89" s="196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1">
        <v>4607111033444</v>
      </c>
      <c r="E90" s="202"/>
      <c r="F90" s="196">
        <v>0.3</v>
      </c>
      <c r="G90" s="32">
        <v>12</v>
      </c>
      <c r="H90" s="196">
        <v>3.6</v>
      </c>
      <c r="I90" s="196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04"/>
      <c r="R90" s="204"/>
      <c r="S90" s="204"/>
      <c r="T90" s="205"/>
      <c r="U90" s="34"/>
      <c r="V90" s="34"/>
      <c r="W90" s="35" t="s">
        <v>70</v>
      </c>
      <c r="X90" s="197">
        <v>0</v>
      </c>
      <c r="Y90" s="198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164</v>
      </c>
      <c r="B91" s="54" t="s">
        <v>165</v>
      </c>
      <c r="C91" s="31">
        <v>4301135290</v>
      </c>
      <c r="D91" s="201">
        <v>4607111035028</v>
      </c>
      <c r="E91" s="202"/>
      <c r="F91" s="196">
        <v>0.48</v>
      </c>
      <c r="G91" s="32">
        <v>8</v>
      </c>
      <c r="H91" s="196">
        <v>3.84</v>
      </c>
      <c r="I91" s="196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04"/>
      <c r="R91" s="204"/>
      <c r="S91" s="204"/>
      <c r="T91" s="205"/>
      <c r="U91" s="34"/>
      <c r="V91" s="34"/>
      <c r="W91" s="35" t="s">
        <v>70</v>
      </c>
      <c r="X91" s="197">
        <v>0</v>
      </c>
      <c r="Y91" s="198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x14ac:dyDescent="0.2">
      <c r="A92" s="215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16"/>
      <c r="P92" s="210" t="s">
        <v>72</v>
      </c>
      <c r="Q92" s="211"/>
      <c r="R92" s="211"/>
      <c r="S92" s="211"/>
      <c r="T92" s="211"/>
      <c r="U92" s="211"/>
      <c r="V92" s="212"/>
      <c r="W92" s="37" t="s">
        <v>70</v>
      </c>
      <c r="X92" s="199">
        <f>IFERROR(SUM(X86:X91),"0")</f>
        <v>0</v>
      </c>
      <c r="Y92" s="199">
        <f>IFERROR(SUM(Y86:Y91),"0")</f>
        <v>0</v>
      </c>
      <c r="Z92" s="199">
        <f>IFERROR(IF(Z86="",0,Z86),"0")+IFERROR(IF(Z87="",0,Z87),"0")+IFERROR(IF(Z88="",0,Z88),"0")+IFERROR(IF(Z89="",0,Z89),"0")+IFERROR(IF(Z90="",0,Z90),"0")+IFERROR(IF(Z91="",0,Z91),"0")</f>
        <v>0</v>
      </c>
      <c r="AA92" s="200"/>
      <c r="AB92" s="200"/>
      <c r="AC92" s="200"/>
    </row>
    <row r="93" spans="1:68" x14ac:dyDescent="0.2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16"/>
      <c r="P93" s="210" t="s">
        <v>72</v>
      </c>
      <c r="Q93" s="211"/>
      <c r="R93" s="211"/>
      <c r="S93" s="211"/>
      <c r="T93" s="211"/>
      <c r="U93" s="211"/>
      <c r="V93" s="212"/>
      <c r="W93" s="37" t="s">
        <v>73</v>
      </c>
      <c r="X93" s="199">
        <f>IFERROR(SUMPRODUCT(X86:X91*H86:H91),"0")</f>
        <v>0</v>
      </c>
      <c r="Y93" s="199">
        <f>IFERROR(SUMPRODUCT(Y86:Y91*H86:H91),"0")</f>
        <v>0</v>
      </c>
      <c r="Z93" s="37"/>
      <c r="AA93" s="200"/>
      <c r="AB93" s="200"/>
      <c r="AC93" s="200"/>
    </row>
    <row r="94" spans="1:68" ht="16.5" customHeight="1" x14ac:dyDescent="0.25">
      <c r="A94" s="206" t="s">
        <v>166</v>
      </c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192"/>
      <c r="AB94" s="192"/>
      <c r="AC94" s="192"/>
    </row>
    <row r="95" spans="1:68" ht="14.25" customHeight="1" x14ac:dyDescent="0.25">
      <c r="A95" s="243" t="s">
        <v>167</v>
      </c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193"/>
      <c r="AB95" s="193"/>
      <c r="AC95" s="193"/>
    </row>
    <row r="96" spans="1:68" ht="27" customHeight="1" x14ac:dyDescent="0.25">
      <c r="A96" s="54" t="s">
        <v>168</v>
      </c>
      <c r="B96" s="54" t="s">
        <v>169</v>
      </c>
      <c r="C96" s="31">
        <v>4301136042</v>
      </c>
      <c r="D96" s="201">
        <v>4607025784012</v>
      </c>
      <c r="E96" s="202"/>
      <c r="F96" s="196">
        <v>0.09</v>
      </c>
      <c r="G96" s="32">
        <v>24</v>
      </c>
      <c r="H96" s="196">
        <v>2.16</v>
      </c>
      <c r="I96" s="196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4301136040</v>
      </c>
      <c r="D97" s="201">
        <v>4607025784319</v>
      </c>
      <c r="E97" s="202"/>
      <c r="F97" s="196">
        <v>0.36</v>
      </c>
      <c r="G97" s="32">
        <v>10</v>
      </c>
      <c r="H97" s="196">
        <v>3.6</v>
      </c>
      <c r="I97" s="196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7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7">
        <v>14</v>
      </c>
      <c r="Y97" s="198">
        <f>IFERROR(IF(X97="","",X97),"")</f>
        <v>14</v>
      </c>
      <c r="Z97" s="36">
        <f>IFERROR(IF(X97="","",X97*0.01788),"")</f>
        <v>0.25031999999999999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ht="16.5" customHeight="1" x14ac:dyDescent="0.25">
      <c r="A98" s="54" t="s">
        <v>172</v>
      </c>
      <c r="B98" s="54" t="s">
        <v>173</v>
      </c>
      <c r="C98" s="31">
        <v>4301136039</v>
      </c>
      <c r="D98" s="201">
        <v>4607111035370</v>
      </c>
      <c r="E98" s="202"/>
      <c r="F98" s="196">
        <v>0.14000000000000001</v>
      </c>
      <c r="G98" s="32">
        <v>22</v>
      </c>
      <c r="H98" s="196">
        <v>3.08</v>
      </c>
      <c r="I98" s="196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04"/>
      <c r="R98" s="204"/>
      <c r="S98" s="204"/>
      <c r="T98" s="205"/>
      <c r="U98" s="34"/>
      <c r="V98" s="34"/>
      <c r="W98" s="35" t="s">
        <v>70</v>
      </c>
      <c r="X98" s="197">
        <v>36</v>
      </c>
      <c r="Y98" s="198">
        <f>IFERROR(IF(X98="","",X98),"")</f>
        <v>36</v>
      </c>
      <c r="Z98" s="36">
        <f>IFERROR(IF(X98="","",X98*0.0155),"")</f>
        <v>0.55800000000000005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124.70399999999999</v>
      </c>
      <c r="BN98" s="67">
        <f>IFERROR(Y98*I98,"0")</f>
        <v>124.70399999999999</v>
      </c>
      <c r="BO98" s="67">
        <f>IFERROR(X98/J98,"0")</f>
        <v>0.42857142857142855</v>
      </c>
      <c r="BP98" s="67">
        <f>IFERROR(Y98/J98,"0")</f>
        <v>0.42857142857142855</v>
      </c>
    </row>
    <row r="99" spans="1:68" x14ac:dyDescent="0.2">
      <c r="A99" s="215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16"/>
      <c r="P99" s="210" t="s">
        <v>72</v>
      </c>
      <c r="Q99" s="211"/>
      <c r="R99" s="211"/>
      <c r="S99" s="211"/>
      <c r="T99" s="211"/>
      <c r="U99" s="211"/>
      <c r="V99" s="212"/>
      <c r="W99" s="37" t="s">
        <v>70</v>
      </c>
      <c r="X99" s="199">
        <f>IFERROR(SUM(X96:X98),"0")</f>
        <v>50</v>
      </c>
      <c r="Y99" s="199">
        <f>IFERROR(SUM(Y96:Y98),"0")</f>
        <v>50</v>
      </c>
      <c r="Z99" s="199">
        <f>IFERROR(IF(Z96="",0,Z96),"0")+IFERROR(IF(Z97="",0,Z97),"0")+IFERROR(IF(Z98="",0,Z98),"0")</f>
        <v>0.80832000000000004</v>
      </c>
      <c r="AA99" s="200"/>
      <c r="AB99" s="200"/>
      <c r="AC99" s="200"/>
    </row>
    <row r="100" spans="1:68" x14ac:dyDescent="0.2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16"/>
      <c r="P100" s="210" t="s">
        <v>72</v>
      </c>
      <c r="Q100" s="211"/>
      <c r="R100" s="211"/>
      <c r="S100" s="211"/>
      <c r="T100" s="211"/>
      <c r="U100" s="211"/>
      <c r="V100" s="212"/>
      <c r="W100" s="37" t="s">
        <v>73</v>
      </c>
      <c r="X100" s="199">
        <f>IFERROR(SUMPRODUCT(X96:X98*H96:H98),"0")</f>
        <v>161.28</v>
      </c>
      <c r="Y100" s="199">
        <f>IFERROR(SUMPRODUCT(Y96:Y98*H96:H98),"0")</f>
        <v>161.28</v>
      </c>
      <c r="Z100" s="37"/>
      <c r="AA100" s="200"/>
      <c r="AB100" s="200"/>
      <c r="AC100" s="200"/>
    </row>
    <row r="101" spans="1:68" ht="16.5" customHeight="1" x14ac:dyDescent="0.25">
      <c r="A101" s="206" t="s">
        <v>174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192"/>
      <c r="AB101" s="192"/>
      <c r="AC101" s="192"/>
    </row>
    <row r="102" spans="1:68" ht="14.25" customHeight="1" x14ac:dyDescent="0.25">
      <c r="A102" s="243" t="s">
        <v>64</v>
      </c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193"/>
      <c r="AB102" s="193"/>
      <c r="AC102" s="193"/>
    </row>
    <row r="103" spans="1:68" ht="27" customHeight="1" x14ac:dyDescent="0.25">
      <c r="A103" s="54" t="s">
        <v>175</v>
      </c>
      <c r="B103" s="54" t="s">
        <v>176</v>
      </c>
      <c r="C103" s="31">
        <v>4301070975</v>
      </c>
      <c r="D103" s="201">
        <v>4607111033970</v>
      </c>
      <c r="E103" s="202"/>
      <c r="F103" s="196">
        <v>0.43</v>
      </c>
      <c r="G103" s="32">
        <v>16</v>
      </c>
      <c r="H103" s="196">
        <v>6.88</v>
      </c>
      <c r="I103" s="196">
        <v>7.1996000000000002</v>
      </c>
      <c r="J103" s="32">
        <v>84</v>
      </c>
      <c r="K103" s="32" t="s">
        <v>67</v>
      </c>
      <c r="L103" s="32" t="s">
        <v>177</v>
      </c>
      <c r="M103" s="33" t="s">
        <v>69</v>
      </c>
      <c r="N103" s="33"/>
      <c r="O103" s="32">
        <v>180</v>
      </c>
      <c r="P103" s="2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7">
        <v>24</v>
      </c>
      <c r="Y103" s="198">
        <f t="shared" ref="Y103:Y111" si="12">IFERROR(IF(X103="","",X103),"")</f>
        <v>24</v>
      </c>
      <c r="Z103" s="36">
        <f t="shared" ref="Z103:Z111" si="13">IFERROR(IF(X103="","",X103*0.0155),"")</f>
        <v>0.372</v>
      </c>
      <c r="AA103" s="56"/>
      <c r="AB103" s="57"/>
      <c r="AC103" s="68"/>
      <c r="AG103" s="67"/>
      <c r="AJ103" s="69" t="s">
        <v>178</v>
      </c>
      <c r="AK103" s="69">
        <v>12</v>
      </c>
      <c r="BB103" s="110" t="s">
        <v>1</v>
      </c>
      <c r="BM103" s="67">
        <f t="shared" ref="BM103:BM111" si="14">IFERROR(X103*I103,"0")</f>
        <v>172.79040000000001</v>
      </c>
      <c r="BN103" s="67">
        <f t="shared" ref="BN103:BN111" si="15">IFERROR(Y103*I103,"0")</f>
        <v>172.79040000000001</v>
      </c>
      <c r="BO103" s="67">
        <f t="shared" ref="BO103:BO111" si="16">IFERROR(X103/J103,"0")</f>
        <v>0.2857142857142857</v>
      </c>
      <c r="BP103" s="67">
        <f t="shared" ref="BP103:BP111" si="17">IFERROR(Y103/J103,"0")</f>
        <v>0.2857142857142857</v>
      </c>
    </row>
    <row r="104" spans="1:68" ht="27" customHeight="1" x14ac:dyDescent="0.25">
      <c r="A104" s="54" t="s">
        <v>179</v>
      </c>
      <c r="B104" s="54" t="s">
        <v>180</v>
      </c>
      <c r="C104" s="31">
        <v>4301071051</v>
      </c>
      <c r="D104" s="201">
        <v>4607111039262</v>
      </c>
      <c r="E104" s="202"/>
      <c r="F104" s="196">
        <v>0.4</v>
      </c>
      <c r="G104" s="32">
        <v>16</v>
      </c>
      <c r="H104" s="196">
        <v>6.4</v>
      </c>
      <c r="I104" s="196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4301070976</v>
      </c>
      <c r="D105" s="201">
        <v>4607111034144</v>
      </c>
      <c r="E105" s="202"/>
      <c r="F105" s="196">
        <v>0.9</v>
      </c>
      <c r="G105" s="32">
        <v>8</v>
      </c>
      <c r="H105" s="196">
        <v>7.2</v>
      </c>
      <c r="I105" s="196">
        <v>7.4859999999999998</v>
      </c>
      <c r="J105" s="32">
        <v>84</v>
      </c>
      <c r="K105" s="32" t="s">
        <v>67</v>
      </c>
      <c r="L105" s="32" t="s">
        <v>183</v>
      </c>
      <c r="M105" s="33" t="s">
        <v>69</v>
      </c>
      <c r="N105" s="33"/>
      <c r="O105" s="32">
        <v>180</v>
      </c>
      <c r="P105" s="3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7">
        <v>0</v>
      </c>
      <c r="Y105" s="198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184</v>
      </c>
      <c r="AK105" s="69">
        <v>84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4301071038</v>
      </c>
      <c r="D106" s="201">
        <v>4607111039248</v>
      </c>
      <c r="E106" s="202"/>
      <c r="F106" s="196">
        <v>0.7</v>
      </c>
      <c r="G106" s="32">
        <v>10</v>
      </c>
      <c r="H106" s="196">
        <v>7</v>
      </c>
      <c r="I106" s="196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4301070973</v>
      </c>
      <c r="D107" s="201">
        <v>4607111033987</v>
      </c>
      <c r="E107" s="202"/>
      <c r="F107" s="196">
        <v>0.43</v>
      </c>
      <c r="G107" s="32">
        <v>16</v>
      </c>
      <c r="H107" s="196">
        <v>6.88</v>
      </c>
      <c r="I107" s="196">
        <v>7.1996000000000002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3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7">
        <v>24</v>
      </c>
      <c r="Y107" s="198">
        <f t="shared" si="12"/>
        <v>24</v>
      </c>
      <c r="Z107" s="36">
        <f t="shared" si="13"/>
        <v>0.372</v>
      </c>
      <c r="AA107" s="56"/>
      <c r="AB107" s="57"/>
      <c r="AC107" s="68"/>
      <c r="AG107" s="67"/>
      <c r="AJ107" s="69" t="s">
        <v>178</v>
      </c>
      <c r="AK107" s="69">
        <v>12</v>
      </c>
      <c r="BB107" s="114" t="s">
        <v>1</v>
      </c>
      <c r="BM107" s="67">
        <f t="shared" si="14"/>
        <v>172.79040000000001</v>
      </c>
      <c r="BN107" s="67">
        <f t="shared" si="15"/>
        <v>172.79040000000001</v>
      </c>
      <c r="BO107" s="67">
        <f t="shared" si="16"/>
        <v>0.2857142857142857</v>
      </c>
      <c r="BP107" s="67">
        <f t="shared" si="17"/>
        <v>0.2857142857142857</v>
      </c>
    </row>
    <row r="108" spans="1:68" ht="27" customHeight="1" x14ac:dyDescent="0.25">
      <c r="A108" s="54" t="s">
        <v>189</v>
      </c>
      <c r="B108" s="54" t="s">
        <v>190</v>
      </c>
      <c r="C108" s="31">
        <v>4301071049</v>
      </c>
      <c r="D108" s="201">
        <v>4607111039293</v>
      </c>
      <c r="E108" s="202"/>
      <c r="F108" s="196">
        <v>0.4</v>
      </c>
      <c r="G108" s="32">
        <v>16</v>
      </c>
      <c r="H108" s="196">
        <v>6.4</v>
      </c>
      <c r="I108" s="196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4301070974</v>
      </c>
      <c r="D109" s="201">
        <v>4607111034151</v>
      </c>
      <c r="E109" s="202"/>
      <c r="F109" s="196">
        <v>0.9</v>
      </c>
      <c r="G109" s="32">
        <v>8</v>
      </c>
      <c r="H109" s="196">
        <v>7.2</v>
      </c>
      <c r="I109" s="196">
        <v>7.4859999999999998</v>
      </c>
      <c r="J109" s="32">
        <v>84</v>
      </c>
      <c r="K109" s="32" t="s">
        <v>67</v>
      </c>
      <c r="L109" s="32" t="s">
        <v>183</v>
      </c>
      <c r="M109" s="33" t="s">
        <v>69</v>
      </c>
      <c r="N109" s="33"/>
      <c r="O109" s="32">
        <v>180</v>
      </c>
      <c r="P109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7">
        <v>0</v>
      </c>
      <c r="Y109" s="198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184</v>
      </c>
      <c r="AK109" s="69">
        <v>84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4301071039</v>
      </c>
      <c r="D110" s="201">
        <v>4607111039279</v>
      </c>
      <c r="E110" s="202"/>
      <c r="F110" s="196">
        <v>0.7</v>
      </c>
      <c r="G110" s="32">
        <v>10</v>
      </c>
      <c r="H110" s="196">
        <v>7</v>
      </c>
      <c r="I110" s="196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7">
        <v>0</v>
      </c>
      <c r="Y110" s="198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4301070945</v>
      </c>
      <c r="D111" s="201">
        <v>4607111037435</v>
      </c>
      <c r="E111" s="202"/>
      <c r="F111" s="196">
        <v>0.8</v>
      </c>
      <c r="G111" s="32">
        <v>8</v>
      </c>
      <c r="H111" s="196">
        <v>6.4</v>
      </c>
      <c r="I111" s="196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6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04"/>
      <c r="R111" s="204"/>
      <c r="S111" s="204"/>
      <c r="T111" s="205"/>
      <c r="U111" s="34"/>
      <c r="V111" s="34"/>
      <c r="W111" s="35" t="s">
        <v>70</v>
      </c>
      <c r="X111" s="197">
        <v>0</v>
      </c>
      <c r="Y111" s="198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x14ac:dyDescent="0.2">
      <c r="A112" s="215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16"/>
      <c r="P112" s="210" t="s">
        <v>72</v>
      </c>
      <c r="Q112" s="211"/>
      <c r="R112" s="211"/>
      <c r="S112" s="211"/>
      <c r="T112" s="211"/>
      <c r="U112" s="211"/>
      <c r="V112" s="212"/>
      <c r="W112" s="37" t="s">
        <v>70</v>
      </c>
      <c r="X112" s="199">
        <f>IFERROR(SUM(X103:X111),"0")</f>
        <v>48</v>
      </c>
      <c r="Y112" s="199">
        <f>IFERROR(SUM(Y103:Y111),"0")</f>
        <v>48</v>
      </c>
      <c r="Z112" s="199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0.74399999999999999</v>
      </c>
      <c r="AA112" s="200"/>
      <c r="AB112" s="200"/>
      <c r="AC112" s="200"/>
    </row>
    <row r="113" spans="1:68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16"/>
      <c r="P113" s="210" t="s">
        <v>72</v>
      </c>
      <c r="Q113" s="211"/>
      <c r="R113" s="211"/>
      <c r="S113" s="211"/>
      <c r="T113" s="211"/>
      <c r="U113" s="211"/>
      <c r="V113" s="212"/>
      <c r="W113" s="37" t="s">
        <v>73</v>
      </c>
      <c r="X113" s="199">
        <f>IFERROR(SUMPRODUCT(X103:X111*H103:H111),"0")</f>
        <v>330.24</v>
      </c>
      <c r="Y113" s="199">
        <f>IFERROR(SUMPRODUCT(Y103:Y111*H103:H111),"0")</f>
        <v>330.24</v>
      </c>
      <c r="Z113" s="37"/>
      <c r="AA113" s="200"/>
      <c r="AB113" s="200"/>
      <c r="AC113" s="200"/>
    </row>
    <row r="114" spans="1:68" ht="16.5" customHeight="1" x14ac:dyDescent="0.25">
      <c r="A114" s="206" t="s">
        <v>197</v>
      </c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192"/>
      <c r="AB114" s="192"/>
      <c r="AC114" s="192"/>
    </row>
    <row r="115" spans="1:68" ht="14.25" customHeight="1" x14ac:dyDescent="0.25">
      <c r="A115" s="243" t="s">
        <v>144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1">
        <v>4607111034014</v>
      </c>
      <c r="E116" s="202"/>
      <c r="F116" s="196">
        <v>0.25</v>
      </c>
      <c r="G116" s="32">
        <v>12</v>
      </c>
      <c r="H116" s="196">
        <v>3</v>
      </c>
      <c r="I116" s="196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4"/>
      <c r="R116" s="204"/>
      <c r="S116" s="204"/>
      <c r="T116" s="205"/>
      <c r="U116" s="34"/>
      <c r="V116" s="34"/>
      <c r="W116" s="35" t="s">
        <v>70</v>
      </c>
      <c r="X116" s="197">
        <v>14</v>
      </c>
      <c r="Y116" s="198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1">
        <v>4607111033994</v>
      </c>
      <c r="E117" s="202"/>
      <c r="F117" s="196">
        <v>0.25</v>
      </c>
      <c r="G117" s="32">
        <v>12</v>
      </c>
      <c r="H117" s="196">
        <v>3</v>
      </c>
      <c r="I117" s="196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4"/>
      <c r="R117" s="204"/>
      <c r="S117" s="204"/>
      <c r="T117" s="205"/>
      <c r="U117" s="34"/>
      <c r="V117" s="34"/>
      <c r="W117" s="35" t="s">
        <v>70</v>
      </c>
      <c r="X117" s="197">
        <v>28</v>
      </c>
      <c r="Y117" s="198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215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16"/>
      <c r="P118" s="210" t="s">
        <v>72</v>
      </c>
      <c r="Q118" s="211"/>
      <c r="R118" s="211"/>
      <c r="S118" s="211"/>
      <c r="T118" s="211"/>
      <c r="U118" s="211"/>
      <c r="V118" s="212"/>
      <c r="W118" s="37" t="s">
        <v>70</v>
      </c>
      <c r="X118" s="199">
        <f>IFERROR(SUM(X116:X117),"0")</f>
        <v>42</v>
      </c>
      <c r="Y118" s="199">
        <f>IFERROR(SUM(Y116:Y117),"0")</f>
        <v>42</v>
      </c>
      <c r="Z118" s="199">
        <f>IFERROR(IF(Z116="",0,Z116),"0")+IFERROR(IF(Z117="",0,Z117),"0")</f>
        <v>0.75095999999999996</v>
      </c>
      <c r="AA118" s="200"/>
      <c r="AB118" s="200"/>
      <c r="AC118" s="200"/>
    </row>
    <row r="119" spans="1:68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16"/>
      <c r="P119" s="210" t="s">
        <v>72</v>
      </c>
      <c r="Q119" s="211"/>
      <c r="R119" s="211"/>
      <c r="S119" s="211"/>
      <c r="T119" s="211"/>
      <c r="U119" s="211"/>
      <c r="V119" s="212"/>
      <c r="W119" s="37" t="s">
        <v>73</v>
      </c>
      <c r="X119" s="199">
        <f>IFERROR(SUMPRODUCT(X116:X117*H116:H117),"0")</f>
        <v>126</v>
      </c>
      <c r="Y119" s="199">
        <f>IFERROR(SUMPRODUCT(Y116:Y117*H116:H117),"0")</f>
        <v>126</v>
      </c>
      <c r="Z119" s="37"/>
      <c r="AA119" s="200"/>
      <c r="AB119" s="200"/>
      <c r="AC119" s="200"/>
    </row>
    <row r="120" spans="1:68" ht="16.5" customHeight="1" x14ac:dyDescent="0.25">
      <c r="A120" s="206" t="s">
        <v>202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192"/>
      <c r="AB120" s="192"/>
      <c r="AC120" s="192"/>
    </row>
    <row r="121" spans="1:68" ht="14.25" customHeight="1" x14ac:dyDescent="0.25">
      <c r="A121" s="243" t="s">
        <v>144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193"/>
      <c r="AB121" s="193"/>
      <c r="AC121" s="193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1">
        <v>4607111039095</v>
      </c>
      <c r="E122" s="202"/>
      <c r="F122" s="196">
        <v>0.25</v>
      </c>
      <c r="G122" s="32">
        <v>12</v>
      </c>
      <c r="H122" s="196">
        <v>3</v>
      </c>
      <c r="I122" s="196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4"/>
      <c r="R122" s="204"/>
      <c r="S122" s="204"/>
      <c r="T122" s="205"/>
      <c r="U122" s="34"/>
      <c r="V122" s="34"/>
      <c r="W122" s="35" t="s">
        <v>70</v>
      </c>
      <c r="X122" s="197">
        <v>0</v>
      </c>
      <c r="Y122" s="198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1">
        <v>4607111034199</v>
      </c>
      <c r="E123" s="202"/>
      <c r="F123" s="196">
        <v>0.25</v>
      </c>
      <c r="G123" s="32">
        <v>12</v>
      </c>
      <c r="H123" s="196">
        <v>3</v>
      </c>
      <c r="I123" s="196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9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4"/>
      <c r="R123" s="204"/>
      <c r="S123" s="204"/>
      <c r="T123" s="205"/>
      <c r="U123" s="34"/>
      <c r="V123" s="34"/>
      <c r="W123" s="35" t="s">
        <v>70</v>
      </c>
      <c r="X123" s="197">
        <v>0</v>
      </c>
      <c r="Y123" s="198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215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16"/>
      <c r="P124" s="210" t="s">
        <v>72</v>
      </c>
      <c r="Q124" s="211"/>
      <c r="R124" s="211"/>
      <c r="S124" s="211"/>
      <c r="T124" s="211"/>
      <c r="U124" s="211"/>
      <c r="V124" s="212"/>
      <c r="W124" s="37" t="s">
        <v>70</v>
      </c>
      <c r="X124" s="199">
        <f>IFERROR(SUM(X122:X123),"0")</f>
        <v>0</v>
      </c>
      <c r="Y124" s="199">
        <f>IFERROR(SUM(Y122:Y123),"0")</f>
        <v>0</v>
      </c>
      <c r="Z124" s="199">
        <f>IFERROR(IF(Z122="",0,Z122),"0")+IFERROR(IF(Z123="",0,Z123),"0")</f>
        <v>0</v>
      </c>
      <c r="AA124" s="200"/>
      <c r="AB124" s="200"/>
      <c r="AC124" s="200"/>
    </row>
    <row r="125" spans="1:68" x14ac:dyDescent="0.2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16"/>
      <c r="P125" s="210" t="s">
        <v>72</v>
      </c>
      <c r="Q125" s="211"/>
      <c r="R125" s="211"/>
      <c r="S125" s="211"/>
      <c r="T125" s="211"/>
      <c r="U125" s="211"/>
      <c r="V125" s="212"/>
      <c r="W125" s="37" t="s">
        <v>73</v>
      </c>
      <c r="X125" s="199">
        <f>IFERROR(SUMPRODUCT(X122:X123*H122:H123),"0")</f>
        <v>0</v>
      </c>
      <c r="Y125" s="199">
        <f>IFERROR(SUMPRODUCT(Y122:Y123*H122:H123),"0")</f>
        <v>0</v>
      </c>
      <c r="Z125" s="37"/>
      <c r="AA125" s="200"/>
      <c r="AB125" s="200"/>
      <c r="AC125" s="200"/>
    </row>
    <row r="126" spans="1:68" ht="16.5" customHeight="1" x14ac:dyDescent="0.25">
      <c r="A126" s="206" t="s">
        <v>207</v>
      </c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192"/>
      <c r="AB126" s="192"/>
      <c r="AC126" s="192"/>
    </row>
    <row r="127" spans="1:68" ht="14.25" customHeight="1" x14ac:dyDescent="0.25">
      <c r="A127" s="243" t="s">
        <v>144</v>
      </c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193"/>
      <c r="AB127" s="193"/>
      <c r="AC127" s="193"/>
    </row>
    <row r="128" spans="1:68" ht="27" customHeight="1" x14ac:dyDescent="0.25">
      <c r="A128" s="54" t="s">
        <v>208</v>
      </c>
      <c r="B128" s="54" t="s">
        <v>209</v>
      </c>
      <c r="C128" s="31">
        <v>4301135178</v>
      </c>
      <c r="D128" s="201">
        <v>4607111034816</v>
      </c>
      <c r="E128" s="202"/>
      <c r="F128" s="196">
        <v>0.25</v>
      </c>
      <c r="G128" s="32">
        <v>6</v>
      </c>
      <c r="H128" s="196">
        <v>1.5</v>
      </c>
      <c r="I128" s="196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7">
        <v>0</v>
      </c>
      <c r="Y128" s="198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1">
        <v>4607111034380</v>
      </c>
      <c r="E129" s="202"/>
      <c r="F129" s="196">
        <v>0.25</v>
      </c>
      <c r="G129" s="32">
        <v>12</v>
      </c>
      <c r="H129" s="196">
        <v>3</v>
      </c>
      <c r="I129" s="196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7">
        <v>14</v>
      </c>
      <c r="Y129" s="198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1">
        <v>4607111034397</v>
      </c>
      <c r="E130" s="202"/>
      <c r="F130" s="196">
        <v>0.25</v>
      </c>
      <c r="G130" s="32">
        <v>12</v>
      </c>
      <c r="H130" s="196">
        <v>3</v>
      </c>
      <c r="I130" s="196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4"/>
      <c r="R130" s="204"/>
      <c r="S130" s="204"/>
      <c r="T130" s="205"/>
      <c r="U130" s="34"/>
      <c r="V130" s="34"/>
      <c r="W130" s="35" t="s">
        <v>70</v>
      </c>
      <c r="X130" s="197">
        <v>14</v>
      </c>
      <c r="Y130" s="198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45.919999999999995</v>
      </c>
      <c r="BN130" s="67">
        <f>IFERROR(Y130*I130,"0")</f>
        <v>45.919999999999995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15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16"/>
      <c r="P131" s="210" t="s">
        <v>72</v>
      </c>
      <c r="Q131" s="211"/>
      <c r="R131" s="211"/>
      <c r="S131" s="211"/>
      <c r="T131" s="211"/>
      <c r="U131" s="211"/>
      <c r="V131" s="212"/>
      <c r="W131" s="37" t="s">
        <v>70</v>
      </c>
      <c r="X131" s="199">
        <f>IFERROR(SUM(X128:X130),"0")</f>
        <v>28</v>
      </c>
      <c r="Y131" s="199">
        <f>IFERROR(SUM(Y128:Y130),"0")</f>
        <v>28</v>
      </c>
      <c r="Z131" s="199">
        <f>IFERROR(IF(Z128="",0,Z128),"0")+IFERROR(IF(Z129="",0,Z129),"0")+IFERROR(IF(Z130="",0,Z130),"0")</f>
        <v>0.50063999999999997</v>
      </c>
      <c r="AA131" s="200"/>
      <c r="AB131" s="200"/>
      <c r="AC131" s="200"/>
    </row>
    <row r="132" spans="1:68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16"/>
      <c r="P132" s="210" t="s">
        <v>72</v>
      </c>
      <c r="Q132" s="211"/>
      <c r="R132" s="211"/>
      <c r="S132" s="211"/>
      <c r="T132" s="211"/>
      <c r="U132" s="211"/>
      <c r="V132" s="212"/>
      <c r="W132" s="37" t="s">
        <v>73</v>
      </c>
      <c r="X132" s="199">
        <f>IFERROR(SUMPRODUCT(X128:X130*H128:H130),"0")</f>
        <v>84</v>
      </c>
      <c r="Y132" s="199">
        <f>IFERROR(SUMPRODUCT(Y128:Y130*H128:H130),"0")</f>
        <v>84</v>
      </c>
      <c r="Z132" s="37"/>
      <c r="AA132" s="200"/>
      <c r="AB132" s="200"/>
      <c r="AC132" s="200"/>
    </row>
    <row r="133" spans="1:68" ht="16.5" customHeight="1" x14ac:dyDescent="0.25">
      <c r="A133" s="206" t="s">
        <v>214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192"/>
      <c r="AB133" s="192"/>
      <c r="AC133" s="192"/>
    </row>
    <row r="134" spans="1:68" ht="14.25" customHeight="1" x14ac:dyDescent="0.25">
      <c r="A134" s="243" t="s">
        <v>144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193"/>
      <c r="AB134" s="193"/>
      <c r="AC134" s="193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1">
        <v>4607111035806</v>
      </c>
      <c r="E135" s="202"/>
      <c r="F135" s="196">
        <v>0.25</v>
      </c>
      <c r="G135" s="32">
        <v>12</v>
      </c>
      <c r="H135" s="196">
        <v>3</v>
      </c>
      <c r="I135" s="196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8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4"/>
      <c r="R135" s="204"/>
      <c r="S135" s="204"/>
      <c r="T135" s="205"/>
      <c r="U135" s="34"/>
      <c r="V135" s="34"/>
      <c r="W135" s="35" t="s">
        <v>70</v>
      </c>
      <c r="X135" s="197">
        <v>0</v>
      </c>
      <c r="Y135" s="198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16"/>
      <c r="P136" s="210" t="s">
        <v>72</v>
      </c>
      <c r="Q136" s="211"/>
      <c r="R136" s="211"/>
      <c r="S136" s="211"/>
      <c r="T136" s="211"/>
      <c r="U136" s="211"/>
      <c r="V136" s="212"/>
      <c r="W136" s="37" t="s">
        <v>70</v>
      </c>
      <c r="X136" s="199">
        <f>IFERROR(SUM(X135:X135),"0")</f>
        <v>0</v>
      </c>
      <c r="Y136" s="199">
        <f>IFERROR(SUM(Y135:Y135),"0")</f>
        <v>0</v>
      </c>
      <c r="Z136" s="199">
        <f>IFERROR(IF(Z135="",0,Z135),"0")</f>
        <v>0</v>
      </c>
      <c r="AA136" s="200"/>
      <c r="AB136" s="200"/>
      <c r="AC136" s="200"/>
    </row>
    <row r="137" spans="1:68" x14ac:dyDescent="0.2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16"/>
      <c r="P137" s="210" t="s">
        <v>72</v>
      </c>
      <c r="Q137" s="211"/>
      <c r="R137" s="211"/>
      <c r="S137" s="211"/>
      <c r="T137" s="211"/>
      <c r="U137" s="211"/>
      <c r="V137" s="212"/>
      <c r="W137" s="37" t="s">
        <v>73</v>
      </c>
      <c r="X137" s="199">
        <f>IFERROR(SUMPRODUCT(X135:X135*H135:H135),"0")</f>
        <v>0</v>
      </c>
      <c r="Y137" s="199">
        <f>IFERROR(SUMPRODUCT(Y135:Y135*H135:H135),"0")</f>
        <v>0</v>
      </c>
      <c r="Z137" s="37"/>
      <c r="AA137" s="200"/>
      <c r="AB137" s="200"/>
      <c r="AC137" s="200"/>
    </row>
    <row r="138" spans="1:68" ht="16.5" customHeight="1" x14ac:dyDescent="0.25">
      <c r="A138" s="206" t="s">
        <v>217</v>
      </c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192"/>
      <c r="AB138" s="192"/>
      <c r="AC138" s="192"/>
    </row>
    <row r="139" spans="1:68" ht="14.25" customHeight="1" x14ac:dyDescent="0.25">
      <c r="A139" s="243" t="s">
        <v>218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193"/>
      <c r="AB139" s="193"/>
      <c r="AC139" s="193"/>
    </row>
    <row r="140" spans="1:68" ht="27" customHeight="1" x14ac:dyDescent="0.25">
      <c r="A140" s="54" t="s">
        <v>219</v>
      </c>
      <c r="B140" s="54" t="s">
        <v>220</v>
      </c>
      <c r="C140" s="31">
        <v>4301071054</v>
      </c>
      <c r="D140" s="201">
        <v>4607111035639</v>
      </c>
      <c r="E140" s="202"/>
      <c r="F140" s="196">
        <v>0.2</v>
      </c>
      <c r="G140" s="32">
        <v>8</v>
      </c>
      <c r="H140" s="196">
        <v>1.6</v>
      </c>
      <c r="I140" s="196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16" t="s">
        <v>222</v>
      </c>
      <c r="Q140" s="204"/>
      <c r="R140" s="204"/>
      <c r="S140" s="204"/>
      <c r="T140" s="205"/>
      <c r="U140" s="34"/>
      <c r="V140" s="34"/>
      <c r="W140" s="35" t="s">
        <v>70</v>
      </c>
      <c r="X140" s="197">
        <v>0</v>
      </c>
      <c r="Y140" s="198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223</v>
      </c>
      <c r="B141" s="54" t="s">
        <v>224</v>
      </c>
      <c r="C141" s="31">
        <v>4301135540</v>
      </c>
      <c r="D141" s="201">
        <v>4607111035646</v>
      </c>
      <c r="E141" s="202"/>
      <c r="F141" s="196">
        <v>0.2</v>
      </c>
      <c r="G141" s="32">
        <v>8</v>
      </c>
      <c r="H141" s="196">
        <v>1.6</v>
      </c>
      <c r="I141" s="196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4"/>
      <c r="R141" s="204"/>
      <c r="S141" s="204"/>
      <c r="T141" s="205"/>
      <c r="U141" s="34"/>
      <c r="V141" s="34"/>
      <c r="W141" s="35" t="s">
        <v>70</v>
      </c>
      <c r="X141" s="197">
        <v>0</v>
      </c>
      <c r="Y141" s="198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16"/>
      <c r="P142" s="210" t="s">
        <v>72</v>
      </c>
      <c r="Q142" s="211"/>
      <c r="R142" s="211"/>
      <c r="S142" s="211"/>
      <c r="T142" s="211"/>
      <c r="U142" s="211"/>
      <c r="V142" s="212"/>
      <c r="W142" s="37" t="s">
        <v>70</v>
      </c>
      <c r="X142" s="199">
        <f>IFERROR(SUM(X140:X141),"0")</f>
        <v>0</v>
      </c>
      <c r="Y142" s="199">
        <f>IFERROR(SUM(Y140:Y141),"0")</f>
        <v>0</v>
      </c>
      <c r="Z142" s="199">
        <f>IFERROR(IF(Z140="",0,Z140),"0")+IFERROR(IF(Z141="",0,Z141),"0")</f>
        <v>0</v>
      </c>
      <c r="AA142" s="200"/>
      <c r="AB142" s="200"/>
      <c r="AC142" s="200"/>
    </row>
    <row r="143" spans="1:68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16"/>
      <c r="P143" s="210" t="s">
        <v>72</v>
      </c>
      <c r="Q143" s="211"/>
      <c r="R143" s="211"/>
      <c r="S143" s="211"/>
      <c r="T143" s="211"/>
      <c r="U143" s="211"/>
      <c r="V143" s="212"/>
      <c r="W143" s="37" t="s">
        <v>73</v>
      </c>
      <c r="X143" s="199">
        <f>IFERROR(SUMPRODUCT(X140:X141*H140:H141),"0")</f>
        <v>0</v>
      </c>
      <c r="Y143" s="199">
        <f>IFERROR(SUMPRODUCT(Y140:Y141*H140:H141),"0")</f>
        <v>0</v>
      </c>
      <c r="Z143" s="37"/>
      <c r="AA143" s="200"/>
      <c r="AB143" s="200"/>
      <c r="AC143" s="200"/>
    </row>
    <row r="144" spans="1:68" ht="16.5" customHeight="1" x14ac:dyDescent="0.25">
      <c r="A144" s="206" t="s">
        <v>225</v>
      </c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192"/>
      <c r="AB144" s="192"/>
      <c r="AC144" s="192"/>
    </row>
    <row r="145" spans="1:68" ht="14.25" customHeight="1" x14ac:dyDescent="0.25">
      <c r="A145" s="243" t="s">
        <v>144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193"/>
      <c r="AB145" s="193"/>
      <c r="AC145" s="193"/>
    </row>
    <row r="146" spans="1:68" ht="27" customHeight="1" x14ac:dyDescent="0.25">
      <c r="A146" s="54" t="s">
        <v>226</v>
      </c>
      <c r="B146" s="54" t="s">
        <v>227</v>
      </c>
      <c r="C146" s="31">
        <v>4301135281</v>
      </c>
      <c r="D146" s="201">
        <v>4607111036568</v>
      </c>
      <c r="E146" s="202"/>
      <c r="F146" s="196">
        <v>0.28000000000000003</v>
      </c>
      <c r="G146" s="32">
        <v>6</v>
      </c>
      <c r="H146" s="196">
        <v>1.68</v>
      </c>
      <c r="I146" s="196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39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4"/>
      <c r="R146" s="204"/>
      <c r="S146" s="204"/>
      <c r="T146" s="205"/>
      <c r="U146" s="34"/>
      <c r="V146" s="34"/>
      <c r="W146" s="35" t="s">
        <v>70</v>
      </c>
      <c r="X146" s="197">
        <v>0</v>
      </c>
      <c r="Y146" s="198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5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16"/>
      <c r="P147" s="210" t="s">
        <v>72</v>
      </c>
      <c r="Q147" s="211"/>
      <c r="R147" s="211"/>
      <c r="S147" s="211"/>
      <c r="T147" s="211"/>
      <c r="U147" s="211"/>
      <c r="V147" s="212"/>
      <c r="W147" s="37" t="s">
        <v>70</v>
      </c>
      <c r="X147" s="199">
        <f>IFERROR(SUM(X146:X146),"0")</f>
        <v>0</v>
      </c>
      <c r="Y147" s="199">
        <f>IFERROR(SUM(Y146:Y146),"0")</f>
        <v>0</v>
      </c>
      <c r="Z147" s="199">
        <f>IFERROR(IF(Z146="",0,Z146),"0")</f>
        <v>0</v>
      </c>
      <c r="AA147" s="200"/>
      <c r="AB147" s="200"/>
      <c r="AC147" s="200"/>
    </row>
    <row r="148" spans="1:68" x14ac:dyDescent="0.2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16"/>
      <c r="P148" s="210" t="s">
        <v>72</v>
      </c>
      <c r="Q148" s="211"/>
      <c r="R148" s="211"/>
      <c r="S148" s="211"/>
      <c r="T148" s="211"/>
      <c r="U148" s="211"/>
      <c r="V148" s="212"/>
      <c r="W148" s="37" t="s">
        <v>73</v>
      </c>
      <c r="X148" s="199">
        <f>IFERROR(SUMPRODUCT(X146:X146*H146:H146),"0")</f>
        <v>0</v>
      </c>
      <c r="Y148" s="199">
        <f>IFERROR(SUMPRODUCT(Y146:Y146*H146:H146),"0")</f>
        <v>0</v>
      </c>
      <c r="Z148" s="37"/>
      <c r="AA148" s="200"/>
      <c r="AB148" s="200"/>
      <c r="AC148" s="200"/>
    </row>
    <row r="149" spans="1:68" ht="27.75" customHeight="1" x14ac:dyDescent="0.2">
      <c r="A149" s="240" t="s">
        <v>228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48"/>
      <c r="AB149" s="48"/>
      <c r="AC149" s="48"/>
    </row>
    <row r="150" spans="1:68" ht="16.5" customHeight="1" x14ac:dyDescent="0.25">
      <c r="A150" s="206" t="s">
        <v>229</v>
      </c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192"/>
      <c r="AB150" s="192"/>
      <c r="AC150" s="192"/>
    </row>
    <row r="151" spans="1:68" ht="14.25" customHeight="1" x14ac:dyDescent="0.25">
      <c r="A151" s="243" t="s">
        <v>144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193"/>
      <c r="AB151" s="193"/>
      <c r="AC151" s="193"/>
    </row>
    <row r="152" spans="1:68" ht="27" customHeight="1" x14ac:dyDescent="0.25">
      <c r="A152" s="54" t="s">
        <v>230</v>
      </c>
      <c r="B152" s="54" t="s">
        <v>231</v>
      </c>
      <c r="C152" s="31">
        <v>4301135317</v>
      </c>
      <c r="D152" s="201">
        <v>4607111039057</v>
      </c>
      <c r="E152" s="202"/>
      <c r="F152" s="196">
        <v>1.8</v>
      </c>
      <c r="G152" s="32">
        <v>1</v>
      </c>
      <c r="H152" s="196">
        <v>1.8</v>
      </c>
      <c r="I152" s="196">
        <v>1.9</v>
      </c>
      <c r="J152" s="32">
        <v>234</v>
      </c>
      <c r="K152" s="32" t="s">
        <v>140</v>
      </c>
      <c r="L152" s="32" t="s">
        <v>68</v>
      </c>
      <c r="M152" s="33" t="s">
        <v>69</v>
      </c>
      <c r="N152" s="33"/>
      <c r="O152" s="32">
        <v>180</v>
      </c>
      <c r="P152" s="229" t="s">
        <v>232</v>
      </c>
      <c r="Q152" s="204"/>
      <c r="R152" s="204"/>
      <c r="S152" s="204"/>
      <c r="T152" s="205"/>
      <c r="U152" s="34"/>
      <c r="V152" s="34"/>
      <c r="W152" s="35" t="s">
        <v>70</v>
      </c>
      <c r="X152" s="197">
        <v>0</v>
      </c>
      <c r="Y152" s="198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5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16"/>
      <c r="P153" s="210" t="s">
        <v>72</v>
      </c>
      <c r="Q153" s="211"/>
      <c r="R153" s="211"/>
      <c r="S153" s="211"/>
      <c r="T153" s="211"/>
      <c r="U153" s="211"/>
      <c r="V153" s="212"/>
      <c r="W153" s="37" t="s">
        <v>70</v>
      </c>
      <c r="X153" s="199">
        <f>IFERROR(SUM(X152:X152),"0")</f>
        <v>0</v>
      </c>
      <c r="Y153" s="199">
        <f>IFERROR(SUM(Y152:Y152),"0")</f>
        <v>0</v>
      </c>
      <c r="Z153" s="199">
        <f>IFERROR(IF(Z152="",0,Z152),"0")</f>
        <v>0</v>
      </c>
      <c r="AA153" s="200"/>
      <c r="AB153" s="200"/>
      <c r="AC153" s="200"/>
    </row>
    <row r="154" spans="1:68" x14ac:dyDescent="0.2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16"/>
      <c r="P154" s="210" t="s">
        <v>72</v>
      </c>
      <c r="Q154" s="211"/>
      <c r="R154" s="211"/>
      <c r="S154" s="211"/>
      <c r="T154" s="211"/>
      <c r="U154" s="211"/>
      <c r="V154" s="212"/>
      <c r="W154" s="37" t="s">
        <v>73</v>
      </c>
      <c r="X154" s="199">
        <f>IFERROR(SUMPRODUCT(X152:X152*H152:H152),"0")</f>
        <v>0</v>
      </c>
      <c r="Y154" s="199">
        <f>IFERROR(SUMPRODUCT(Y152:Y152*H152:H152),"0")</f>
        <v>0</v>
      </c>
      <c r="Z154" s="37"/>
      <c r="AA154" s="200"/>
      <c r="AB154" s="200"/>
      <c r="AC154" s="200"/>
    </row>
    <row r="155" spans="1:68" ht="16.5" customHeight="1" x14ac:dyDescent="0.25">
      <c r="A155" s="206" t="s">
        <v>233</v>
      </c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192"/>
      <c r="AB155" s="192"/>
      <c r="AC155" s="192"/>
    </row>
    <row r="156" spans="1:68" ht="14.25" customHeight="1" x14ac:dyDescent="0.25">
      <c r="A156" s="243" t="s">
        <v>64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193"/>
      <c r="AB156" s="193"/>
      <c r="AC156" s="193"/>
    </row>
    <row r="157" spans="1:68" ht="16.5" customHeight="1" x14ac:dyDescent="0.25">
      <c r="A157" s="54" t="s">
        <v>234</v>
      </c>
      <c r="B157" s="54" t="s">
        <v>235</v>
      </c>
      <c r="C157" s="31">
        <v>4301071062</v>
      </c>
      <c r="D157" s="201">
        <v>4607111036384</v>
      </c>
      <c r="E157" s="202"/>
      <c r="F157" s="196">
        <v>5</v>
      </c>
      <c r="G157" s="32">
        <v>1</v>
      </c>
      <c r="H157" s="196">
        <v>5</v>
      </c>
      <c r="I157" s="196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8" t="s">
        <v>236</v>
      </c>
      <c r="Q157" s="204"/>
      <c r="R157" s="204"/>
      <c r="S157" s="204"/>
      <c r="T157" s="205"/>
      <c r="U157" s="34"/>
      <c r="V157" s="34"/>
      <c r="W157" s="35" t="s">
        <v>70</v>
      </c>
      <c r="X157" s="197">
        <v>0</v>
      </c>
      <c r="Y157" s="198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237</v>
      </c>
      <c r="B158" s="54" t="s">
        <v>238</v>
      </c>
      <c r="C158" s="31">
        <v>4301070956</v>
      </c>
      <c r="D158" s="201">
        <v>4640242180250</v>
      </c>
      <c r="E158" s="202"/>
      <c r="F158" s="196">
        <v>5</v>
      </c>
      <c r="G158" s="32">
        <v>1</v>
      </c>
      <c r="H158" s="196">
        <v>5</v>
      </c>
      <c r="I158" s="196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6" t="s">
        <v>239</v>
      </c>
      <c r="Q158" s="204"/>
      <c r="R158" s="204"/>
      <c r="S158" s="204"/>
      <c r="T158" s="205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240</v>
      </c>
      <c r="B159" s="54" t="s">
        <v>241</v>
      </c>
      <c r="C159" s="31">
        <v>4301071028</v>
      </c>
      <c r="D159" s="201">
        <v>4607111036216</v>
      </c>
      <c r="E159" s="202"/>
      <c r="F159" s="196">
        <v>1</v>
      </c>
      <c r="G159" s="32">
        <v>5</v>
      </c>
      <c r="H159" s="196">
        <v>5</v>
      </c>
      <c r="I159" s="196">
        <v>5.266</v>
      </c>
      <c r="J159" s="32">
        <v>144</v>
      </c>
      <c r="K159" s="32" t="s">
        <v>67</v>
      </c>
      <c r="L159" s="32" t="s">
        <v>183</v>
      </c>
      <c r="M159" s="33" t="s">
        <v>69</v>
      </c>
      <c r="N159" s="33"/>
      <c r="O159" s="32">
        <v>180</v>
      </c>
      <c r="P159" s="3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7">
        <v>84</v>
      </c>
      <c r="Y159" s="198">
        <f>IFERROR(IF(X159="","",X159),"")</f>
        <v>84</v>
      </c>
      <c r="Z159" s="36">
        <f>IFERROR(IF(X159="","",X159*0.00866),"")</f>
        <v>0.72743999999999998</v>
      </c>
      <c r="AA159" s="56"/>
      <c r="AB159" s="57"/>
      <c r="AC159" s="68"/>
      <c r="AG159" s="67"/>
      <c r="AJ159" s="69" t="s">
        <v>184</v>
      </c>
      <c r="AK159" s="69">
        <v>144</v>
      </c>
      <c r="BB159" s="133" t="s">
        <v>1</v>
      </c>
      <c r="BM159" s="67">
        <f>IFERROR(X159*I159,"0")</f>
        <v>442.34399999999999</v>
      </c>
      <c r="BN159" s="67">
        <f>IFERROR(Y159*I159,"0")</f>
        <v>442.34399999999999</v>
      </c>
      <c r="BO159" s="67">
        <f>IFERROR(X159/J159,"0")</f>
        <v>0.58333333333333337</v>
      </c>
      <c r="BP159" s="67">
        <f>IFERROR(Y159/J159,"0")</f>
        <v>0.58333333333333337</v>
      </c>
    </row>
    <row r="160" spans="1:68" ht="27" customHeight="1" x14ac:dyDescent="0.25">
      <c r="A160" s="54" t="s">
        <v>242</v>
      </c>
      <c r="B160" s="54" t="s">
        <v>243</v>
      </c>
      <c r="C160" s="31">
        <v>4301071027</v>
      </c>
      <c r="D160" s="201">
        <v>4607111036278</v>
      </c>
      <c r="E160" s="202"/>
      <c r="F160" s="196">
        <v>1</v>
      </c>
      <c r="G160" s="32">
        <v>5</v>
      </c>
      <c r="H160" s="196">
        <v>5</v>
      </c>
      <c r="I160" s="196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39" t="s">
        <v>244</v>
      </c>
      <c r="Q160" s="204"/>
      <c r="R160" s="204"/>
      <c r="S160" s="204"/>
      <c r="T160" s="205"/>
      <c r="U160" s="34"/>
      <c r="V160" s="34"/>
      <c r="W160" s="35" t="s">
        <v>70</v>
      </c>
      <c r="X160" s="197">
        <v>0</v>
      </c>
      <c r="Y160" s="198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16"/>
      <c r="P161" s="210" t="s">
        <v>72</v>
      </c>
      <c r="Q161" s="211"/>
      <c r="R161" s="211"/>
      <c r="S161" s="211"/>
      <c r="T161" s="211"/>
      <c r="U161" s="211"/>
      <c r="V161" s="212"/>
      <c r="W161" s="37" t="s">
        <v>70</v>
      </c>
      <c r="X161" s="199">
        <f>IFERROR(SUM(X157:X160),"0")</f>
        <v>84</v>
      </c>
      <c r="Y161" s="199">
        <f>IFERROR(SUM(Y157:Y160),"0")</f>
        <v>84</v>
      </c>
      <c r="Z161" s="199">
        <f>IFERROR(IF(Z157="",0,Z157),"0")+IFERROR(IF(Z158="",0,Z158),"0")+IFERROR(IF(Z159="",0,Z159),"0")+IFERROR(IF(Z160="",0,Z160),"0")</f>
        <v>0.72743999999999998</v>
      </c>
      <c r="AA161" s="200"/>
      <c r="AB161" s="200"/>
      <c r="AC161" s="200"/>
    </row>
    <row r="162" spans="1:68" x14ac:dyDescent="0.2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16"/>
      <c r="P162" s="210" t="s">
        <v>72</v>
      </c>
      <c r="Q162" s="211"/>
      <c r="R162" s="211"/>
      <c r="S162" s="211"/>
      <c r="T162" s="211"/>
      <c r="U162" s="211"/>
      <c r="V162" s="212"/>
      <c r="W162" s="37" t="s">
        <v>73</v>
      </c>
      <c r="X162" s="199">
        <f>IFERROR(SUMPRODUCT(X157:X160*H157:H160),"0")</f>
        <v>420</v>
      </c>
      <c r="Y162" s="199">
        <f>IFERROR(SUMPRODUCT(Y157:Y160*H157:H160),"0")</f>
        <v>420</v>
      </c>
      <c r="Z162" s="37"/>
      <c r="AA162" s="200"/>
      <c r="AB162" s="200"/>
      <c r="AC162" s="200"/>
    </row>
    <row r="163" spans="1:68" ht="14.25" customHeight="1" x14ac:dyDescent="0.25">
      <c r="A163" s="243" t="s">
        <v>245</v>
      </c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  <c r="AA163" s="193"/>
      <c r="AB163" s="193"/>
      <c r="AC163" s="193"/>
    </row>
    <row r="164" spans="1:68" ht="27" customHeight="1" x14ac:dyDescent="0.25">
      <c r="A164" s="54" t="s">
        <v>246</v>
      </c>
      <c r="B164" s="54" t="s">
        <v>247</v>
      </c>
      <c r="C164" s="31">
        <v>4301080153</v>
      </c>
      <c r="D164" s="201">
        <v>4607111036827</v>
      </c>
      <c r="E164" s="202"/>
      <c r="F164" s="196">
        <v>1</v>
      </c>
      <c r="G164" s="32">
        <v>5</v>
      </c>
      <c r="H164" s="196">
        <v>5</v>
      </c>
      <c r="I164" s="196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7">
        <v>0</v>
      </c>
      <c r="Y164" s="198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248</v>
      </c>
      <c r="B165" s="54" t="s">
        <v>249</v>
      </c>
      <c r="C165" s="31">
        <v>4301080154</v>
      </c>
      <c r="D165" s="201">
        <v>4607111036834</v>
      </c>
      <c r="E165" s="202"/>
      <c r="F165" s="196">
        <v>1</v>
      </c>
      <c r="G165" s="32">
        <v>5</v>
      </c>
      <c r="H165" s="196">
        <v>5</v>
      </c>
      <c r="I165" s="196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7">
        <v>0</v>
      </c>
      <c r="Y165" s="198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5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16"/>
      <c r="P166" s="210" t="s">
        <v>72</v>
      </c>
      <c r="Q166" s="211"/>
      <c r="R166" s="211"/>
      <c r="S166" s="211"/>
      <c r="T166" s="211"/>
      <c r="U166" s="211"/>
      <c r="V166" s="212"/>
      <c r="W166" s="37" t="s">
        <v>70</v>
      </c>
      <c r="X166" s="199">
        <f>IFERROR(SUM(X164:X165),"0")</f>
        <v>0</v>
      </c>
      <c r="Y166" s="199">
        <f>IFERROR(SUM(Y164:Y165),"0")</f>
        <v>0</v>
      </c>
      <c r="Z166" s="199">
        <f>IFERROR(IF(Z164="",0,Z164),"0")+IFERROR(IF(Z165="",0,Z165),"0")</f>
        <v>0</v>
      </c>
      <c r="AA166" s="200"/>
      <c r="AB166" s="200"/>
      <c r="AC166" s="200"/>
    </row>
    <row r="167" spans="1:68" x14ac:dyDescent="0.2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16"/>
      <c r="P167" s="210" t="s">
        <v>72</v>
      </c>
      <c r="Q167" s="211"/>
      <c r="R167" s="211"/>
      <c r="S167" s="211"/>
      <c r="T167" s="211"/>
      <c r="U167" s="211"/>
      <c r="V167" s="212"/>
      <c r="W167" s="37" t="s">
        <v>73</v>
      </c>
      <c r="X167" s="199">
        <f>IFERROR(SUMPRODUCT(X164:X165*H164:H165),"0")</f>
        <v>0</v>
      </c>
      <c r="Y167" s="199">
        <f>IFERROR(SUMPRODUCT(Y164:Y165*H164:H165),"0")</f>
        <v>0</v>
      </c>
      <c r="Z167" s="37"/>
      <c r="AA167" s="200"/>
      <c r="AB167" s="200"/>
      <c r="AC167" s="200"/>
    </row>
    <row r="168" spans="1:68" ht="27.75" customHeight="1" x14ac:dyDescent="0.2">
      <c r="A168" s="240" t="s">
        <v>250</v>
      </c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  <c r="AA168" s="48"/>
      <c r="AB168" s="48"/>
      <c r="AC168" s="48"/>
    </row>
    <row r="169" spans="1:68" ht="16.5" customHeight="1" x14ac:dyDescent="0.25">
      <c r="A169" s="206" t="s">
        <v>251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192"/>
      <c r="AB169" s="192"/>
      <c r="AC169" s="192"/>
    </row>
    <row r="170" spans="1:68" ht="14.25" customHeight="1" x14ac:dyDescent="0.25">
      <c r="A170" s="243" t="s">
        <v>76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193"/>
      <c r="AB170" s="193"/>
      <c r="AC170" s="193"/>
    </row>
    <row r="171" spans="1:68" ht="27" customHeight="1" x14ac:dyDescent="0.25">
      <c r="A171" s="54" t="s">
        <v>252</v>
      </c>
      <c r="B171" s="54" t="s">
        <v>253</v>
      </c>
      <c r="C171" s="31">
        <v>4301132097</v>
      </c>
      <c r="D171" s="201">
        <v>4607111035721</v>
      </c>
      <c r="E171" s="202"/>
      <c r="F171" s="196">
        <v>0.25</v>
      </c>
      <c r="G171" s="32">
        <v>12</v>
      </c>
      <c r="H171" s="196">
        <v>3</v>
      </c>
      <c r="I171" s="196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7">
        <v>28</v>
      </c>
      <c r="Y171" s="198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254</v>
      </c>
      <c r="B172" s="54" t="s">
        <v>255</v>
      </c>
      <c r="C172" s="31">
        <v>4301132100</v>
      </c>
      <c r="D172" s="201">
        <v>4607111035691</v>
      </c>
      <c r="E172" s="202"/>
      <c r="F172" s="196">
        <v>0.25</v>
      </c>
      <c r="G172" s="32">
        <v>12</v>
      </c>
      <c r="H172" s="196">
        <v>3</v>
      </c>
      <c r="I172" s="196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7">
        <v>42</v>
      </c>
      <c r="Y172" s="198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142.29599999999999</v>
      </c>
      <c r="BN172" s="67">
        <f>IFERROR(Y172*I172,"0")</f>
        <v>142.29599999999999</v>
      </c>
      <c r="BO172" s="67">
        <f>IFERROR(X172/J172,"0")</f>
        <v>0.6</v>
      </c>
      <c r="BP172" s="67">
        <f>IFERROR(Y172/J172,"0")</f>
        <v>0.6</v>
      </c>
    </row>
    <row r="173" spans="1:68" ht="27" customHeight="1" x14ac:dyDescent="0.25">
      <c r="A173" s="54" t="s">
        <v>256</v>
      </c>
      <c r="B173" s="54" t="s">
        <v>257</v>
      </c>
      <c r="C173" s="31">
        <v>4301132079</v>
      </c>
      <c r="D173" s="201">
        <v>4607111038487</v>
      </c>
      <c r="E173" s="202"/>
      <c r="F173" s="196">
        <v>0.25</v>
      </c>
      <c r="G173" s="32">
        <v>12</v>
      </c>
      <c r="H173" s="196">
        <v>3</v>
      </c>
      <c r="I173" s="196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4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7">
        <v>0</v>
      </c>
      <c r="Y173" s="198">
        <f>IFERROR(IF(X173="","",X173),"")</f>
        <v>0</v>
      </c>
      <c r="Z173" s="36">
        <f>IFERROR(IF(X173="","",X173*0.01788),"")</f>
        <v>0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15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16"/>
      <c r="P174" s="210" t="s">
        <v>72</v>
      </c>
      <c r="Q174" s="211"/>
      <c r="R174" s="211"/>
      <c r="S174" s="211"/>
      <c r="T174" s="211"/>
      <c r="U174" s="211"/>
      <c r="V174" s="212"/>
      <c r="W174" s="37" t="s">
        <v>70</v>
      </c>
      <c r="X174" s="199">
        <f>IFERROR(SUM(X171:X173),"0")</f>
        <v>70</v>
      </c>
      <c r="Y174" s="199">
        <f>IFERROR(SUM(Y171:Y173),"0")</f>
        <v>70</v>
      </c>
      <c r="Z174" s="199">
        <f>IFERROR(IF(Z171="",0,Z171),"0")+IFERROR(IF(Z172="",0,Z172),"0")+IFERROR(IF(Z173="",0,Z173),"0")</f>
        <v>1.2515999999999998</v>
      </c>
      <c r="AA174" s="200"/>
      <c r="AB174" s="200"/>
      <c r="AC174" s="200"/>
    </row>
    <row r="175" spans="1:68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16"/>
      <c r="P175" s="210" t="s">
        <v>72</v>
      </c>
      <c r="Q175" s="211"/>
      <c r="R175" s="211"/>
      <c r="S175" s="211"/>
      <c r="T175" s="211"/>
      <c r="U175" s="211"/>
      <c r="V175" s="212"/>
      <c r="W175" s="37" t="s">
        <v>73</v>
      </c>
      <c r="X175" s="199">
        <f>IFERROR(SUMPRODUCT(X171:X173*H171:H173),"0")</f>
        <v>210</v>
      </c>
      <c r="Y175" s="199">
        <f>IFERROR(SUMPRODUCT(Y171:Y173*H171:H173),"0")</f>
        <v>210</v>
      </c>
      <c r="Z175" s="37"/>
      <c r="AA175" s="200"/>
      <c r="AB175" s="200"/>
      <c r="AC175" s="200"/>
    </row>
    <row r="176" spans="1:68" ht="14.25" customHeight="1" x14ac:dyDescent="0.25">
      <c r="A176" s="243" t="s">
        <v>258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193"/>
      <c r="AB176" s="193"/>
      <c r="AC176" s="193"/>
    </row>
    <row r="177" spans="1:68" ht="27" customHeight="1" x14ac:dyDescent="0.25">
      <c r="A177" s="54" t="s">
        <v>259</v>
      </c>
      <c r="B177" s="54" t="s">
        <v>260</v>
      </c>
      <c r="C177" s="31">
        <v>4301051319</v>
      </c>
      <c r="D177" s="201">
        <v>4680115881204</v>
      </c>
      <c r="E177" s="202"/>
      <c r="F177" s="196">
        <v>0.33</v>
      </c>
      <c r="G177" s="32">
        <v>6</v>
      </c>
      <c r="H177" s="196">
        <v>1.98</v>
      </c>
      <c r="I177" s="196">
        <v>2.246</v>
      </c>
      <c r="J177" s="32">
        <v>156</v>
      </c>
      <c r="K177" s="32" t="s">
        <v>67</v>
      </c>
      <c r="L177" s="32" t="s">
        <v>68</v>
      </c>
      <c r="M177" s="33" t="s">
        <v>261</v>
      </c>
      <c r="N177" s="33"/>
      <c r="O177" s="32">
        <v>365</v>
      </c>
      <c r="P177" s="36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7">
        <v>0</v>
      </c>
      <c r="Y177" s="198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16"/>
      <c r="P178" s="210" t="s">
        <v>72</v>
      </c>
      <c r="Q178" s="211"/>
      <c r="R178" s="211"/>
      <c r="S178" s="211"/>
      <c r="T178" s="211"/>
      <c r="U178" s="211"/>
      <c r="V178" s="212"/>
      <c r="W178" s="37" t="s">
        <v>70</v>
      </c>
      <c r="X178" s="199">
        <f>IFERROR(SUM(X177:X177),"0")</f>
        <v>0</v>
      </c>
      <c r="Y178" s="199">
        <f>IFERROR(SUM(Y177:Y177),"0")</f>
        <v>0</v>
      </c>
      <c r="Z178" s="199">
        <f>IFERROR(IF(Z177="",0,Z177),"0")</f>
        <v>0</v>
      </c>
      <c r="AA178" s="200"/>
      <c r="AB178" s="200"/>
      <c r="AC178" s="200"/>
    </row>
    <row r="179" spans="1:68" x14ac:dyDescent="0.2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16"/>
      <c r="P179" s="210" t="s">
        <v>72</v>
      </c>
      <c r="Q179" s="211"/>
      <c r="R179" s="211"/>
      <c r="S179" s="211"/>
      <c r="T179" s="211"/>
      <c r="U179" s="211"/>
      <c r="V179" s="212"/>
      <c r="W179" s="37" t="s">
        <v>73</v>
      </c>
      <c r="X179" s="199">
        <f>IFERROR(SUMPRODUCT(X177:X177*H177:H177),"0")</f>
        <v>0</v>
      </c>
      <c r="Y179" s="199">
        <f>IFERROR(SUMPRODUCT(Y177:Y177*H177:H177),"0")</f>
        <v>0</v>
      </c>
      <c r="Z179" s="37"/>
      <c r="AA179" s="200"/>
      <c r="AB179" s="200"/>
      <c r="AC179" s="200"/>
    </row>
    <row r="180" spans="1:68" ht="27.75" customHeight="1" x14ac:dyDescent="0.2">
      <c r="A180" s="240" t="s">
        <v>263</v>
      </c>
      <c r="B180" s="241"/>
      <c r="C180" s="241"/>
      <c r="D180" s="241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48"/>
      <c r="AB180" s="48"/>
      <c r="AC180" s="48"/>
    </row>
    <row r="181" spans="1:68" ht="16.5" customHeight="1" x14ac:dyDescent="0.25">
      <c r="A181" s="206" t="s">
        <v>264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192"/>
      <c r="AB181" s="192"/>
      <c r="AC181" s="192"/>
    </row>
    <row r="182" spans="1:68" ht="14.25" customHeight="1" x14ac:dyDescent="0.25">
      <c r="A182" s="243" t="s">
        <v>64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193"/>
      <c r="AB182" s="193"/>
      <c r="AC182" s="193"/>
    </row>
    <row r="183" spans="1:68" ht="16.5" customHeight="1" x14ac:dyDescent="0.25">
      <c r="A183" s="54" t="s">
        <v>265</v>
      </c>
      <c r="B183" s="54" t="s">
        <v>266</v>
      </c>
      <c r="C183" s="31">
        <v>4301070948</v>
      </c>
      <c r="D183" s="201">
        <v>4607111037022</v>
      </c>
      <c r="E183" s="202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7">
        <v>36</v>
      </c>
      <c r="Y183" s="198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customHeight="1" x14ac:dyDescent="0.25">
      <c r="A184" s="54" t="s">
        <v>267</v>
      </c>
      <c r="B184" s="54" t="s">
        <v>268</v>
      </c>
      <c r="C184" s="31">
        <v>4301070990</v>
      </c>
      <c r="D184" s="201">
        <v>4607111038494</v>
      </c>
      <c r="E184" s="202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7">
        <v>0</v>
      </c>
      <c r="Y184" s="198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269</v>
      </c>
      <c r="B185" s="54" t="s">
        <v>270</v>
      </c>
      <c r="C185" s="31">
        <v>4301070966</v>
      </c>
      <c r="D185" s="201">
        <v>4607111038135</v>
      </c>
      <c r="E185" s="202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5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16"/>
      <c r="P186" s="210" t="s">
        <v>72</v>
      </c>
      <c r="Q186" s="211"/>
      <c r="R186" s="211"/>
      <c r="S186" s="211"/>
      <c r="T186" s="211"/>
      <c r="U186" s="211"/>
      <c r="V186" s="212"/>
      <c r="W186" s="37" t="s">
        <v>70</v>
      </c>
      <c r="X186" s="199">
        <f>IFERROR(SUM(X183:X185),"0")</f>
        <v>36</v>
      </c>
      <c r="Y186" s="199">
        <f>IFERROR(SUM(Y183:Y185),"0")</f>
        <v>36</v>
      </c>
      <c r="Z186" s="199">
        <f>IFERROR(IF(Z183="",0,Z183),"0")+IFERROR(IF(Z184="",0,Z184),"0")+IFERROR(IF(Z185="",0,Z185),"0")</f>
        <v>0.55800000000000005</v>
      </c>
      <c r="AA186" s="200"/>
      <c r="AB186" s="200"/>
      <c r="AC186" s="200"/>
    </row>
    <row r="187" spans="1:68" x14ac:dyDescent="0.2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16"/>
      <c r="P187" s="210" t="s">
        <v>72</v>
      </c>
      <c r="Q187" s="211"/>
      <c r="R187" s="211"/>
      <c r="S187" s="211"/>
      <c r="T187" s="211"/>
      <c r="U187" s="211"/>
      <c r="V187" s="212"/>
      <c r="W187" s="37" t="s">
        <v>73</v>
      </c>
      <c r="X187" s="199">
        <f>IFERROR(SUMPRODUCT(X183:X185*H183:H185),"0")</f>
        <v>201.6</v>
      </c>
      <c r="Y187" s="199">
        <f>IFERROR(SUMPRODUCT(Y183:Y185*H183:H185),"0")</f>
        <v>201.6</v>
      </c>
      <c r="Z187" s="37"/>
      <c r="AA187" s="200"/>
      <c r="AB187" s="200"/>
      <c r="AC187" s="200"/>
    </row>
    <row r="188" spans="1:68" ht="16.5" customHeight="1" x14ac:dyDescent="0.25">
      <c r="A188" s="206" t="s">
        <v>271</v>
      </c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  <c r="AA188" s="192"/>
      <c r="AB188" s="192"/>
      <c r="AC188" s="192"/>
    </row>
    <row r="189" spans="1:68" ht="14.25" customHeight="1" x14ac:dyDescent="0.25">
      <c r="A189" s="243" t="s">
        <v>64</v>
      </c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193"/>
      <c r="AB189" s="193"/>
      <c r="AC189" s="193"/>
    </row>
    <row r="190" spans="1:68" ht="27" customHeight="1" x14ac:dyDescent="0.25">
      <c r="A190" s="54" t="s">
        <v>272</v>
      </c>
      <c r="B190" s="54" t="s">
        <v>273</v>
      </c>
      <c r="C190" s="31">
        <v>4301070996</v>
      </c>
      <c r="D190" s="201">
        <v>4607111038654</v>
      </c>
      <c r="E190" s="202"/>
      <c r="F190" s="196">
        <v>0.4</v>
      </c>
      <c r="G190" s="32">
        <v>16</v>
      </c>
      <c r="H190" s="196">
        <v>6.4</v>
      </c>
      <c r="I190" s="196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7">
        <v>0</v>
      </c>
      <c r="Y190" s="198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274</v>
      </c>
      <c r="B191" s="54" t="s">
        <v>275</v>
      </c>
      <c r="C191" s="31">
        <v>4301070997</v>
      </c>
      <c r="D191" s="201">
        <v>4607111038586</v>
      </c>
      <c r="E191" s="202"/>
      <c r="F191" s="196">
        <v>0.7</v>
      </c>
      <c r="G191" s="32">
        <v>8</v>
      </c>
      <c r="H191" s="196">
        <v>5.6</v>
      </c>
      <c r="I191" s="196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7">
        <v>12</v>
      </c>
      <c r="Y191" s="198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69.960000000000008</v>
      </c>
      <c r="BN191" s="67">
        <f t="shared" si="21"/>
        <v>69.960000000000008</v>
      </c>
      <c r="BO191" s="67">
        <f t="shared" si="22"/>
        <v>0.14285714285714285</v>
      </c>
      <c r="BP191" s="67">
        <f t="shared" si="23"/>
        <v>0.14285714285714285</v>
      </c>
    </row>
    <row r="192" spans="1:68" ht="27" customHeight="1" x14ac:dyDescent="0.25">
      <c r="A192" s="54" t="s">
        <v>276</v>
      </c>
      <c r="B192" s="54" t="s">
        <v>277</v>
      </c>
      <c r="C192" s="31">
        <v>4301070962</v>
      </c>
      <c r="D192" s="201">
        <v>4607111038609</v>
      </c>
      <c r="E192" s="202"/>
      <c r="F192" s="196">
        <v>0.4</v>
      </c>
      <c r="G192" s="32">
        <v>16</v>
      </c>
      <c r="H192" s="196">
        <v>6.4</v>
      </c>
      <c r="I192" s="196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278</v>
      </c>
      <c r="B193" s="54" t="s">
        <v>279</v>
      </c>
      <c r="C193" s="31">
        <v>4301070963</v>
      </c>
      <c r="D193" s="201">
        <v>4607111038630</v>
      </c>
      <c r="E193" s="202"/>
      <c r="F193" s="196">
        <v>0.7</v>
      </c>
      <c r="G193" s="32">
        <v>8</v>
      </c>
      <c r="H193" s="196">
        <v>5.6</v>
      </c>
      <c r="I193" s="196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7">
        <v>24</v>
      </c>
      <c r="Y193" s="198">
        <f t="shared" si="18"/>
        <v>24</v>
      </c>
      <c r="Z193" s="36">
        <f t="shared" si="19"/>
        <v>0.372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140.88</v>
      </c>
      <c r="BN193" s="67">
        <f t="shared" si="21"/>
        <v>140.88</v>
      </c>
      <c r="BO193" s="67">
        <f t="shared" si="22"/>
        <v>0.2857142857142857</v>
      </c>
      <c r="BP193" s="67">
        <f t="shared" si="23"/>
        <v>0.2857142857142857</v>
      </c>
    </row>
    <row r="194" spans="1:68" ht="27" customHeight="1" x14ac:dyDescent="0.25">
      <c r="A194" s="54" t="s">
        <v>280</v>
      </c>
      <c r="B194" s="54" t="s">
        <v>281</v>
      </c>
      <c r="C194" s="31">
        <v>4301070959</v>
      </c>
      <c r="D194" s="201">
        <v>4607111038616</v>
      </c>
      <c r="E194" s="202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4301070960</v>
      </c>
      <c r="D195" s="201">
        <v>4607111038623</v>
      </c>
      <c r="E195" s="202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7">
        <v>12</v>
      </c>
      <c r="Y195" s="198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215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16"/>
      <c r="P196" s="210" t="s">
        <v>72</v>
      </c>
      <c r="Q196" s="211"/>
      <c r="R196" s="211"/>
      <c r="S196" s="211"/>
      <c r="T196" s="211"/>
      <c r="U196" s="211"/>
      <c r="V196" s="212"/>
      <c r="W196" s="37" t="s">
        <v>70</v>
      </c>
      <c r="X196" s="199">
        <f>IFERROR(SUM(X190:X195),"0")</f>
        <v>48</v>
      </c>
      <c r="Y196" s="199">
        <f>IFERROR(SUM(Y190:Y195),"0")</f>
        <v>48</v>
      </c>
      <c r="Z196" s="199">
        <f>IFERROR(IF(Z190="",0,Z190),"0")+IFERROR(IF(Z191="",0,Z191),"0")+IFERROR(IF(Z192="",0,Z192),"0")+IFERROR(IF(Z193="",0,Z193),"0")+IFERROR(IF(Z194="",0,Z194),"0")+IFERROR(IF(Z195="",0,Z195),"0")</f>
        <v>0.74399999999999999</v>
      </c>
      <c r="AA196" s="200"/>
      <c r="AB196" s="200"/>
      <c r="AC196" s="200"/>
    </row>
    <row r="197" spans="1:68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16"/>
      <c r="P197" s="210" t="s">
        <v>72</v>
      </c>
      <c r="Q197" s="211"/>
      <c r="R197" s="211"/>
      <c r="S197" s="211"/>
      <c r="T197" s="211"/>
      <c r="U197" s="211"/>
      <c r="V197" s="212"/>
      <c r="W197" s="37" t="s">
        <v>73</v>
      </c>
      <c r="X197" s="199">
        <f>IFERROR(SUMPRODUCT(X190:X195*H190:H195),"0")</f>
        <v>268.79999999999995</v>
      </c>
      <c r="Y197" s="199">
        <f>IFERROR(SUMPRODUCT(Y190:Y195*H190:H195),"0")</f>
        <v>268.79999999999995</v>
      </c>
      <c r="Z197" s="37"/>
      <c r="AA197" s="200"/>
      <c r="AB197" s="200"/>
      <c r="AC197" s="200"/>
    </row>
    <row r="198" spans="1:68" ht="16.5" customHeight="1" x14ac:dyDescent="0.25">
      <c r="A198" s="206" t="s">
        <v>284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  <c r="AA198" s="192"/>
      <c r="AB198" s="192"/>
      <c r="AC198" s="192"/>
    </row>
    <row r="199" spans="1:68" ht="14.25" customHeight="1" x14ac:dyDescent="0.25">
      <c r="A199" s="243" t="s">
        <v>64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  <c r="AA199" s="193"/>
      <c r="AB199" s="193"/>
      <c r="AC199" s="193"/>
    </row>
    <row r="200" spans="1:68" ht="27" customHeight="1" x14ac:dyDescent="0.25">
      <c r="A200" s="54" t="s">
        <v>285</v>
      </c>
      <c r="B200" s="54" t="s">
        <v>286</v>
      </c>
      <c r="C200" s="31">
        <v>4301070915</v>
      </c>
      <c r="D200" s="201">
        <v>4607111035882</v>
      </c>
      <c r="E200" s="202"/>
      <c r="F200" s="196">
        <v>0.43</v>
      </c>
      <c r="G200" s="32">
        <v>16</v>
      </c>
      <c r="H200" s="196">
        <v>6.88</v>
      </c>
      <c r="I200" s="196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4301070921</v>
      </c>
      <c r="D201" s="201">
        <v>4607111035905</v>
      </c>
      <c r="E201" s="202"/>
      <c r="F201" s="196">
        <v>0.9</v>
      </c>
      <c r="G201" s="32">
        <v>8</v>
      </c>
      <c r="H201" s="196">
        <v>7.2</v>
      </c>
      <c r="I201" s="196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7">
        <v>12</v>
      </c>
      <c r="Y201" s="198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customHeight="1" x14ac:dyDescent="0.25">
      <c r="A202" s="54" t="s">
        <v>289</v>
      </c>
      <c r="B202" s="54" t="s">
        <v>290</v>
      </c>
      <c r="C202" s="31">
        <v>4301070917</v>
      </c>
      <c r="D202" s="201">
        <v>4607111035912</v>
      </c>
      <c r="E202" s="202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291</v>
      </c>
      <c r="B203" s="54" t="s">
        <v>292</v>
      </c>
      <c r="C203" s="31">
        <v>4301070920</v>
      </c>
      <c r="D203" s="201">
        <v>4607111035929</v>
      </c>
      <c r="E203" s="202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7">
        <v>12</v>
      </c>
      <c r="Y203" s="198">
        <f>IFERROR(IF(X203="","",X203),"")</f>
        <v>12</v>
      </c>
      <c r="Z203" s="36">
        <f>IFERROR(IF(X203="","",X203*0.0155),"")</f>
        <v>0.186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15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16"/>
      <c r="P204" s="210" t="s">
        <v>72</v>
      </c>
      <c r="Q204" s="211"/>
      <c r="R204" s="211"/>
      <c r="S204" s="211"/>
      <c r="T204" s="211"/>
      <c r="U204" s="211"/>
      <c r="V204" s="212"/>
      <c r="W204" s="37" t="s">
        <v>70</v>
      </c>
      <c r="X204" s="199">
        <f>IFERROR(SUM(X200:X203),"0")</f>
        <v>24</v>
      </c>
      <c r="Y204" s="199">
        <f>IFERROR(SUM(Y200:Y203),"0")</f>
        <v>24</v>
      </c>
      <c r="Z204" s="199">
        <f>IFERROR(IF(Z200="",0,Z200),"0")+IFERROR(IF(Z201="",0,Z201),"0")+IFERROR(IF(Z202="",0,Z202),"0")+IFERROR(IF(Z203="",0,Z203),"0")</f>
        <v>0.372</v>
      </c>
      <c r="AA204" s="200"/>
      <c r="AB204" s="200"/>
      <c r="AC204" s="200"/>
    </row>
    <row r="205" spans="1:68" x14ac:dyDescent="0.2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16"/>
      <c r="P205" s="210" t="s">
        <v>72</v>
      </c>
      <c r="Q205" s="211"/>
      <c r="R205" s="211"/>
      <c r="S205" s="211"/>
      <c r="T205" s="211"/>
      <c r="U205" s="211"/>
      <c r="V205" s="212"/>
      <c r="W205" s="37" t="s">
        <v>73</v>
      </c>
      <c r="X205" s="199">
        <f>IFERROR(SUMPRODUCT(X200:X203*H200:H203),"0")</f>
        <v>172.8</v>
      </c>
      <c r="Y205" s="199">
        <f>IFERROR(SUMPRODUCT(Y200:Y203*H200:H203),"0")</f>
        <v>172.8</v>
      </c>
      <c r="Z205" s="37"/>
      <c r="AA205" s="200"/>
      <c r="AB205" s="200"/>
      <c r="AC205" s="200"/>
    </row>
    <row r="206" spans="1:68" ht="16.5" customHeight="1" x14ac:dyDescent="0.25">
      <c r="A206" s="206" t="s">
        <v>293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192"/>
      <c r="AB206" s="192"/>
      <c r="AC206" s="192"/>
    </row>
    <row r="207" spans="1:68" ht="14.25" customHeight="1" x14ac:dyDescent="0.25">
      <c r="A207" s="243" t="s">
        <v>64</v>
      </c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193"/>
      <c r="AB207" s="193"/>
      <c r="AC207" s="193"/>
    </row>
    <row r="208" spans="1:68" ht="16.5" customHeight="1" x14ac:dyDescent="0.25">
      <c r="A208" s="54" t="s">
        <v>294</v>
      </c>
      <c r="B208" s="54" t="s">
        <v>295</v>
      </c>
      <c r="C208" s="31">
        <v>4301071063</v>
      </c>
      <c r="D208" s="201">
        <v>4607111039019</v>
      </c>
      <c r="E208" s="202"/>
      <c r="F208" s="196">
        <v>0.43</v>
      </c>
      <c r="G208" s="32">
        <v>16</v>
      </c>
      <c r="H208" s="196">
        <v>6.88</v>
      </c>
      <c r="I208" s="196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5" t="s">
        <v>296</v>
      </c>
      <c r="Q208" s="204"/>
      <c r="R208" s="204"/>
      <c r="S208" s="204"/>
      <c r="T208" s="205"/>
      <c r="U208" s="34"/>
      <c r="V208" s="34"/>
      <c r="W208" s="35" t="s">
        <v>70</v>
      </c>
      <c r="X208" s="197">
        <v>0</v>
      </c>
      <c r="Y208" s="198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297</v>
      </c>
      <c r="B209" s="54" t="s">
        <v>298</v>
      </c>
      <c r="C209" s="31">
        <v>4301071000</v>
      </c>
      <c r="D209" s="201">
        <v>4607111038708</v>
      </c>
      <c r="E209" s="202"/>
      <c r="F209" s="196">
        <v>0.8</v>
      </c>
      <c r="G209" s="32">
        <v>8</v>
      </c>
      <c r="H209" s="196">
        <v>6.4</v>
      </c>
      <c r="I209" s="196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7">
        <v>0</v>
      </c>
      <c r="Y209" s="198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5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16"/>
      <c r="P210" s="210" t="s">
        <v>72</v>
      </c>
      <c r="Q210" s="211"/>
      <c r="R210" s="211"/>
      <c r="S210" s="211"/>
      <c r="T210" s="211"/>
      <c r="U210" s="211"/>
      <c r="V210" s="212"/>
      <c r="W210" s="37" t="s">
        <v>70</v>
      </c>
      <c r="X210" s="199">
        <f>IFERROR(SUM(X208:X209),"0")</f>
        <v>0</v>
      </c>
      <c r="Y210" s="199">
        <f>IFERROR(SUM(Y208:Y209),"0")</f>
        <v>0</v>
      </c>
      <c r="Z210" s="199">
        <f>IFERROR(IF(Z208="",0,Z208),"0")+IFERROR(IF(Z209="",0,Z209),"0")</f>
        <v>0</v>
      </c>
      <c r="AA210" s="200"/>
      <c r="AB210" s="200"/>
      <c r="AC210" s="200"/>
    </row>
    <row r="211" spans="1:68" x14ac:dyDescent="0.2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16"/>
      <c r="P211" s="210" t="s">
        <v>72</v>
      </c>
      <c r="Q211" s="211"/>
      <c r="R211" s="211"/>
      <c r="S211" s="211"/>
      <c r="T211" s="211"/>
      <c r="U211" s="211"/>
      <c r="V211" s="212"/>
      <c r="W211" s="37" t="s">
        <v>73</v>
      </c>
      <c r="X211" s="199">
        <f>IFERROR(SUMPRODUCT(X208:X209*H208:H209),"0")</f>
        <v>0</v>
      </c>
      <c r="Y211" s="199">
        <f>IFERROR(SUMPRODUCT(Y208:Y209*H208:H209),"0")</f>
        <v>0</v>
      </c>
      <c r="Z211" s="37"/>
      <c r="AA211" s="200"/>
      <c r="AB211" s="200"/>
      <c r="AC211" s="200"/>
    </row>
    <row r="212" spans="1:68" ht="27.75" customHeight="1" x14ac:dyDescent="0.2">
      <c r="A212" s="240" t="s">
        <v>299</v>
      </c>
      <c r="B212" s="241"/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  <c r="AA212" s="48"/>
      <c r="AB212" s="48"/>
      <c r="AC212" s="48"/>
    </row>
    <row r="213" spans="1:68" ht="16.5" customHeight="1" x14ac:dyDescent="0.25">
      <c r="A213" s="206" t="s">
        <v>300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192"/>
      <c r="AB213" s="192"/>
      <c r="AC213" s="192"/>
    </row>
    <row r="214" spans="1:68" ht="14.25" customHeight="1" x14ac:dyDescent="0.25">
      <c r="A214" s="243" t="s">
        <v>64</v>
      </c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193"/>
      <c r="AB214" s="193"/>
      <c r="AC214" s="193"/>
    </row>
    <row r="215" spans="1:68" ht="27" customHeight="1" x14ac:dyDescent="0.25">
      <c r="A215" s="54" t="s">
        <v>301</v>
      </c>
      <c r="B215" s="54" t="s">
        <v>302</v>
      </c>
      <c r="C215" s="31">
        <v>4301071036</v>
      </c>
      <c r="D215" s="201">
        <v>4607111036162</v>
      </c>
      <c r="E215" s="202"/>
      <c r="F215" s="196">
        <v>0.8</v>
      </c>
      <c r="G215" s="32">
        <v>8</v>
      </c>
      <c r="H215" s="196">
        <v>6.4</v>
      </c>
      <c r="I215" s="196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5" t="s">
        <v>303</v>
      </c>
      <c r="Q215" s="204"/>
      <c r="R215" s="204"/>
      <c r="S215" s="204"/>
      <c r="T215" s="205"/>
      <c r="U215" s="34"/>
      <c r="V215" s="34"/>
      <c r="W215" s="35" t="s">
        <v>70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5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16"/>
      <c r="P216" s="210" t="s">
        <v>72</v>
      </c>
      <c r="Q216" s="211"/>
      <c r="R216" s="211"/>
      <c r="S216" s="211"/>
      <c r="T216" s="211"/>
      <c r="U216" s="211"/>
      <c r="V216" s="212"/>
      <c r="W216" s="37" t="s">
        <v>70</v>
      </c>
      <c r="X216" s="199">
        <f>IFERROR(SUM(X215:X215),"0")</f>
        <v>0</v>
      </c>
      <c r="Y216" s="199">
        <f>IFERROR(SUM(Y215:Y215),"0")</f>
        <v>0</v>
      </c>
      <c r="Z216" s="199">
        <f>IFERROR(IF(Z215="",0,Z215),"0")</f>
        <v>0</v>
      </c>
      <c r="AA216" s="200"/>
      <c r="AB216" s="200"/>
      <c r="AC216" s="200"/>
    </row>
    <row r="217" spans="1:68" x14ac:dyDescent="0.2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16"/>
      <c r="P217" s="210" t="s">
        <v>72</v>
      </c>
      <c r="Q217" s="211"/>
      <c r="R217" s="211"/>
      <c r="S217" s="211"/>
      <c r="T217" s="211"/>
      <c r="U217" s="211"/>
      <c r="V217" s="212"/>
      <c r="W217" s="37" t="s">
        <v>73</v>
      </c>
      <c r="X217" s="199">
        <f>IFERROR(SUMPRODUCT(X215:X215*H215:H215),"0")</f>
        <v>0</v>
      </c>
      <c r="Y217" s="199">
        <f>IFERROR(SUMPRODUCT(Y215:Y215*H215:H215),"0")</f>
        <v>0</v>
      </c>
      <c r="Z217" s="37"/>
      <c r="AA217" s="200"/>
      <c r="AB217" s="200"/>
      <c r="AC217" s="200"/>
    </row>
    <row r="218" spans="1:68" ht="27.75" customHeight="1" x14ac:dyDescent="0.2">
      <c r="A218" s="240" t="s">
        <v>304</v>
      </c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48"/>
      <c r="AB218" s="48"/>
      <c r="AC218" s="48"/>
    </row>
    <row r="219" spans="1:68" ht="16.5" customHeight="1" x14ac:dyDescent="0.25">
      <c r="A219" s="206" t="s">
        <v>305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192"/>
      <c r="AB219" s="192"/>
      <c r="AC219" s="192"/>
    </row>
    <row r="220" spans="1:68" ht="14.25" customHeight="1" x14ac:dyDescent="0.25">
      <c r="A220" s="243" t="s">
        <v>64</v>
      </c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193"/>
      <c r="AB220" s="193"/>
      <c r="AC220" s="193"/>
    </row>
    <row r="221" spans="1:68" ht="27" customHeight="1" x14ac:dyDescent="0.25">
      <c r="A221" s="54" t="s">
        <v>306</v>
      </c>
      <c r="B221" s="54" t="s">
        <v>307</v>
      </c>
      <c r="C221" s="31">
        <v>4301071029</v>
      </c>
      <c r="D221" s="201">
        <v>4607111035899</v>
      </c>
      <c r="E221" s="202"/>
      <c r="F221" s="196">
        <v>1</v>
      </c>
      <c r="G221" s="32">
        <v>5</v>
      </c>
      <c r="H221" s="196">
        <v>5</v>
      </c>
      <c r="I221" s="196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7">
        <v>0</v>
      </c>
      <c r="Y221" s="198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308</v>
      </c>
      <c r="B222" s="54" t="s">
        <v>309</v>
      </c>
      <c r="C222" s="31">
        <v>4301070991</v>
      </c>
      <c r="D222" s="201">
        <v>4607111038180</v>
      </c>
      <c r="E222" s="202"/>
      <c r="F222" s="196">
        <v>0.4</v>
      </c>
      <c r="G222" s="32">
        <v>16</v>
      </c>
      <c r="H222" s="196">
        <v>6.4</v>
      </c>
      <c r="I222" s="196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5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16"/>
      <c r="P223" s="210" t="s">
        <v>72</v>
      </c>
      <c r="Q223" s="211"/>
      <c r="R223" s="211"/>
      <c r="S223" s="211"/>
      <c r="T223" s="211"/>
      <c r="U223" s="211"/>
      <c r="V223" s="212"/>
      <c r="W223" s="37" t="s">
        <v>70</v>
      </c>
      <c r="X223" s="199">
        <f>IFERROR(SUM(X221:X222),"0")</f>
        <v>0</v>
      </c>
      <c r="Y223" s="199">
        <f>IFERROR(SUM(Y221:Y222),"0")</f>
        <v>0</v>
      </c>
      <c r="Z223" s="199">
        <f>IFERROR(IF(Z221="",0,Z221),"0")+IFERROR(IF(Z222="",0,Z222),"0")</f>
        <v>0</v>
      </c>
      <c r="AA223" s="200"/>
      <c r="AB223" s="200"/>
      <c r="AC223" s="200"/>
    </row>
    <row r="224" spans="1:68" x14ac:dyDescent="0.2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16"/>
      <c r="P224" s="210" t="s">
        <v>72</v>
      </c>
      <c r="Q224" s="211"/>
      <c r="R224" s="211"/>
      <c r="S224" s="211"/>
      <c r="T224" s="211"/>
      <c r="U224" s="211"/>
      <c r="V224" s="212"/>
      <c r="W224" s="37" t="s">
        <v>73</v>
      </c>
      <c r="X224" s="199">
        <f>IFERROR(SUMPRODUCT(X221:X222*H221:H222),"0")</f>
        <v>0</v>
      </c>
      <c r="Y224" s="199">
        <f>IFERROR(SUMPRODUCT(Y221:Y222*H221:H222),"0")</f>
        <v>0</v>
      </c>
      <c r="Z224" s="37"/>
      <c r="AA224" s="200"/>
      <c r="AB224" s="200"/>
      <c r="AC224" s="200"/>
    </row>
    <row r="225" spans="1:68" ht="27.75" customHeight="1" x14ac:dyDescent="0.2">
      <c r="A225" s="240" t="s">
        <v>229</v>
      </c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  <c r="AA225" s="48"/>
      <c r="AB225" s="48"/>
      <c r="AC225" s="48"/>
    </row>
    <row r="226" spans="1:68" ht="16.5" customHeight="1" x14ac:dyDescent="0.25">
      <c r="A226" s="206" t="s">
        <v>229</v>
      </c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192"/>
      <c r="AB226" s="192"/>
      <c r="AC226" s="192"/>
    </row>
    <row r="227" spans="1:68" ht="14.25" customHeight="1" x14ac:dyDescent="0.25">
      <c r="A227" s="243" t="s">
        <v>64</v>
      </c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193"/>
      <c r="AB227" s="193"/>
      <c r="AC227" s="193"/>
    </row>
    <row r="228" spans="1:68" ht="27" customHeight="1" x14ac:dyDescent="0.25">
      <c r="A228" s="54" t="s">
        <v>310</v>
      </c>
      <c r="B228" s="54" t="s">
        <v>311</v>
      </c>
      <c r="C228" s="31">
        <v>4301071014</v>
      </c>
      <c r="D228" s="201">
        <v>4640242181264</v>
      </c>
      <c r="E228" s="202"/>
      <c r="F228" s="196">
        <v>0.7</v>
      </c>
      <c r="G228" s="32">
        <v>10</v>
      </c>
      <c r="H228" s="196">
        <v>7</v>
      </c>
      <c r="I228" s="196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99" t="s">
        <v>312</v>
      </c>
      <c r="Q228" s="204"/>
      <c r="R228" s="204"/>
      <c r="S228" s="204"/>
      <c r="T228" s="205"/>
      <c r="U228" s="34"/>
      <c r="V228" s="34"/>
      <c r="W228" s="35" t="s">
        <v>70</v>
      </c>
      <c r="X228" s="197">
        <v>0</v>
      </c>
      <c r="Y228" s="198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313</v>
      </c>
      <c r="B229" s="54" t="s">
        <v>314</v>
      </c>
      <c r="C229" s="31">
        <v>4301071021</v>
      </c>
      <c r="D229" s="201">
        <v>4640242181325</v>
      </c>
      <c r="E229" s="202"/>
      <c r="F229" s="196">
        <v>0.7</v>
      </c>
      <c r="G229" s="32">
        <v>10</v>
      </c>
      <c r="H229" s="196">
        <v>7</v>
      </c>
      <c r="I229" s="196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8" t="s">
        <v>315</v>
      </c>
      <c r="Q229" s="204"/>
      <c r="R229" s="204"/>
      <c r="S229" s="204"/>
      <c r="T229" s="205"/>
      <c r="U229" s="34"/>
      <c r="V229" s="34"/>
      <c r="W229" s="35" t="s">
        <v>70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4301070993</v>
      </c>
      <c r="D230" s="201">
        <v>4640242180670</v>
      </c>
      <c r="E230" s="202"/>
      <c r="F230" s="196">
        <v>1</v>
      </c>
      <c r="G230" s="32">
        <v>6</v>
      </c>
      <c r="H230" s="196">
        <v>6</v>
      </c>
      <c r="I230" s="196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71" t="s">
        <v>318</v>
      </c>
      <c r="Q230" s="204"/>
      <c r="R230" s="204"/>
      <c r="S230" s="204"/>
      <c r="T230" s="205"/>
      <c r="U230" s="34"/>
      <c r="V230" s="34"/>
      <c r="W230" s="35" t="s">
        <v>70</v>
      </c>
      <c r="X230" s="197">
        <v>0</v>
      </c>
      <c r="Y230" s="198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15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16"/>
      <c r="P231" s="210" t="s">
        <v>72</v>
      </c>
      <c r="Q231" s="211"/>
      <c r="R231" s="211"/>
      <c r="S231" s="211"/>
      <c r="T231" s="211"/>
      <c r="U231" s="211"/>
      <c r="V231" s="212"/>
      <c r="W231" s="37" t="s">
        <v>70</v>
      </c>
      <c r="X231" s="199">
        <f>IFERROR(SUM(X228:X230),"0")</f>
        <v>0</v>
      </c>
      <c r="Y231" s="199">
        <f>IFERROR(SUM(Y228:Y230),"0")</f>
        <v>0</v>
      </c>
      <c r="Z231" s="199">
        <f>IFERROR(IF(Z228="",0,Z228),"0")+IFERROR(IF(Z229="",0,Z229),"0")+IFERROR(IF(Z230="",0,Z230),"0")</f>
        <v>0</v>
      </c>
      <c r="AA231" s="200"/>
      <c r="AB231" s="200"/>
      <c r="AC231" s="200"/>
    </row>
    <row r="232" spans="1:68" x14ac:dyDescent="0.2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16"/>
      <c r="P232" s="210" t="s">
        <v>72</v>
      </c>
      <c r="Q232" s="211"/>
      <c r="R232" s="211"/>
      <c r="S232" s="211"/>
      <c r="T232" s="211"/>
      <c r="U232" s="211"/>
      <c r="V232" s="212"/>
      <c r="W232" s="37" t="s">
        <v>73</v>
      </c>
      <c r="X232" s="199">
        <f>IFERROR(SUMPRODUCT(X228:X230*H228:H230),"0")</f>
        <v>0</v>
      </c>
      <c r="Y232" s="199">
        <f>IFERROR(SUMPRODUCT(Y228:Y230*H228:H230),"0")</f>
        <v>0</v>
      </c>
      <c r="Z232" s="37"/>
      <c r="AA232" s="200"/>
      <c r="AB232" s="200"/>
      <c r="AC232" s="200"/>
    </row>
    <row r="233" spans="1:68" ht="14.25" customHeight="1" x14ac:dyDescent="0.25">
      <c r="A233" s="243" t="s">
        <v>148</v>
      </c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193"/>
      <c r="AB233" s="193"/>
      <c r="AC233" s="193"/>
    </row>
    <row r="234" spans="1:68" ht="27" customHeight="1" x14ac:dyDescent="0.25">
      <c r="A234" s="54" t="s">
        <v>319</v>
      </c>
      <c r="B234" s="54" t="s">
        <v>320</v>
      </c>
      <c r="C234" s="31">
        <v>4301131019</v>
      </c>
      <c r="D234" s="201">
        <v>4640242180427</v>
      </c>
      <c r="E234" s="202"/>
      <c r="F234" s="196">
        <v>1.8</v>
      </c>
      <c r="G234" s="32">
        <v>1</v>
      </c>
      <c r="H234" s="196">
        <v>1.8</v>
      </c>
      <c r="I234" s="196">
        <v>1.915</v>
      </c>
      <c r="J234" s="32">
        <v>234</v>
      </c>
      <c r="K234" s="32" t="s">
        <v>140</v>
      </c>
      <c r="L234" s="32" t="s">
        <v>68</v>
      </c>
      <c r="M234" s="33" t="s">
        <v>69</v>
      </c>
      <c r="N234" s="33"/>
      <c r="O234" s="32">
        <v>180</v>
      </c>
      <c r="P234" s="244" t="s">
        <v>321</v>
      </c>
      <c r="Q234" s="204"/>
      <c r="R234" s="204"/>
      <c r="S234" s="204"/>
      <c r="T234" s="205"/>
      <c r="U234" s="34"/>
      <c r="V234" s="34"/>
      <c r="W234" s="35" t="s">
        <v>70</v>
      </c>
      <c r="X234" s="197">
        <v>0</v>
      </c>
      <c r="Y234" s="198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2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15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16"/>
      <c r="P235" s="210" t="s">
        <v>72</v>
      </c>
      <c r="Q235" s="211"/>
      <c r="R235" s="211"/>
      <c r="S235" s="211"/>
      <c r="T235" s="211"/>
      <c r="U235" s="211"/>
      <c r="V235" s="212"/>
      <c r="W235" s="37" t="s">
        <v>70</v>
      </c>
      <c r="X235" s="199">
        <f>IFERROR(SUM(X234:X234),"0")</f>
        <v>0</v>
      </c>
      <c r="Y235" s="199">
        <f>IFERROR(SUM(Y234:Y234),"0")</f>
        <v>0</v>
      </c>
      <c r="Z235" s="199">
        <f>IFERROR(IF(Z234="",0,Z234),"0")</f>
        <v>0</v>
      </c>
      <c r="AA235" s="200"/>
      <c r="AB235" s="200"/>
      <c r="AC235" s="200"/>
    </row>
    <row r="236" spans="1:68" x14ac:dyDescent="0.2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16"/>
      <c r="P236" s="210" t="s">
        <v>72</v>
      </c>
      <c r="Q236" s="211"/>
      <c r="R236" s="211"/>
      <c r="S236" s="211"/>
      <c r="T236" s="211"/>
      <c r="U236" s="211"/>
      <c r="V236" s="212"/>
      <c r="W236" s="37" t="s">
        <v>73</v>
      </c>
      <c r="X236" s="199">
        <f>IFERROR(SUMPRODUCT(X234:X234*H234:H234),"0")</f>
        <v>0</v>
      </c>
      <c r="Y236" s="199">
        <f>IFERROR(SUMPRODUCT(Y234:Y234*H234:H234),"0")</f>
        <v>0</v>
      </c>
      <c r="Z236" s="37"/>
      <c r="AA236" s="200"/>
      <c r="AB236" s="200"/>
      <c r="AC236" s="200"/>
    </row>
    <row r="237" spans="1:68" ht="14.25" customHeight="1" x14ac:dyDescent="0.25">
      <c r="A237" s="243" t="s">
        <v>76</v>
      </c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  <c r="AA237" s="193"/>
      <c r="AB237" s="193"/>
      <c r="AC237" s="193"/>
    </row>
    <row r="238" spans="1:68" ht="27" customHeight="1" x14ac:dyDescent="0.25">
      <c r="A238" s="54" t="s">
        <v>322</v>
      </c>
      <c r="B238" s="54" t="s">
        <v>323</v>
      </c>
      <c r="C238" s="31">
        <v>4301132080</v>
      </c>
      <c r="D238" s="201">
        <v>4640242180397</v>
      </c>
      <c r="E238" s="202"/>
      <c r="F238" s="196">
        <v>1</v>
      </c>
      <c r="G238" s="32">
        <v>6</v>
      </c>
      <c r="H238" s="196">
        <v>6</v>
      </c>
      <c r="I238" s="196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6" t="s">
        <v>324</v>
      </c>
      <c r="Q238" s="204"/>
      <c r="R238" s="204"/>
      <c r="S238" s="204"/>
      <c r="T238" s="205"/>
      <c r="U238" s="34"/>
      <c r="V238" s="34"/>
      <c r="W238" s="35" t="s">
        <v>70</v>
      </c>
      <c r="X238" s="197">
        <v>48</v>
      </c>
      <c r="Y238" s="198">
        <f>IFERROR(IF(X238="","",X238),"")</f>
        <v>48</v>
      </c>
      <c r="Z238" s="36">
        <f>IFERROR(IF(X238="","",X238*0.0155),"")</f>
        <v>0.74399999999999999</v>
      </c>
      <c r="AA238" s="56"/>
      <c r="AB238" s="57"/>
      <c r="AC238" s="68"/>
      <c r="AG238" s="67"/>
      <c r="AJ238" s="69" t="s">
        <v>71</v>
      </c>
      <c r="AK238" s="69">
        <v>1</v>
      </c>
      <c r="BB238" s="163" t="s">
        <v>80</v>
      </c>
      <c r="BM238" s="67">
        <f>IFERROR(X238*I238,"0")</f>
        <v>300.48</v>
      </c>
      <c r="BN238" s="67">
        <f>IFERROR(Y238*I238,"0")</f>
        <v>300.48</v>
      </c>
      <c r="BO238" s="67">
        <f>IFERROR(X238/J238,"0")</f>
        <v>0.5714285714285714</v>
      </c>
      <c r="BP238" s="67">
        <f>IFERROR(Y238/J238,"0")</f>
        <v>0.5714285714285714</v>
      </c>
    </row>
    <row r="239" spans="1:68" ht="27" customHeight="1" x14ac:dyDescent="0.25">
      <c r="A239" s="54" t="s">
        <v>325</v>
      </c>
      <c r="B239" s="54" t="s">
        <v>326</v>
      </c>
      <c r="C239" s="31">
        <v>4301132104</v>
      </c>
      <c r="D239" s="201">
        <v>4640242181219</v>
      </c>
      <c r="E239" s="202"/>
      <c r="F239" s="196">
        <v>0.3</v>
      </c>
      <c r="G239" s="32">
        <v>9</v>
      </c>
      <c r="H239" s="196">
        <v>2.7</v>
      </c>
      <c r="I239" s="196">
        <v>2.8450000000000002</v>
      </c>
      <c r="J239" s="32">
        <v>234</v>
      </c>
      <c r="K239" s="32" t="s">
        <v>140</v>
      </c>
      <c r="L239" s="32" t="s">
        <v>68</v>
      </c>
      <c r="M239" s="33" t="s">
        <v>69</v>
      </c>
      <c r="N239" s="33"/>
      <c r="O239" s="32">
        <v>180</v>
      </c>
      <c r="P239" s="304" t="s">
        <v>327</v>
      </c>
      <c r="Q239" s="204"/>
      <c r="R239" s="204"/>
      <c r="S239" s="204"/>
      <c r="T239" s="205"/>
      <c r="U239" s="34"/>
      <c r="V239" s="34"/>
      <c r="W239" s="35" t="s">
        <v>70</v>
      </c>
      <c r="X239" s="197">
        <v>0</v>
      </c>
      <c r="Y239" s="198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5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16"/>
      <c r="P240" s="210" t="s">
        <v>72</v>
      </c>
      <c r="Q240" s="211"/>
      <c r="R240" s="211"/>
      <c r="S240" s="211"/>
      <c r="T240" s="211"/>
      <c r="U240" s="211"/>
      <c r="V240" s="212"/>
      <c r="W240" s="37" t="s">
        <v>70</v>
      </c>
      <c r="X240" s="199">
        <f>IFERROR(SUM(X238:X239),"0")</f>
        <v>48</v>
      </c>
      <c r="Y240" s="199">
        <f>IFERROR(SUM(Y238:Y239),"0")</f>
        <v>48</v>
      </c>
      <c r="Z240" s="199">
        <f>IFERROR(IF(Z238="",0,Z238),"0")+IFERROR(IF(Z239="",0,Z239),"0")</f>
        <v>0.74399999999999999</v>
      </c>
      <c r="AA240" s="200"/>
      <c r="AB240" s="200"/>
      <c r="AC240" s="200"/>
    </row>
    <row r="241" spans="1:68" x14ac:dyDescent="0.2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16"/>
      <c r="P241" s="210" t="s">
        <v>72</v>
      </c>
      <c r="Q241" s="211"/>
      <c r="R241" s="211"/>
      <c r="S241" s="211"/>
      <c r="T241" s="211"/>
      <c r="U241" s="211"/>
      <c r="V241" s="212"/>
      <c r="W241" s="37" t="s">
        <v>73</v>
      </c>
      <c r="X241" s="199">
        <f>IFERROR(SUMPRODUCT(X238:X239*H238:H239),"0")</f>
        <v>288</v>
      </c>
      <c r="Y241" s="199">
        <f>IFERROR(SUMPRODUCT(Y238:Y239*H238:H239),"0")</f>
        <v>288</v>
      </c>
      <c r="Z241" s="37"/>
      <c r="AA241" s="200"/>
      <c r="AB241" s="200"/>
      <c r="AC241" s="200"/>
    </row>
    <row r="242" spans="1:68" ht="14.25" customHeight="1" x14ac:dyDescent="0.25">
      <c r="A242" s="243" t="s">
        <v>167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  <c r="AA242" s="193"/>
      <c r="AB242" s="193"/>
      <c r="AC242" s="193"/>
    </row>
    <row r="243" spans="1:68" ht="27" customHeight="1" x14ac:dyDescent="0.25">
      <c r="A243" s="54" t="s">
        <v>328</v>
      </c>
      <c r="B243" s="54" t="s">
        <v>329</v>
      </c>
      <c r="C243" s="31">
        <v>4301136028</v>
      </c>
      <c r="D243" s="201">
        <v>4640242180304</v>
      </c>
      <c r="E243" s="202"/>
      <c r="F243" s="196">
        <v>2.7</v>
      </c>
      <c r="G243" s="32">
        <v>1</v>
      </c>
      <c r="H243" s="196">
        <v>2.7</v>
      </c>
      <c r="I243" s="196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402" t="s">
        <v>330</v>
      </c>
      <c r="Q243" s="204"/>
      <c r="R243" s="204"/>
      <c r="S243" s="204"/>
      <c r="T243" s="205"/>
      <c r="U243" s="34"/>
      <c r="V243" s="34"/>
      <c r="W243" s="35" t="s">
        <v>70</v>
      </c>
      <c r="X243" s="197">
        <v>0</v>
      </c>
      <c r="Y243" s="198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5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4301136026</v>
      </c>
      <c r="D244" s="201">
        <v>4640242180236</v>
      </c>
      <c r="E244" s="202"/>
      <c r="F244" s="196">
        <v>5</v>
      </c>
      <c r="G244" s="32">
        <v>1</v>
      </c>
      <c r="H244" s="196">
        <v>5</v>
      </c>
      <c r="I244" s="196">
        <v>5.2350000000000003</v>
      </c>
      <c r="J244" s="32">
        <v>84</v>
      </c>
      <c r="K244" s="32" t="s">
        <v>67</v>
      </c>
      <c r="L244" s="32" t="s">
        <v>183</v>
      </c>
      <c r="M244" s="33" t="s">
        <v>69</v>
      </c>
      <c r="N244" s="33"/>
      <c r="O244" s="32">
        <v>180</v>
      </c>
      <c r="P244" s="203" t="s">
        <v>333</v>
      </c>
      <c r="Q244" s="204"/>
      <c r="R244" s="204"/>
      <c r="S244" s="204"/>
      <c r="T244" s="205"/>
      <c r="U244" s="34"/>
      <c r="V244" s="34"/>
      <c r="W244" s="35" t="s">
        <v>70</v>
      </c>
      <c r="X244" s="197">
        <v>96</v>
      </c>
      <c r="Y244" s="198">
        <f>IFERROR(IF(X244="","",X244),"")</f>
        <v>96</v>
      </c>
      <c r="Z244" s="36">
        <f>IFERROR(IF(X244="","",X244*0.0155),"")</f>
        <v>1.488</v>
      </c>
      <c r="AA244" s="56"/>
      <c r="AB244" s="57"/>
      <c r="AC244" s="68"/>
      <c r="AG244" s="67"/>
      <c r="AJ244" s="69" t="s">
        <v>184</v>
      </c>
      <c r="AK244" s="69">
        <v>84</v>
      </c>
      <c r="BB244" s="166" t="s">
        <v>80</v>
      </c>
      <c r="BM244" s="67">
        <f>IFERROR(X244*I244,"0")</f>
        <v>502.56000000000006</v>
      </c>
      <c r="BN244" s="67">
        <f>IFERROR(Y244*I244,"0")</f>
        <v>502.56000000000006</v>
      </c>
      <c r="BO244" s="67">
        <f>IFERROR(X244/J244,"0")</f>
        <v>1.1428571428571428</v>
      </c>
      <c r="BP244" s="67">
        <f>IFERROR(Y244/J244,"0")</f>
        <v>1.1428571428571428</v>
      </c>
    </row>
    <row r="245" spans="1:68" ht="27" customHeight="1" x14ac:dyDescent="0.25">
      <c r="A245" s="54" t="s">
        <v>334</v>
      </c>
      <c r="B245" s="54" t="s">
        <v>335</v>
      </c>
      <c r="C245" s="31">
        <v>4301136029</v>
      </c>
      <c r="D245" s="201">
        <v>4640242180410</v>
      </c>
      <c r="E245" s="202"/>
      <c r="F245" s="196">
        <v>2.2400000000000002</v>
      </c>
      <c r="G245" s="32">
        <v>1</v>
      </c>
      <c r="H245" s="196">
        <v>2.2400000000000002</v>
      </c>
      <c r="I245" s="196">
        <v>2.4319999999999999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2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04"/>
      <c r="R245" s="204"/>
      <c r="S245" s="204"/>
      <c r="T245" s="205"/>
      <c r="U245" s="34"/>
      <c r="V245" s="34"/>
      <c r="W245" s="35" t="s">
        <v>70</v>
      </c>
      <c r="X245" s="197">
        <v>0</v>
      </c>
      <c r="Y245" s="198">
        <f>IFERROR(IF(X245="","",X245),"")</f>
        <v>0</v>
      </c>
      <c r="Z245" s="36">
        <f>IFERROR(IF(X245="","",X245*0.00936),"")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16"/>
      <c r="P246" s="210" t="s">
        <v>72</v>
      </c>
      <c r="Q246" s="211"/>
      <c r="R246" s="211"/>
      <c r="S246" s="211"/>
      <c r="T246" s="211"/>
      <c r="U246" s="211"/>
      <c r="V246" s="212"/>
      <c r="W246" s="37" t="s">
        <v>70</v>
      </c>
      <c r="X246" s="199">
        <f>IFERROR(SUM(X243:X245),"0")</f>
        <v>96</v>
      </c>
      <c r="Y246" s="199">
        <f>IFERROR(SUM(Y243:Y245),"0")</f>
        <v>96</v>
      </c>
      <c r="Z246" s="199">
        <f>IFERROR(IF(Z243="",0,Z243),"0")+IFERROR(IF(Z244="",0,Z244),"0")+IFERROR(IF(Z245="",0,Z245),"0")</f>
        <v>1.488</v>
      </c>
      <c r="AA246" s="200"/>
      <c r="AB246" s="200"/>
      <c r="AC246" s="200"/>
    </row>
    <row r="247" spans="1:68" x14ac:dyDescent="0.2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16"/>
      <c r="P247" s="210" t="s">
        <v>72</v>
      </c>
      <c r="Q247" s="211"/>
      <c r="R247" s="211"/>
      <c r="S247" s="211"/>
      <c r="T247" s="211"/>
      <c r="U247" s="211"/>
      <c r="V247" s="212"/>
      <c r="W247" s="37" t="s">
        <v>73</v>
      </c>
      <c r="X247" s="199">
        <f>IFERROR(SUMPRODUCT(X243:X245*H243:H245),"0")</f>
        <v>480</v>
      </c>
      <c r="Y247" s="199">
        <f>IFERROR(SUMPRODUCT(Y243:Y245*H243:H245),"0")</f>
        <v>480</v>
      </c>
      <c r="Z247" s="37"/>
      <c r="AA247" s="200"/>
      <c r="AB247" s="200"/>
      <c r="AC247" s="200"/>
    </row>
    <row r="248" spans="1:68" ht="14.25" customHeight="1" x14ac:dyDescent="0.25">
      <c r="A248" s="243" t="s">
        <v>144</v>
      </c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  <c r="AA248" s="193"/>
      <c r="AB248" s="193"/>
      <c r="AC248" s="193"/>
    </row>
    <row r="249" spans="1:68" ht="27" customHeight="1" x14ac:dyDescent="0.25">
      <c r="A249" s="54" t="s">
        <v>336</v>
      </c>
      <c r="B249" s="54" t="s">
        <v>337</v>
      </c>
      <c r="C249" s="31">
        <v>4301135193</v>
      </c>
      <c r="D249" s="201">
        <v>4640242180403</v>
      </c>
      <c r="E249" s="202"/>
      <c r="F249" s="196">
        <v>3</v>
      </c>
      <c r="G249" s="32">
        <v>1</v>
      </c>
      <c r="H249" s="196">
        <v>3</v>
      </c>
      <c r="I249" s="196">
        <v>3.1920000000000002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9" t="s">
        <v>338</v>
      </c>
      <c r="Q249" s="204"/>
      <c r="R249" s="204"/>
      <c r="S249" s="204"/>
      <c r="T249" s="205"/>
      <c r="U249" s="34"/>
      <c r="V249" s="34"/>
      <c r="W249" s="35" t="s">
        <v>70</v>
      </c>
      <c r="X249" s="197">
        <v>14</v>
      </c>
      <c r="Y249" s="198">
        <f t="shared" ref="Y249:Y268" si="24">IFERROR(IF(X249="","",X249),"")</f>
        <v>14</v>
      </c>
      <c r="Z249" s="36">
        <f>IFERROR(IF(X249="","",X249*0.00936),"")</f>
        <v>0.13103999999999999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ref="BM249:BM268" si="25">IFERROR(X249*I249,"0")</f>
        <v>44.688000000000002</v>
      </c>
      <c r="BN249" s="67">
        <f t="shared" ref="BN249:BN268" si="26">IFERROR(Y249*I249,"0")</f>
        <v>44.688000000000002</v>
      </c>
      <c r="BO249" s="67">
        <f t="shared" ref="BO249:BO268" si="27">IFERROR(X249/J249,"0")</f>
        <v>0.1111111111111111</v>
      </c>
      <c r="BP249" s="67">
        <f t="shared" ref="BP249:BP268" si="28">IFERROR(Y249/J249,"0")</f>
        <v>0.1111111111111111</v>
      </c>
    </row>
    <row r="250" spans="1:68" ht="27" customHeight="1" x14ac:dyDescent="0.25">
      <c r="A250" s="54" t="s">
        <v>339</v>
      </c>
      <c r="B250" s="54" t="s">
        <v>340</v>
      </c>
      <c r="C250" s="31">
        <v>4301135394</v>
      </c>
      <c r="D250" s="201">
        <v>4640242181561</v>
      </c>
      <c r="E250" s="202"/>
      <c r="F250" s="196">
        <v>3.7</v>
      </c>
      <c r="G250" s="32">
        <v>1</v>
      </c>
      <c r="H250" s="196">
        <v>3.7</v>
      </c>
      <c r="I250" s="196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4" t="s">
        <v>341</v>
      </c>
      <c r="Q250" s="204"/>
      <c r="R250" s="204"/>
      <c r="S250" s="204"/>
      <c r="T250" s="205"/>
      <c r="U250" s="34"/>
      <c r="V250" s="34"/>
      <c r="W250" s="35" t="s">
        <v>70</v>
      </c>
      <c r="X250" s="197">
        <v>14</v>
      </c>
      <c r="Y250" s="198">
        <f t="shared" si="24"/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54.488</v>
      </c>
      <c r="BN250" s="67">
        <f t="shared" si="26"/>
        <v>54.488</v>
      </c>
      <c r="BO250" s="67">
        <f t="shared" si="27"/>
        <v>0.1111111111111111</v>
      </c>
      <c r="BP250" s="67">
        <f t="shared" si="28"/>
        <v>0.1111111111111111</v>
      </c>
    </row>
    <row r="251" spans="1:68" ht="37.5" customHeight="1" x14ac:dyDescent="0.25">
      <c r="A251" s="54" t="s">
        <v>342</v>
      </c>
      <c r="B251" s="54" t="s">
        <v>343</v>
      </c>
      <c r="C251" s="31">
        <v>4301135187</v>
      </c>
      <c r="D251" s="201">
        <v>4640242180328</v>
      </c>
      <c r="E251" s="202"/>
      <c r="F251" s="196">
        <v>3.5</v>
      </c>
      <c r="G251" s="32">
        <v>1</v>
      </c>
      <c r="H251" s="196">
        <v>3.5</v>
      </c>
      <c r="I251" s="196">
        <v>3.6920000000000002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2" t="s">
        <v>344</v>
      </c>
      <c r="Q251" s="204"/>
      <c r="R251" s="204"/>
      <c r="S251" s="204"/>
      <c r="T251" s="205"/>
      <c r="U251" s="34"/>
      <c r="V251" s="34"/>
      <c r="W251" s="35" t="s">
        <v>70</v>
      </c>
      <c r="X251" s="197">
        <v>0</v>
      </c>
      <c r="Y251" s="198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345</v>
      </c>
      <c r="B252" s="54" t="s">
        <v>346</v>
      </c>
      <c r="C252" s="31">
        <v>4301135374</v>
      </c>
      <c r="D252" s="201">
        <v>4640242181424</v>
      </c>
      <c r="E252" s="202"/>
      <c r="F252" s="196">
        <v>5.5</v>
      </c>
      <c r="G252" s="32">
        <v>1</v>
      </c>
      <c r="H252" s="196">
        <v>5.5</v>
      </c>
      <c r="I252" s="196">
        <v>5.7350000000000003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234" t="s">
        <v>347</v>
      </c>
      <c r="Q252" s="204"/>
      <c r="R252" s="204"/>
      <c r="S252" s="204"/>
      <c r="T252" s="205"/>
      <c r="U252" s="34"/>
      <c r="V252" s="34"/>
      <c r="W252" s="35" t="s">
        <v>70</v>
      </c>
      <c r="X252" s="197">
        <v>0</v>
      </c>
      <c r="Y252" s="198">
        <f t="shared" si="24"/>
        <v>0</v>
      </c>
      <c r="Z252" s="36">
        <f>IFERROR(IF(X252="","",X252*0.0155),"")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4301135320</v>
      </c>
      <c r="D253" s="201">
        <v>4640242181592</v>
      </c>
      <c r="E253" s="202"/>
      <c r="F253" s="196">
        <v>3.5</v>
      </c>
      <c r="G253" s="32">
        <v>1</v>
      </c>
      <c r="H253" s="196">
        <v>3.5</v>
      </c>
      <c r="I253" s="196">
        <v>3.6850000000000001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89" t="s">
        <v>350</v>
      </c>
      <c r="Q253" s="204"/>
      <c r="R253" s="204"/>
      <c r="S253" s="204"/>
      <c r="T253" s="205"/>
      <c r="U253" s="34"/>
      <c r="V253" s="34"/>
      <c r="W253" s="35" t="s">
        <v>70</v>
      </c>
      <c r="X253" s="197">
        <v>0</v>
      </c>
      <c r="Y253" s="198">
        <f t="shared" si="24"/>
        <v>0</v>
      </c>
      <c r="Z253" s="36">
        <f t="shared" ref="Z253:Z260" si="29"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351</v>
      </c>
      <c r="B254" s="54" t="s">
        <v>352</v>
      </c>
      <c r="C254" s="31">
        <v>4301135405</v>
      </c>
      <c r="D254" s="201">
        <v>4640242181523</v>
      </c>
      <c r="E254" s="202"/>
      <c r="F254" s="196">
        <v>3</v>
      </c>
      <c r="G254" s="32">
        <v>1</v>
      </c>
      <c r="H254" s="196">
        <v>3</v>
      </c>
      <c r="I254" s="196">
        <v>3.1920000000000002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1" t="s">
        <v>353</v>
      </c>
      <c r="Q254" s="204"/>
      <c r="R254" s="204"/>
      <c r="S254" s="204"/>
      <c r="T254" s="205"/>
      <c r="U254" s="34"/>
      <c r="V254" s="34"/>
      <c r="W254" s="35" t="s">
        <v>70</v>
      </c>
      <c r="X254" s="197">
        <v>0</v>
      </c>
      <c r="Y254" s="198">
        <f t="shared" si="24"/>
        <v>0</v>
      </c>
      <c r="Z254" s="36">
        <f t="shared" si="29"/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354</v>
      </c>
      <c r="B255" s="54" t="s">
        <v>355</v>
      </c>
      <c r="C255" s="31">
        <v>4301135404</v>
      </c>
      <c r="D255" s="201">
        <v>4640242181516</v>
      </c>
      <c r="E255" s="202"/>
      <c r="F255" s="196">
        <v>3.7</v>
      </c>
      <c r="G255" s="32">
        <v>1</v>
      </c>
      <c r="H255" s="196">
        <v>3.7</v>
      </c>
      <c r="I255" s="196">
        <v>3.8919999999999999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4" t="s">
        <v>356</v>
      </c>
      <c r="Q255" s="204"/>
      <c r="R255" s="204"/>
      <c r="S255" s="204"/>
      <c r="T255" s="205"/>
      <c r="U255" s="34"/>
      <c r="V255" s="34"/>
      <c r="W255" s="35" t="s">
        <v>70</v>
      </c>
      <c r="X255" s="197">
        <v>0</v>
      </c>
      <c r="Y255" s="198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37.5" customHeight="1" x14ac:dyDescent="0.25">
      <c r="A256" s="54" t="s">
        <v>357</v>
      </c>
      <c r="B256" s="54" t="s">
        <v>358</v>
      </c>
      <c r="C256" s="31">
        <v>4301135402</v>
      </c>
      <c r="D256" s="201">
        <v>4640242181493</v>
      </c>
      <c r="E256" s="202"/>
      <c r="F256" s="196">
        <v>3.7</v>
      </c>
      <c r="G256" s="32">
        <v>1</v>
      </c>
      <c r="H256" s="196">
        <v>3.7</v>
      </c>
      <c r="I256" s="196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4" t="s">
        <v>359</v>
      </c>
      <c r="Q256" s="204"/>
      <c r="R256" s="204"/>
      <c r="S256" s="204"/>
      <c r="T256" s="205"/>
      <c r="U256" s="34"/>
      <c r="V256" s="34"/>
      <c r="W256" s="35" t="s">
        <v>70</v>
      </c>
      <c r="X256" s="197">
        <v>0</v>
      </c>
      <c r="Y256" s="198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360</v>
      </c>
      <c r="B257" s="54" t="s">
        <v>361</v>
      </c>
      <c r="C257" s="31">
        <v>4301135375</v>
      </c>
      <c r="D257" s="201">
        <v>4640242181486</v>
      </c>
      <c r="E257" s="202"/>
      <c r="F257" s="196">
        <v>3.7</v>
      </c>
      <c r="G257" s="32">
        <v>1</v>
      </c>
      <c r="H257" s="196">
        <v>3.7</v>
      </c>
      <c r="I257" s="196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5" t="s">
        <v>362</v>
      </c>
      <c r="Q257" s="204"/>
      <c r="R257" s="204"/>
      <c r="S257" s="204"/>
      <c r="T257" s="205"/>
      <c r="U257" s="34"/>
      <c r="V257" s="34"/>
      <c r="W257" s="35" t="s">
        <v>70</v>
      </c>
      <c r="X257" s="197">
        <v>112</v>
      </c>
      <c r="Y257" s="198">
        <f t="shared" si="24"/>
        <v>112</v>
      </c>
      <c r="Z257" s="36">
        <f t="shared" si="29"/>
        <v>1.0483199999999999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435.904</v>
      </c>
      <c r="BN257" s="67">
        <f t="shared" si="26"/>
        <v>435.904</v>
      </c>
      <c r="BO257" s="67">
        <f t="shared" si="27"/>
        <v>0.88888888888888884</v>
      </c>
      <c r="BP257" s="67">
        <f t="shared" si="28"/>
        <v>0.88888888888888884</v>
      </c>
    </row>
    <row r="258" spans="1:68" ht="27" customHeight="1" x14ac:dyDescent="0.25">
      <c r="A258" s="54" t="s">
        <v>363</v>
      </c>
      <c r="B258" s="54" t="s">
        <v>364</v>
      </c>
      <c r="C258" s="31">
        <v>4301135403</v>
      </c>
      <c r="D258" s="201">
        <v>4640242181509</v>
      </c>
      <c r="E258" s="202"/>
      <c r="F258" s="196">
        <v>3.7</v>
      </c>
      <c r="G258" s="32">
        <v>1</v>
      </c>
      <c r="H258" s="196">
        <v>3.7</v>
      </c>
      <c r="I258" s="196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5" t="s">
        <v>365</v>
      </c>
      <c r="Q258" s="204"/>
      <c r="R258" s="204"/>
      <c r="S258" s="204"/>
      <c r="T258" s="205"/>
      <c r="U258" s="34"/>
      <c r="V258" s="34"/>
      <c r="W258" s="35" t="s">
        <v>70</v>
      </c>
      <c r="X258" s="197">
        <v>0</v>
      </c>
      <c r="Y258" s="198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366</v>
      </c>
      <c r="B259" s="54" t="s">
        <v>367</v>
      </c>
      <c r="C259" s="31">
        <v>4301135304</v>
      </c>
      <c r="D259" s="201">
        <v>4640242181240</v>
      </c>
      <c r="E259" s="202"/>
      <c r="F259" s="196">
        <v>0.3</v>
      </c>
      <c r="G259" s="32">
        <v>9</v>
      </c>
      <c r="H259" s="196">
        <v>2.7</v>
      </c>
      <c r="I259" s="196">
        <v>2.88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7" t="s">
        <v>368</v>
      </c>
      <c r="Q259" s="204"/>
      <c r="R259" s="204"/>
      <c r="S259" s="204"/>
      <c r="T259" s="205"/>
      <c r="U259" s="34"/>
      <c r="V259" s="34"/>
      <c r="W259" s="35" t="s">
        <v>70</v>
      </c>
      <c r="X259" s="197">
        <v>0</v>
      </c>
      <c r="Y259" s="198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4301135310</v>
      </c>
      <c r="D260" s="201">
        <v>4640242181318</v>
      </c>
      <c r="E260" s="202"/>
      <c r="F260" s="196">
        <v>0.3</v>
      </c>
      <c r="G260" s="32">
        <v>9</v>
      </c>
      <c r="H260" s="196">
        <v>2.7</v>
      </c>
      <c r="I260" s="196">
        <v>2.988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24" t="s">
        <v>371</v>
      </c>
      <c r="Q260" s="204"/>
      <c r="R260" s="204"/>
      <c r="S260" s="204"/>
      <c r="T260" s="205"/>
      <c r="U260" s="34"/>
      <c r="V260" s="34"/>
      <c r="W260" s="35" t="s">
        <v>70</v>
      </c>
      <c r="X260" s="197">
        <v>0</v>
      </c>
      <c r="Y260" s="198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372</v>
      </c>
      <c r="B261" s="54" t="s">
        <v>373</v>
      </c>
      <c r="C261" s="31">
        <v>4301135306</v>
      </c>
      <c r="D261" s="201">
        <v>4640242181578</v>
      </c>
      <c r="E261" s="202"/>
      <c r="F261" s="196">
        <v>0.3</v>
      </c>
      <c r="G261" s="32">
        <v>9</v>
      </c>
      <c r="H261" s="196">
        <v>2.7</v>
      </c>
      <c r="I261" s="196">
        <v>2.8450000000000002</v>
      </c>
      <c r="J261" s="32">
        <v>234</v>
      </c>
      <c r="K261" s="32" t="s">
        <v>140</v>
      </c>
      <c r="L261" s="32" t="s">
        <v>68</v>
      </c>
      <c r="M261" s="33" t="s">
        <v>69</v>
      </c>
      <c r="N261" s="33"/>
      <c r="O261" s="32">
        <v>180</v>
      </c>
      <c r="P261" s="334" t="s">
        <v>374</v>
      </c>
      <c r="Q261" s="204"/>
      <c r="R261" s="204"/>
      <c r="S261" s="204"/>
      <c r="T261" s="205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>IFERROR(IF(X261="","",X261*0.00502),"")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375</v>
      </c>
      <c r="B262" s="54" t="s">
        <v>376</v>
      </c>
      <c r="C262" s="31">
        <v>4301135305</v>
      </c>
      <c r="D262" s="201">
        <v>4640242181394</v>
      </c>
      <c r="E262" s="202"/>
      <c r="F262" s="196">
        <v>0.3</v>
      </c>
      <c r="G262" s="32">
        <v>9</v>
      </c>
      <c r="H262" s="196">
        <v>2.7</v>
      </c>
      <c r="I262" s="196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395" t="s">
        <v>377</v>
      </c>
      <c r="Q262" s="204"/>
      <c r="R262" s="204"/>
      <c r="S262" s="204"/>
      <c r="T262" s="205"/>
      <c r="U262" s="34"/>
      <c r="V262" s="34"/>
      <c r="W262" s="35" t="s">
        <v>70</v>
      </c>
      <c r="X262" s="197">
        <v>0</v>
      </c>
      <c r="Y262" s="198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378</v>
      </c>
      <c r="B263" s="54" t="s">
        <v>379</v>
      </c>
      <c r="C263" s="31">
        <v>4301135309</v>
      </c>
      <c r="D263" s="201">
        <v>4640242181332</v>
      </c>
      <c r="E263" s="202"/>
      <c r="F263" s="196">
        <v>0.3</v>
      </c>
      <c r="G263" s="32">
        <v>9</v>
      </c>
      <c r="H263" s="196">
        <v>2.7</v>
      </c>
      <c r="I263" s="196">
        <v>2.9079999999999999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98" t="s">
        <v>380</v>
      </c>
      <c r="Q263" s="204"/>
      <c r="R263" s="204"/>
      <c r="S263" s="204"/>
      <c r="T263" s="205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4301135308</v>
      </c>
      <c r="D264" s="201">
        <v>4640242181349</v>
      </c>
      <c r="E264" s="202"/>
      <c r="F264" s="196">
        <v>0.3</v>
      </c>
      <c r="G264" s="32">
        <v>9</v>
      </c>
      <c r="H264" s="196">
        <v>2.7</v>
      </c>
      <c r="I264" s="196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303" t="s">
        <v>383</v>
      </c>
      <c r="Q264" s="204"/>
      <c r="R264" s="204"/>
      <c r="S264" s="204"/>
      <c r="T264" s="205"/>
      <c r="U264" s="34"/>
      <c r="V264" s="34"/>
      <c r="W264" s="35" t="s">
        <v>70</v>
      </c>
      <c r="X264" s="197">
        <v>0</v>
      </c>
      <c r="Y264" s="198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4301135307</v>
      </c>
      <c r="D265" s="201">
        <v>4640242181370</v>
      </c>
      <c r="E265" s="202"/>
      <c r="F265" s="196">
        <v>0.3</v>
      </c>
      <c r="G265" s="32">
        <v>9</v>
      </c>
      <c r="H265" s="196">
        <v>2.7</v>
      </c>
      <c r="I265" s="196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50" t="s">
        <v>386</v>
      </c>
      <c r="Q265" s="204"/>
      <c r="R265" s="204"/>
      <c r="S265" s="204"/>
      <c r="T265" s="205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4301135318</v>
      </c>
      <c r="D266" s="201">
        <v>4607111037480</v>
      </c>
      <c r="E266" s="202"/>
      <c r="F266" s="196">
        <v>1</v>
      </c>
      <c r="G266" s="32">
        <v>4</v>
      </c>
      <c r="H266" s="196">
        <v>4</v>
      </c>
      <c r="I266" s="196">
        <v>4.2724000000000002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257" t="s">
        <v>389</v>
      </c>
      <c r="Q266" s="204"/>
      <c r="R266" s="204"/>
      <c r="S266" s="204"/>
      <c r="T266" s="205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>IFERROR(IF(X266="","",X266*0.0155),"")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4301135319</v>
      </c>
      <c r="D267" s="201">
        <v>4607111037473</v>
      </c>
      <c r="E267" s="202"/>
      <c r="F267" s="196">
        <v>1</v>
      </c>
      <c r="G267" s="32">
        <v>4</v>
      </c>
      <c r="H267" s="196">
        <v>4</v>
      </c>
      <c r="I267" s="196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7" t="s">
        <v>392</v>
      </c>
      <c r="Q267" s="204"/>
      <c r="R267" s="204"/>
      <c r="S267" s="204"/>
      <c r="T267" s="205"/>
      <c r="U267" s="34"/>
      <c r="V267" s="34"/>
      <c r="W267" s="35" t="s">
        <v>70</v>
      </c>
      <c r="X267" s="197">
        <v>0</v>
      </c>
      <c r="Y267" s="198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393</v>
      </c>
      <c r="B268" s="54" t="s">
        <v>394</v>
      </c>
      <c r="C268" s="31">
        <v>4301135198</v>
      </c>
      <c r="D268" s="201">
        <v>4640242180663</v>
      </c>
      <c r="E268" s="202"/>
      <c r="F268" s="196">
        <v>0.9</v>
      </c>
      <c r="G268" s="32">
        <v>4</v>
      </c>
      <c r="H268" s="196">
        <v>3.6</v>
      </c>
      <c r="I268" s="196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70" t="s">
        <v>395</v>
      </c>
      <c r="Q268" s="204"/>
      <c r="R268" s="204"/>
      <c r="S268" s="204"/>
      <c r="T268" s="205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15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16"/>
      <c r="P269" s="210" t="s">
        <v>72</v>
      </c>
      <c r="Q269" s="211"/>
      <c r="R269" s="211"/>
      <c r="S269" s="211"/>
      <c r="T269" s="211"/>
      <c r="U269" s="211"/>
      <c r="V269" s="212"/>
      <c r="W269" s="37" t="s">
        <v>70</v>
      </c>
      <c r="X269" s="199">
        <f>IFERROR(SUM(X249:X268),"0")</f>
        <v>140</v>
      </c>
      <c r="Y269" s="199">
        <f>IFERROR(SUM(Y249:Y268),"0")</f>
        <v>140</v>
      </c>
      <c r="Z269" s="199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1.3104</v>
      </c>
      <c r="AA269" s="200"/>
      <c r="AB269" s="200"/>
      <c r="AC269" s="200"/>
    </row>
    <row r="270" spans="1:68" x14ac:dyDescent="0.2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16"/>
      <c r="P270" s="210" t="s">
        <v>72</v>
      </c>
      <c r="Q270" s="211"/>
      <c r="R270" s="211"/>
      <c r="S270" s="211"/>
      <c r="T270" s="211"/>
      <c r="U270" s="211"/>
      <c r="V270" s="212"/>
      <c r="W270" s="37" t="s">
        <v>73</v>
      </c>
      <c r="X270" s="199">
        <f>IFERROR(SUMPRODUCT(X249:X268*H249:H268),"0")</f>
        <v>508.20000000000005</v>
      </c>
      <c r="Y270" s="199">
        <f>IFERROR(SUMPRODUCT(Y249:Y268*H249:H268),"0")</f>
        <v>508.20000000000005</v>
      </c>
      <c r="Z270" s="37"/>
      <c r="AA270" s="200"/>
      <c r="AB270" s="200"/>
      <c r="AC270" s="200"/>
    </row>
    <row r="271" spans="1:68" ht="15" customHeight="1" x14ac:dyDescent="0.2">
      <c r="A271" s="226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27"/>
      <c r="P271" s="259" t="s">
        <v>396</v>
      </c>
      <c r="Q271" s="260"/>
      <c r="R271" s="260"/>
      <c r="S271" s="260"/>
      <c r="T271" s="260"/>
      <c r="U271" s="260"/>
      <c r="V271" s="261"/>
      <c r="W271" s="37" t="s">
        <v>73</v>
      </c>
      <c r="X271" s="199">
        <f>IFERROR(X24+X33+X40+X49+X66+X72+X77+X83+X93+X100+X113+X119+X125+X132+X137+X143+X148+X154+X162+X167+X175+X179+X187+X197+X205+X211+X217+X224+X232+X236+X241+X247+X270,"0")</f>
        <v>4609.32</v>
      </c>
      <c r="Y271" s="199">
        <f>IFERROR(Y24+Y33+Y40+Y49+Y66+Y72+Y77+Y83+Y93+Y100+Y113+Y119+Y125+Y132+Y137+Y143+Y148+Y154+Y162+Y167+Y175+Y179+Y187+Y197+Y205+Y211+Y217+Y224+Y232+Y236+Y241+Y247+Y270,"0")</f>
        <v>4609.32</v>
      </c>
      <c r="Z271" s="37"/>
      <c r="AA271" s="200"/>
      <c r="AB271" s="200"/>
      <c r="AC271" s="200"/>
    </row>
    <row r="272" spans="1:68" x14ac:dyDescent="0.2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27"/>
      <c r="P272" s="259" t="s">
        <v>397</v>
      </c>
      <c r="Q272" s="260"/>
      <c r="R272" s="260"/>
      <c r="S272" s="260"/>
      <c r="T272" s="260"/>
      <c r="U272" s="260"/>
      <c r="V272" s="261"/>
      <c r="W272" s="37" t="s">
        <v>73</v>
      </c>
      <c r="X272" s="199">
        <f>IFERROR(SUM(BM22:BM268),"0")</f>
        <v>4915.3432000000012</v>
      </c>
      <c r="Y272" s="199">
        <f>IFERROR(SUM(BN22:BN268),"0")</f>
        <v>4915.3432000000012</v>
      </c>
      <c r="Z272" s="37"/>
      <c r="AA272" s="200"/>
      <c r="AB272" s="200"/>
      <c r="AC272" s="200"/>
    </row>
    <row r="273" spans="1:32" x14ac:dyDescent="0.2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27"/>
      <c r="P273" s="259" t="s">
        <v>398</v>
      </c>
      <c r="Q273" s="260"/>
      <c r="R273" s="260"/>
      <c r="S273" s="260"/>
      <c r="T273" s="260"/>
      <c r="U273" s="260"/>
      <c r="V273" s="261"/>
      <c r="W273" s="37" t="s">
        <v>399</v>
      </c>
      <c r="X273" s="38">
        <f>ROUNDUP(SUM(BO22:BO268),0)</f>
        <v>11</v>
      </c>
      <c r="Y273" s="38">
        <f>ROUNDUP(SUM(BP22:BP268),0)</f>
        <v>11</v>
      </c>
      <c r="Z273" s="37"/>
      <c r="AA273" s="200"/>
      <c r="AB273" s="200"/>
      <c r="AC273" s="200"/>
    </row>
    <row r="274" spans="1:32" x14ac:dyDescent="0.2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27"/>
      <c r="P274" s="259" t="s">
        <v>400</v>
      </c>
      <c r="Q274" s="260"/>
      <c r="R274" s="260"/>
      <c r="S274" s="260"/>
      <c r="T274" s="260"/>
      <c r="U274" s="260"/>
      <c r="V274" s="261"/>
      <c r="W274" s="37" t="s">
        <v>73</v>
      </c>
      <c r="X274" s="199">
        <f>GrossWeightTotal+PalletQtyTotal*25</f>
        <v>5190.3432000000012</v>
      </c>
      <c r="Y274" s="199">
        <f>GrossWeightTotalR+PalletQtyTotalR*25</f>
        <v>5190.3432000000012</v>
      </c>
      <c r="Z274" s="37"/>
      <c r="AA274" s="200"/>
      <c r="AB274" s="200"/>
      <c r="AC274" s="200"/>
    </row>
    <row r="275" spans="1:32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27"/>
      <c r="P275" s="259" t="s">
        <v>401</v>
      </c>
      <c r="Q275" s="260"/>
      <c r="R275" s="260"/>
      <c r="S275" s="260"/>
      <c r="T275" s="260"/>
      <c r="U275" s="260"/>
      <c r="V275" s="261"/>
      <c r="W275" s="37" t="s">
        <v>399</v>
      </c>
      <c r="X275" s="199">
        <f>IFERROR(X23+X32+X39+X48+X65+X71+X76+X82+X92+X99+X112+X118+X124+X131+X136+X142+X147+X153+X161+X166+X174+X178+X186+X196+X204+X210+X216+X223+X231+X235+X240+X246+X269,"0")</f>
        <v>1002</v>
      </c>
      <c r="Y275" s="199">
        <f>IFERROR(Y23+Y32+Y39+Y48+Y65+Y71+Y76+Y82+Y92+Y99+Y112+Y118+Y124+Y131+Y136+Y142+Y147+Y153+Y161+Y166+Y174+Y178+Y186+Y196+Y204+Y210+Y216+Y223+Y231+Y235+Y240+Y246+Y269,"0")</f>
        <v>1002</v>
      </c>
      <c r="Z275" s="37"/>
      <c r="AA275" s="200"/>
      <c r="AB275" s="200"/>
      <c r="AC275" s="200"/>
    </row>
    <row r="276" spans="1:32" ht="14.25" customHeight="1" x14ac:dyDescent="0.2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27"/>
      <c r="P276" s="259" t="s">
        <v>402</v>
      </c>
      <c r="Q276" s="260"/>
      <c r="R276" s="260"/>
      <c r="S276" s="260"/>
      <c r="T276" s="260"/>
      <c r="U276" s="260"/>
      <c r="V276" s="261"/>
      <c r="W276" s="39" t="s">
        <v>403</v>
      </c>
      <c r="X276" s="37"/>
      <c r="Y276" s="37"/>
      <c r="Z276" s="37">
        <f>IFERROR(Z23+Z32+Z39+Z48+Z65+Z71+Z76+Z82+Z92+Z99+Z112+Z118+Z124+Z131+Z136+Z142+Z147+Z153+Z161+Z166+Z174+Z178+Z186+Z196+Z204+Z210+Z216+Z223+Z231+Z235+Z240+Z246+Z269,"0")</f>
        <v>13.447439999999997</v>
      </c>
      <c r="AA276" s="200"/>
      <c r="AB276" s="200"/>
      <c r="AC276" s="200"/>
    </row>
    <row r="277" spans="1:32" ht="13.5" customHeight="1" thickBot="1" x14ac:dyDescent="0.25"/>
    <row r="278" spans="1:32" ht="27" customHeight="1" thickTop="1" thickBot="1" x14ac:dyDescent="0.25">
      <c r="A278" s="40" t="s">
        <v>404</v>
      </c>
      <c r="B278" s="194" t="s">
        <v>63</v>
      </c>
      <c r="C278" s="213" t="s">
        <v>74</v>
      </c>
      <c r="D278" s="299"/>
      <c r="E278" s="299"/>
      <c r="F278" s="299"/>
      <c r="G278" s="299"/>
      <c r="H278" s="299"/>
      <c r="I278" s="299"/>
      <c r="J278" s="299"/>
      <c r="K278" s="299"/>
      <c r="L278" s="299"/>
      <c r="M278" s="299"/>
      <c r="N278" s="299"/>
      <c r="O278" s="299"/>
      <c r="P278" s="299"/>
      <c r="Q278" s="299"/>
      <c r="R278" s="299"/>
      <c r="S278" s="262"/>
      <c r="T278" s="213" t="s">
        <v>228</v>
      </c>
      <c r="U278" s="262"/>
      <c r="V278" s="194" t="s">
        <v>250</v>
      </c>
      <c r="W278" s="213" t="s">
        <v>263</v>
      </c>
      <c r="X278" s="299"/>
      <c r="Y278" s="299"/>
      <c r="Z278" s="262"/>
      <c r="AA278" s="194" t="s">
        <v>299</v>
      </c>
      <c r="AB278" s="194" t="s">
        <v>304</v>
      </c>
      <c r="AC278" s="194" t="s">
        <v>229</v>
      </c>
      <c r="AF278" s="195"/>
    </row>
    <row r="279" spans="1:32" ht="14.25" customHeight="1" thickTop="1" x14ac:dyDescent="0.2">
      <c r="A279" s="408" t="s">
        <v>405</v>
      </c>
      <c r="B279" s="213" t="s">
        <v>63</v>
      </c>
      <c r="C279" s="213" t="s">
        <v>75</v>
      </c>
      <c r="D279" s="213" t="s">
        <v>87</v>
      </c>
      <c r="E279" s="213" t="s">
        <v>95</v>
      </c>
      <c r="F279" s="213" t="s">
        <v>108</v>
      </c>
      <c r="G279" s="213" t="s">
        <v>137</v>
      </c>
      <c r="H279" s="213" t="s">
        <v>143</v>
      </c>
      <c r="I279" s="213" t="s">
        <v>147</v>
      </c>
      <c r="J279" s="213" t="s">
        <v>153</v>
      </c>
      <c r="K279" s="213" t="s">
        <v>166</v>
      </c>
      <c r="L279" s="213" t="s">
        <v>174</v>
      </c>
      <c r="M279" s="213" t="s">
        <v>197</v>
      </c>
      <c r="N279" s="195"/>
      <c r="O279" s="213" t="s">
        <v>202</v>
      </c>
      <c r="P279" s="213" t="s">
        <v>207</v>
      </c>
      <c r="Q279" s="213" t="s">
        <v>214</v>
      </c>
      <c r="R279" s="213" t="s">
        <v>217</v>
      </c>
      <c r="S279" s="213" t="s">
        <v>225</v>
      </c>
      <c r="T279" s="213" t="s">
        <v>229</v>
      </c>
      <c r="U279" s="213" t="s">
        <v>233</v>
      </c>
      <c r="V279" s="213" t="s">
        <v>251</v>
      </c>
      <c r="W279" s="213" t="s">
        <v>264</v>
      </c>
      <c r="X279" s="213" t="s">
        <v>271</v>
      </c>
      <c r="Y279" s="213" t="s">
        <v>284</v>
      </c>
      <c r="Z279" s="213" t="s">
        <v>293</v>
      </c>
      <c r="AA279" s="213" t="s">
        <v>300</v>
      </c>
      <c r="AB279" s="213" t="s">
        <v>305</v>
      </c>
      <c r="AC279" s="213" t="s">
        <v>229</v>
      </c>
      <c r="AF279" s="195"/>
    </row>
    <row r="280" spans="1:32" ht="13.5" customHeight="1" thickBot="1" x14ac:dyDescent="0.25">
      <c r="A280" s="409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195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F280" s="195"/>
    </row>
    <row r="281" spans="1:32" ht="18" customHeight="1" thickTop="1" thickBot="1" x14ac:dyDescent="0.25">
      <c r="A281" s="40" t="s">
        <v>406</v>
      </c>
      <c r="B281" s="46">
        <f>IFERROR(X22*H22,"0")</f>
        <v>0</v>
      </c>
      <c r="C281" s="46">
        <f>IFERROR(X28*H28,"0")+IFERROR(X29*H29,"0")+IFERROR(X30*H30,"0")+IFERROR(X31*H31,"0")</f>
        <v>84</v>
      </c>
      <c r="D281" s="46">
        <f>IFERROR(X36*H36,"0")+IFERROR(X37*H37,"0")+IFERROR(X38*H38,"0")</f>
        <v>288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345.6</v>
      </c>
      <c r="G281" s="46">
        <f>IFERROR(X69*H69,"0")+IFERROR(X70*H70,"0")</f>
        <v>540</v>
      </c>
      <c r="H281" s="46">
        <f>IFERROR(X75*H75,"0")</f>
        <v>0</v>
      </c>
      <c r="I281" s="46">
        <f>IFERROR(X80*H80,"0")+IFERROR(X81*H81,"0")</f>
        <v>100.8</v>
      </c>
      <c r="J281" s="46">
        <f>IFERROR(X86*H86,"0")+IFERROR(X87*H87,"0")+IFERROR(X88*H88,"0")+IFERROR(X89*H89,"0")+IFERROR(X90*H90,"0")+IFERROR(X91*H91,"0")</f>
        <v>0</v>
      </c>
      <c r="K281" s="46">
        <f>IFERROR(X96*H96,"0")+IFERROR(X97*H97,"0")+IFERROR(X98*H98,"0")</f>
        <v>161.28</v>
      </c>
      <c r="L281" s="46">
        <f>IFERROR(X103*H103,"0")+IFERROR(X104*H104,"0")+IFERROR(X105*H105,"0")+IFERROR(X106*H106,"0")+IFERROR(X107*H107,"0")+IFERROR(X108*H108,"0")+IFERROR(X109*H109,"0")+IFERROR(X110*H110,"0")+IFERROR(X111*H111,"0")</f>
        <v>330.24</v>
      </c>
      <c r="M281" s="46">
        <f>IFERROR(X116*H116,"0")+IFERROR(X117*H117,"0")</f>
        <v>126</v>
      </c>
      <c r="N281" s="195"/>
      <c r="O281" s="46">
        <f>IFERROR(X122*H122,"0")+IFERROR(X123*H123,"0")</f>
        <v>0</v>
      </c>
      <c r="P281" s="46">
        <f>IFERROR(X128*H128,"0")+IFERROR(X129*H129,"0")+IFERROR(X130*H130,"0")</f>
        <v>84</v>
      </c>
      <c r="Q281" s="46">
        <f>IFERROR(X135*H135,"0")</f>
        <v>0</v>
      </c>
      <c r="R281" s="46">
        <f>IFERROR(X140*H140,"0")+IFERROR(X141*H141,"0")</f>
        <v>0</v>
      </c>
      <c r="S281" s="46">
        <f>IFERROR(X146*H146,"0")</f>
        <v>0</v>
      </c>
      <c r="T281" s="46">
        <f>IFERROR(X152*H152,"0")</f>
        <v>0</v>
      </c>
      <c r="U281" s="46">
        <f>IFERROR(X157*H157,"0")+IFERROR(X158*H158,"0")+IFERROR(X159*H159,"0")+IFERROR(X160*H160,"0")+IFERROR(X164*H164,"0")+IFERROR(X165*H165,"0")</f>
        <v>420</v>
      </c>
      <c r="V281" s="46">
        <f>IFERROR(X171*H171,"0")+IFERROR(X172*H172,"0")+IFERROR(X173*H173,"0")+IFERROR(X177*H177,"0")</f>
        <v>210</v>
      </c>
      <c r="W281" s="46">
        <f>IFERROR(X183*H183,"0")+IFERROR(X184*H184,"0")+IFERROR(X185*H185,"0")</f>
        <v>201.6</v>
      </c>
      <c r="X281" s="46">
        <f>IFERROR(X190*H190,"0")+IFERROR(X191*H191,"0")+IFERROR(X192*H192,"0")+IFERROR(X193*H193,"0")+IFERROR(X194*H194,"0")+IFERROR(X195*H195,"0")</f>
        <v>268.79999999999995</v>
      </c>
      <c r="Y281" s="46">
        <f>IFERROR(X200*H200,"0")+IFERROR(X201*H201,"0")+IFERROR(X202*H202,"0")+IFERROR(X203*H203,"0")</f>
        <v>172.8</v>
      </c>
      <c r="Z281" s="46">
        <f>IFERROR(X208*H208,"0")+IFERROR(X209*H209,"0")</f>
        <v>0</v>
      </c>
      <c r="AA281" s="46">
        <f>IFERROR(X215*H215,"0")</f>
        <v>0</v>
      </c>
      <c r="AB281" s="46">
        <f>IFERROR(X221*H221,"0")+IFERROR(X222*H222,"0")</f>
        <v>0</v>
      </c>
      <c r="AC281" s="46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1276.2</v>
      </c>
      <c r="AF281" s="195"/>
    </row>
    <row r="282" spans="1:32" ht="13.5" customHeight="1" thickTop="1" x14ac:dyDescent="0.2">
      <c r="C282" s="195"/>
    </row>
    <row r="283" spans="1:32" ht="19.5" customHeight="1" x14ac:dyDescent="0.2">
      <c r="A283" s="58" t="s">
        <v>407</v>
      </c>
      <c r="B283" s="58" t="s">
        <v>408</v>
      </c>
      <c r="C283" s="58" t="s">
        <v>409</v>
      </c>
    </row>
    <row r="284" spans="1:32" x14ac:dyDescent="0.2">
      <c r="A284" s="59">
        <f>SUMPRODUCT(--(BB:BB="ЗПФ"),--(W:W="кор"),H:H,Y:Y)+SUMPRODUCT(--(BB:BB="ЗПФ"),--(W:W="кг"),Y:Y)</f>
        <v>2567.0399999999995</v>
      </c>
      <c r="B284" s="60">
        <f>SUMPRODUCT(--(BB:BB="ПГП"),--(W:W="кор"),H:H,Y:Y)+SUMPRODUCT(--(BB:BB="ПГП"),--(W:W="кг"),Y:Y)</f>
        <v>2042.28</v>
      </c>
      <c r="C284" s="60">
        <f>SUMPRODUCT(--(BB:BB="КИЗ"),--(W:W="кор"),H:H,Y:Y)+SUMPRODUCT(--(BB:BB="КИЗ"),--(W:W="кг"),Y:Y)</f>
        <v>0</v>
      </c>
    </row>
  </sheetData>
  <sheetProtection algorithmName="SHA-512" hashValue="QNDPRuwP7CqUWNDuvq4o35W7tC5ON26yXZ8XroPLc352Xjuo5pqHfBIJe0Jci/dA8GoPdOQkqg7kuDNz6o2qxg==" saltValue="Tr3+Tgws7ovYmLCJPqtLH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9">
    <mergeCell ref="A8:C8"/>
    <mergeCell ref="D268:E268"/>
    <mergeCell ref="D97:E97"/>
    <mergeCell ref="P76:V76"/>
    <mergeCell ref="A10:C10"/>
    <mergeCell ref="A21:Z21"/>
    <mergeCell ref="D184:E184"/>
    <mergeCell ref="P279:P280"/>
    <mergeCell ref="D192:E192"/>
    <mergeCell ref="A99:O100"/>
    <mergeCell ref="A181:Z181"/>
    <mergeCell ref="D173:E173"/>
    <mergeCell ref="D17:E18"/>
    <mergeCell ref="A279:A280"/>
    <mergeCell ref="C279:C280"/>
    <mergeCell ref="P202:T202"/>
    <mergeCell ref="D123:E123"/>
    <mergeCell ref="P58:T58"/>
    <mergeCell ref="D250:E250"/>
    <mergeCell ref="X17:X18"/>
    <mergeCell ref="D110:E110"/>
    <mergeCell ref="D44:E44"/>
    <mergeCell ref="P216:V216"/>
    <mergeCell ref="V12:W12"/>
    <mergeCell ref="D191:E191"/>
    <mergeCell ref="D262:E262"/>
    <mergeCell ref="A142:O143"/>
    <mergeCell ref="P60:T60"/>
    <mergeCell ref="D239:E239"/>
    <mergeCell ref="D266:E266"/>
    <mergeCell ref="U17:V17"/>
    <mergeCell ref="Y17:Y18"/>
    <mergeCell ref="D57:E57"/>
    <mergeCell ref="AC279:AC280"/>
    <mergeCell ref="P243:T243"/>
    <mergeCell ref="A124:O125"/>
    <mergeCell ref="A118:O119"/>
    <mergeCell ref="W279:W280"/>
    <mergeCell ref="P23:V23"/>
    <mergeCell ref="P272:V272"/>
    <mergeCell ref="P210:V210"/>
    <mergeCell ref="A206:Z206"/>
    <mergeCell ref="A35:Z35"/>
    <mergeCell ref="D54:E54"/>
    <mergeCell ref="Q5:R5"/>
    <mergeCell ref="F17:F18"/>
    <mergeCell ref="D107:E107"/>
    <mergeCell ref="D234:E234"/>
    <mergeCell ref="P70:T70"/>
    <mergeCell ref="P263:T263"/>
    <mergeCell ref="D244:E244"/>
    <mergeCell ref="P228:T228"/>
    <mergeCell ref="D171:E171"/>
    <mergeCell ref="Q6:R6"/>
    <mergeCell ref="P200:T200"/>
    <mergeCell ref="M279:M280"/>
    <mergeCell ref="F10:G10"/>
    <mergeCell ref="O279:O280"/>
    <mergeCell ref="D243:E243"/>
    <mergeCell ref="P205:V205"/>
    <mergeCell ref="P128:T128"/>
    <mergeCell ref="AD17:AF18"/>
    <mergeCell ref="A39:O40"/>
    <mergeCell ref="P167:V167"/>
    <mergeCell ref="P142:V142"/>
    <mergeCell ref="A25:Z25"/>
    <mergeCell ref="P119:V119"/>
    <mergeCell ref="P253:T253"/>
    <mergeCell ref="D221:E221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D265:E265"/>
    <mergeCell ref="A20:Z20"/>
    <mergeCell ref="P2:W3"/>
    <mergeCell ref="A269:O270"/>
    <mergeCell ref="P54:T54"/>
    <mergeCell ref="A170:Z170"/>
    <mergeCell ref="D228:E228"/>
    <mergeCell ref="A23:O24"/>
    <mergeCell ref="P64:T64"/>
    <mergeCell ref="D10:E10"/>
    <mergeCell ref="P135:T135"/>
    <mergeCell ref="P191:T191"/>
    <mergeCell ref="F5:G5"/>
    <mergeCell ref="D252:E252"/>
    <mergeCell ref="P123:T123"/>
    <mergeCell ref="P110:T110"/>
    <mergeCell ref="P66:V66"/>
    <mergeCell ref="P137:V137"/>
    <mergeCell ref="P197:V197"/>
    <mergeCell ref="A127:Z127"/>
    <mergeCell ref="A176:Z176"/>
    <mergeCell ref="A114:Z114"/>
    <mergeCell ref="D249:E249"/>
    <mergeCell ref="P262:T262"/>
    <mergeCell ref="D105:E105"/>
    <mergeCell ref="A51:Z51"/>
    <mergeCell ref="A9:C9"/>
    <mergeCell ref="D202:E202"/>
    <mergeCell ref="A71:O72"/>
    <mergeCell ref="D58:E58"/>
    <mergeCell ref="P273:V273"/>
    <mergeCell ref="P39:V39"/>
    <mergeCell ref="A156:Z156"/>
    <mergeCell ref="P32:V32"/>
    <mergeCell ref="A155:Z155"/>
    <mergeCell ref="Q13:R13"/>
    <mergeCell ref="P201:T201"/>
    <mergeCell ref="A220:Z220"/>
    <mergeCell ref="D22:E22"/>
    <mergeCell ref="P105:T105"/>
    <mergeCell ref="D257:E257"/>
    <mergeCell ref="D86:E86"/>
    <mergeCell ref="A166:O167"/>
    <mergeCell ref="P36:T36"/>
    <mergeCell ref="P107:T107"/>
    <mergeCell ref="D215:E215"/>
    <mergeCell ref="A233:Z233"/>
    <mergeCell ref="M17:M18"/>
    <mergeCell ref="O17:O18"/>
    <mergeCell ref="P131:V131"/>
    <mergeCell ref="E279:E280"/>
    <mergeCell ref="D194:E194"/>
    <mergeCell ref="Z17:Z18"/>
    <mergeCell ref="AB17:AB18"/>
    <mergeCell ref="P271:V271"/>
    <mergeCell ref="P100:V100"/>
    <mergeCell ref="A212:Z212"/>
    <mergeCell ref="A41:Z41"/>
    <mergeCell ref="H5:M5"/>
    <mergeCell ref="A27:Z27"/>
    <mergeCell ref="P98:T98"/>
    <mergeCell ref="A214:Z214"/>
    <mergeCell ref="D146:E146"/>
    <mergeCell ref="D6:M6"/>
    <mergeCell ref="A85:Z85"/>
    <mergeCell ref="P106:T106"/>
    <mergeCell ref="P177:T177"/>
    <mergeCell ref="A223:O224"/>
    <mergeCell ref="D256:E256"/>
    <mergeCell ref="P164:T164"/>
    <mergeCell ref="A231:O232"/>
    <mergeCell ref="D222:E222"/>
    <mergeCell ref="G17:G18"/>
    <mergeCell ref="D159:E159"/>
    <mergeCell ref="V6:W9"/>
    <mergeCell ref="P109:T109"/>
    <mergeCell ref="P222:T222"/>
    <mergeCell ref="P193:T193"/>
    <mergeCell ref="P22:T22"/>
    <mergeCell ref="P236:V236"/>
    <mergeCell ref="P92:V92"/>
    <mergeCell ref="P257:T257"/>
    <mergeCell ref="P80:T80"/>
    <mergeCell ref="A207:Z207"/>
    <mergeCell ref="A182:Z182"/>
    <mergeCell ref="A169:Z169"/>
    <mergeCell ref="A225:Z225"/>
    <mergeCell ref="P148:V148"/>
    <mergeCell ref="P59:T59"/>
    <mergeCell ref="P130:T130"/>
    <mergeCell ref="P190:T190"/>
    <mergeCell ref="P240:V240"/>
    <mergeCell ref="P46:T46"/>
    <mergeCell ref="P111:T111"/>
    <mergeCell ref="A227:Z227"/>
    <mergeCell ref="P61:T61"/>
    <mergeCell ref="D200:E200"/>
    <mergeCell ref="A178:O179"/>
    <mergeCell ref="Y279:Y280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P275:V275"/>
    <mergeCell ref="D75:E75"/>
    <mergeCell ref="P247:V247"/>
    <mergeCell ref="P241:V241"/>
    <mergeCell ref="P91:T91"/>
    <mergeCell ref="P99:V99"/>
    <mergeCell ref="F279:F280"/>
    <mergeCell ref="AA17:AA18"/>
    <mergeCell ref="AC17:AC18"/>
    <mergeCell ref="P108:T108"/>
    <mergeCell ref="D89:E89"/>
    <mergeCell ref="P254:T254"/>
    <mergeCell ref="P147:V147"/>
    <mergeCell ref="A199:Z199"/>
    <mergeCell ref="P251:T251"/>
    <mergeCell ref="Q279:Q280"/>
    <mergeCell ref="S279:S280"/>
    <mergeCell ref="A145:Z145"/>
    <mergeCell ref="A139:Z139"/>
    <mergeCell ref="P124:V124"/>
    <mergeCell ref="D130:E130"/>
    <mergeCell ref="P87:T87"/>
    <mergeCell ref="D201:E201"/>
    <mergeCell ref="A204:O205"/>
    <mergeCell ref="P245:T245"/>
    <mergeCell ref="P89:T89"/>
    <mergeCell ref="P260:T260"/>
    <mergeCell ref="D172:E172"/>
    <mergeCell ref="P88:T88"/>
    <mergeCell ref="A138:Z138"/>
    <mergeCell ref="A94:Z94"/>
    <mergeCell ref="D254:E254"/>
    <mergeCell ref="P231:V231"/>
    <mergeCell ref="P238:T238"/>
    <mergeCell ref="P229:T229"/>
    <mergeCell ref="A153:O154"/>
    <mergeCell ref="A133:Z133"/>
    <mergeCell ref="A198:Z198"/>
    <mergeCell ref="D279:D280"/>
    <mergeCell ref="W278:Z278"/>
    <mergeCell ref="Q8:R8"/>
    <mergeCell ref="P69:T69"/>
    <mergeCell ref="D183:E183"/>
    <mergeCell ref="P140:T140"/>
    <mergeCell ref="P267:T267"/>
    <mergeCell ref="A186:O187"/>
    <mergeCell ref="D104:E104"/>
    <mergeCell ref="P83:V83"/>
    <mergeCell ref="A79:Z79"/>
    <mergeCell ref="A82:O83"/>
    <mergeCell ref="T6:U9"/>
    <mergeCell ref="Q10:R10"/>
    <mergeCell ref="D185:E185"/>
    <mergeCell ref="D43:E43"/>
    <mergeCell ref="D59:E59"/>
    <mergeCell ref="D36:E36"/>
    <mergeCell ref="P71:V71"/>
    <mergeCell ref="A13:M13"/>
    <mergeCell ref="D61:E61"/>
    <mergeCell ref="A15:M15"/>
    <mergeCell ref="J9:M9"/>
    <mergeCell ref="P141:T141"/>
    <mergeCell ref="D62:E62"/>
    <mergeCell ref="A12:M12"/>
    <mergeCell ref="A180:Z180"/>
    <mergeCell ref="A68:Z68"/>
    <mergeCell ref="A19:Z19"/>
    <mergeCell ref="A14:M14"/>
    <mergeCell ref="D109:E109"/>
    <mergeCell ref="T5:U5"/>
    <mergeCell ref="D190:E190"/>
    <mergeCell ref="P203:T203"/>
    <mergeCell ref="D46:E46"/>
    <mergeCell ref="V5:W5"/>
    <mergeCell ref="D111:E111"/>
    <mergeCell ref="A65:O66"/>
    <mergeCell ref="D193:E193"/>
    <mergeCell ref="D56:E56"/>
    <mergeCell ref="P37:T37"/>
    <mergeCell ref="D64:E64"/>
    <mergeCell ref="A131:O132"/>
    <mergeCell ref="A67:Z67"/>
    <mergeCell ref="D203:E203"/>
    <mergeCell ref="H10:M10"/>
    <mergeCell ref="P45:T45"/>
    <mergeCell ref="D128:E128"/>
    <mergeCell ref="A112:O113"/>
    <mergeCell ref="Z279:Z280"/>
    <mergeCell ref="P186:V186"/>
    <mergeCell ref="AB279:AB280"/>
    <mergeCell ref="R279:R280"/>
    <mergeCell ref="D38:E38"/>
    <mergeCell ref="T279:T280"/>
    <mergeCell ref="P204:V204"/>
    <mergeCell ref="P82:V82"/>
    <mergeCell ref="A134:Z134"/>
    <mergeCell ref="A121:Z121"/>
    <mergeCell ref="D63:E63"/>
    <mergeCell ref="D96:E96"/>
    <mergeCell ref="G279:G280"/>
    <mergeCell ref="D52:E52"/>
    <mergeCell ref="P208:T208"/>
    <mergeCell ref="D116:E116"/>
    <mergeCell ref="D91:E91"/>
    <mergeCell ref="A196:O197"/>
    <mergeCell ref="P185:T185"/>
    <mergeCell ref="D106:E106"/>
    <mergeCell ref="D264:E264"/>
    <mergeCell ref="P72:V72"/>
    <mergeCell ref="P122:T122"/>
    <mergeCell ref="A42:Z42"/>
    <mergeCell ref="AG17:AG18"/>
    <mergeCell ref="D160:E160"/>
    <mergeCell ref="I17:I18"/>
    <mergeCell ref="D141:E141"/>
    <mergeCell ref="A48:O49"/>
    <mergeCell ref="D135:E135"/>
    <mergeCell ref="A246:O247"/>
    <mergeCell ref="P178:V178"/>
    <mergeCell ref="A120:Z120"/>
    <mergeCell ref="A95:Z95"/>
    <mergeCell ref="P49:V49"/>
    <mergeCell ref="A219:Z219"/>
    <mergeCell ref="D88:E88"/>
    <mergeCell ref="P117:T117"/>
    <mergeCell ref="P55:T55"/>
    <mergeCell ref="D90:E90"/>
    <mergeCell ref="P196:V196"/>
    <mergeCell ref="A237:Z237"/>
    <mergeCell ref="P195:T195"/>
    <mergeCell ref="A17:A18"/>
    <mergeCell ref="A189:Z189"/>
    <mergeCell ref="C17:C18"/>
    <mergeCell ref="K17:K18"/>
    <mergeCell ref="D103:E103"/>
    <mergeCell ref="AA279:AA280"/>
    <mergeCell ref="P129:T129"/>
    <mergeCell ref="P63:T63"/>
    <mergeCell ref="P194:T194"/>
    <mergeCell ref="P250:T250"/>
    <mergeCell ref="D31:E31"/>
    <mergeCell ref="D158:E158"/>
    <mergeCell ref="D229:E229"/>
    <mergeCell ref="D108:E108"/>
    <mergeCell ref="P258:T258"/>
    <mergeCell ref="P52:T52"/>
    <mergeCell ref="A168:Z168"/>
    <mergeCell ref="P276:V276"/>
    <mergeCell ref="P270:V270"/>
    <mergeCell ref="D255:E255"/>
    <mergeCell ref="D260:E260"/>
    <mergeCell ref="I279:I280"/>
    <mergeCell ref="D261:E261"/>
    <mergeCell ref="L279:L280"/>
    <mergeCell ref="D37:E37"/>
    <mergeCell ref="D230:E230"/>
    <mergeCell ref="C278:S278"/>
    <mergeCell ref="P53:T53"/>
    <mergeCell ref="A210:O211"/>
    <mergeCell ref="D1:F1"/>
    <mergeCell ref="A242:Z242"/>
    <mergeCell ref="P47:T47"/>
    <mergeCell ref="J17:J18"/>
    <mergeCell ref="L17:L18"/>
    <mergeCell ref="P48:V48"/>
    <mergeCell ref="P255:T255"/>
    <mergeCell ref="P125:V125"/>
    <mergeCell ref="P192:T192"/>
    <mergeCell ref="A115:Z115"/>
    <mergeCell ref="P112:V112"/>
    <mergeCell ref="A102:Z102"/>
    <mergeCell ref="P17:T18"/>
    <mergeCell ref="Q9:R9"/>
    <mergeCell ref="Q11:R11"/>
    <mergeCell ref="A6:C6"/>
    <mergeCell ref="Q12:R12"/>
    <mergeCell ref="A5:C5"/>
    <mergeCell ref="D9:E9"/>
    <mergeCell ref="F9:G9"/>
    <mergeCell ref="P239:T239"/>
    <mergeCell ref="P15:T16"/>
    <mergeCell ref="P43:T43"/>
    <mergeCell ref="D157:E157"/>
    <mergeCell ref="P269:V269"/>
    <mergeCell ref="A218:Z218"/>
    <mergeCell ref="D209:E209"/>
    <mergeCell ref="D87:E87"/>
    <mergeCell ref="D245:E245"/>
    <mergeCell ref="P116:T116"/>
    <mergeCell ref="D122:E122"/>
    <mergeCell ref="P103:T103"/>
    <mergeCell ref="A26:Z26"/>
    <mergeCell ref="P268:T268"/>
    <mergeCell ref="P230:T230"/>
    <mergeCell ref="P97:T97"/>
    <mergeCell ref="P264:T264"/>
    <mergeCell ref="P65:V65"/>
    <mergeCell ref="P136:V136"/>
    <mergeCell ref="A188:Z188"/>
    <mergeCell ref="A126:Z126"/>
    <mergeCell ref="D251:E251"/>
    <mergeCell ref="A235:O236"/>
    <mergeCell ref="P256:T256"/>
    <mergeCell ref="P38:T38"/>
    <mergeCell ref="D80:E80"/>
    <mergeCell ref="P187:V187"/>
    <mergeCell ref="A248:Z248"/>
    <mergeCell ref="H1:Q1"/>
    <mergeCell ref="B279:B280"/>
    <mergeCell ref="P274:V274"/>
    <mergeCell ref="A74:Z74"/>
    <mergeCell ref="P246:V246"/>
    <mergeCell ref="K279:K280"/>
    <mergeCell ref="D259:E259"/>
    <mergeCell ref="P40:V40"/>
    <mergeCell ref="A163:Z163"/>
    <mergeCell ref="T278:U278"/>
    <mergeCell ref="A101:Z101"/>
    <mergeCell ref="D28:E28"/>
    <mergeCell ref="P184:T184"/>
    <mergeCell ref="A174:O175"/>
    <mergeCell ref="D117:E117"/>
    <mergeCell ref="P171:T171"/>
    <mergeCell ref="D55:E55"/>
    <mergeCell ref="D30:E30"/>
    <mergeCell ref="D5:E5"/>
    <mergeCell ref="A32:O33"/>
    <mergeCell ref="P259:T259"/>
    <mergeCell ref="D69:E69"/>
    <mergeCell ref="P175:V175"/>
    <mergeCell ref="A240:O241"/>
    <mergeCell ref="P234:T234"/>
    <mergeCell ref="P154:V154"/>
    <mergeCell ref="A150:Z150"/>
    <mergeCell ref="A144:Z144"/>
    <mergeCell ref="D129:E129"/>
    <mergeCell ref="D7:M7"/>
    <mergeCell ref="P173:T173"/>
    <mergeCell ref="P29:T29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P158:T158"/>
    <mergeCell ref="P118:V118"/>
    <mergeCell ref="P266:T266"/>
    <mergeCell ref="P162:V162"/>
    <mergeCell ref="H279:H280"/>
    <mergeCell ref="J279:J280"/>
    <mergeCell ref="P33:V33"/>
    <mergeCell ref="D53:E53"/>
    <mergeCell ref="P232:V232"/>
    <mergeCell ref="D47:E47"/>
    <mergeCell ref="A84:Z84"/>
    <mergeCell ref="P160:T160"/>
    <mergeCell ref="A149:Z149"/>
    <mergeCell ref="P209:T209"/>
    <mergeCell ref="A50:Z50"/>
    <mergeCell ref="W17:W18"/>
    <mergeCell ref="P161:V161"/>
    <mergeCell ref="P217:V217"/>
    <mergeCell ref="A213:Z213"/>
    <mergeCell ref="A151:Z151"/>
    <mergeCell ref="P93:V93"/>
    <mergeCell ref="P223:V223"/>
    <mergeCell ref="P174:V174"/>
    <mergeCell ref="D177:E177"/>
    <mergeCell ref="P183:T183"/>
    <mergeCell ref="D164:E164"/>
    <mergeCell ref="P62:T62"/>
    <mergeCell ref="P132:V132"/>
    <mergeCell ref="N17:N18"/>
    <mergeCell ref="R1:T1"/>
    <mergeCell ref="P28:T28"/>
    <mergeCell ref="P221:T221"/>
    <mergeCell ref="P215:T215"/>
    <mergeCell ref="A271:O276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66:V166"/>
    <mergeCell ref="P104:T104"/>
    <mergeCell ref="B17:B18"/>
    <mergeCell ref="P143:V143"/>
    <mergeCell ref="A73:Z73"/>
    <mergeCell ref="D258:E258"/>
    <mergeCell ref="P235:V235"/>
    <mergeCell ref="A92:O93"/>
    <mergeCell ref="P252:T252"/>
    <mergeCell ref="P81:T81"/>
    <mergeCell ref="D195:E195"/>
    <mergeCell ref="D60:E60"/>
    <mergeCell ref="P244:T244"/>
    <mergeCell ref="A34:Z34"/>
    <mergeCell ref="H9:I9"/>
    <mergeCell ref="D45:E45"/>
    <mergeCell ref="P224:V224"/>
    <mergeCell ref="P24:V24"/>
    <mergeCell ref="P211:V211"/>
    <mergeCell ref="V279:V280"/>
    <mergeCell ref="A78:Z78"/>
    <mergeCell ref="X279:X280"/>
    <mergeCell ref="P153:V153"/>
    <mergeCell ref="D70:E70"/>
    <mergeCell ref="D263:E263"/>
    <mergeCell ref="D238:E238"/>
    <mergeCell ref="A216:O217"/>
    <mergeCell ref="P86:T86"/>
    <mergeCell ref="P157:T157"/>
    <mergeCell ref="P249:T249"/>
    <mergeCell ref="P172:T172"/>
    <mergeCell ref="P56:T56"/>
    <mergeCell ref="V10:W10"/>
    <mergeCell ref="P113:V113"/>
    <mergeCell ref="D253:E2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64 X69:X70 X75 X80:X81 X86:X91 X96:X98 X104 X106 X108 X110:X111 X116:X117 X122:X123 X128:X130 X135 X140:X141 X146 X152 X157:X158 X160 X164:X165 X171:X173 X177 X183:X185 X190:X195 X200:X203 X208:X209 X215 X221:X222 X228:X230 X234 X238:X239 X243 X245 X249:X26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105 X107 X109 X159 X244" xr:uid="{00000000-0002-0000-0000-000012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410</v>
      </c>
      <c r="H1" s="52"/>
    </row>
    <row r="3" spans="2:8" x14ac:dyDescent="0.2">
      <c r="B3" s="47" t="s">
        <v>411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412</v>
      </c>
      <c r="D6" s="47" t="s">
        <v>413</v>
      </c>
      <c r="E6" s="47"/>
    </row>
    <row r="8" spans="2:8" x14ac:dyDescent="0.2">
      <c r="B8" s="47" t="s">
        <v>19</v>
      </c>
      <c r="C8" s="47" t="s">
        <v>412</v>
      </c>
      <c r="D8" s="47"/>
      <c r="E8" s="47"/>
    </row>
    <row r="10" spans="2:8" x14ac:dyDescent="0.2">
      <c r="B10" s="47" t="s">
        <v>414</v>
      </c>
      <c r="C10" s="47"/>
      <c r="D10" s="47"/>
      <c r="E10" s="47"/>
    </row>
    <row r="11" spans="2:8" x14ac:dyDescent="0.2">
      <c r="B11" s="47" t="s">
        <v>415</v>
      </c>
      <c r="C11" s="47"/>
      <c r="D11" s="47"/>
      <c r="E11" s="47"/>
    </row>
    <row r="12" spans="2:8" x14ac:dyDescent="0.2">
      <c r="B12" s="47" t="s">
        <v>416</v>
      </c>
      <c r="C12" s="47"/>
      <c r="D12" s="47"/>
      <c r="E12" s="47"/>
    </row>
    <row r="13" spans="2:8" x14ac:dyDescent="0.2">
      <c r="B13" s="47" t="s">
        <v>417</v>
      </c>
      <c r="C13" s="47"/>
      <c r="D13" s="47"/>
      <c r="E13" s="47"/>
    </row>
    <row r="14" spans="2:8" x14ac:dyDescent="0.2">
      <c r="B14" s="47" t="s">
        <v>418</v>
      </c>
      <c r="C14" s="47"/>
      <c r="D14" s="47"/>
      <c r="E14" s="47"/>
    </row>
    <row r="15" spans="2:8" x14ac:dyDescent="0.2">
      <c r="B15" s="47" t="s">
        <v>419</v>
      </c>
      <c r="C15" s="47"/>
      <c r="D15" s="47"/>
      <c r="E15" s="47"/>
    </row>
    <row r="16" spans="2:8" x14ac:dyDescent="0.2">
      <c r="B16" s="47" t="s">
        <v>420</v>
      </c>
      <c r="C16" s="47"/>
      <c r="D16" s="47"/>
      <c r="E16" s="47"/>
    </row>
    <row r="17" spans="2:5" x14ac:dyDescent="0.2">
      <c r="B17" s="47" t="s">
        <v>421</v>
      </c>
      <c r="C17" s="47"/>
      <c r="D17" s="47"/>
      <c r="E17" s="47"/>
    </row>
    <row r="18" spans="2:5" x14ac:dyDescent="0.2">
      <c r="B18" s="47" t="s">
        <v>422</v>
      </c>
      <c r="C18" s="47"/>
      <c r="D18" s="47"/>
      <c r="E18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</sheetData>
  <sheetProtection algorithmName="SHA-512" hashValue="Lh0DP78Vm7J03HCJbmbAJeTtK3Gx8cLpDBy4eKf2Uo6HlWsGa3heQUPdc9evO3dTISq8DeU2a/Ej35atC2gKZQ==" saltValue="WIO8qrSwYSUOZGH9ce7y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