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EAB47F-0737-4C2C-ACF3-76389D5171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заказа'!$X$672:$X$672</definedName>
    <definedName name="GrossWeightTotalR">'Бланк заказа'!$Y$672:$Y$672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заказа'!$X$673:$X$673</definedName>
    <definedName name="PalletQtyTotalR">'Бланк заказа'!$Y$673:$Y$673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заказа'!$B$570:$B$570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заказа'!$B$586:$B$586</definedName>
    <definedName name="ProductId316">'Бланк заказа'!$B$590:$B$590</definedName>
    <definedName name="ProductId317">'Бланк заказа'!$B$591:$B$591</definedName>
    <definedName name="ProductId318">'Бланк заказа'!$B$592:$B$592</definedName>
    <definedName name="ProductId319">'Бланк заказа'!$B$596:$B$596</definedName>
    <definedName name="ProductId32">'Бланк заказа'!$B$77:$B$77</definedName>
    <definedName name="ProductId320">'Бланк заказа'!$B$597:$B$597</definedName>
    <definedName name="ProductId321">'Бланк заказа'!$B$603:$B$603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заказа'!$B$615:$B$615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заказа'!$B$622:$B$622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заказа'!$B$632:$B$632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заказа'!$B$643:$B$643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заказа'!$B$650:$B$650</definedName>
    <definedName name="ProductId352">'Бланк заказа'!$B$655:$B$655</definedName>
    <definedName name="ProductId353">'Бланк заказа'!$B$656:$B$656</definedName>
    <definedName name="ProductId354">'Бланк заказа'!$B$660:$B$660</definedName>
    <definedName name="ProductId355">'Бланк заказа'!$B$664:$B$664</definedName>
    <definedName name="ProductId356">'Бланк заказа'!$B$668:$B$668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заказа'!$X$570:$X$570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заказа'!$X$586:$X$586</definedName>
    <definedName name="SalesQty316">'Бланк заказа'!$X$590:$X$590</definedName>
    <definedName name="SalesQty317">'Бланк заказа'!$X$591:$X$591</definedName>
    <definedName name="SalesQty318">'Бланк заказа'!$X$592:$X$592</definedName>
    <definedName name="SalesQty319">'Бланк заказа'!$X$596:$X$596</definedName>
    <definedName name="SalesQty32">'Бланк заказа'!$X$77:$X$77</definedName>
    <definedName name="SalesQty320">'Бланк заказа'!$X$597:$X$597</definedName>
    <definedName name="SalesQty321">'Бланк заказа'!$X$603:$X$603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заказа'!$X$615:$X$615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заказа'!$X$622:$X$622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заказа'!$X$632:$X$632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заказа'!$X$643:$X$643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заказа'!$X$650:$X$650</definedName>
    <definedName name="SalesQty352">'Бланк заказа'!$X$655:$X$655</definedName>
    <definedName name="SalesQty353">'Бланк заказа'!$X$656:$X$656</definedName>
    <definedName name="SalesQty354">'Бланк заказа'!$X$660:$X$660</definedName>
    <definedName name="SalesQty355">'Бланк заказа'!$X$664:$X$664</definedName>
    <definedName name="SalesQty356">'Бланк заказа'!$X$668:$X$668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заказа'!$Y$570:$Y$570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заказа'!$Y$586:$Y$586</definedName>
    <definedName name="SalesRoundBox316">'Бланк заказа'!$Y$590:$Y$590</definedName>
    <definedName name="SalesRoundBox317">'Бланк заказа'!$Y$591:$Y$591</definedName>
    <definedName name="SalesRoundBox318">'Бланк заказа'!$Y$592:$Y$592</definedName>
    <definedName name="SalesRoundBox319">'Бланк заказа'!$Y$596:$Y$596</definedName>
    <definedName name="SalesRoundBox32">'Бланк заказа'!$Y$77:$Y$77</definedName>
    <definedName name="SalesRoundBox320">'Бланк заказа'!$Y$597:$Y$597</definedName>
    <definedName name="SalesRoundBox321">'Бланк заказа'!$Y$603:$Y$603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заказа'!$Y$615:$Y$615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заказа'!$Y$622:$Y$622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заказа'!$Y$632:$Y$632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заказа'!$Y$643:$Y$643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заказа'!$Y$650:$Y$650</definedName>
    <definedName name="SalesRoundBox352">'Бланк заказа'!$Y$655:$Y$655</definedName>
    <definedName name="SalesRoundBox353">'Бланк заказа'!$Y$656:$Y$656</definedName>
    <definedName name="SalesRoundBox354">'Бланк заказа'!$Y$660:$Y$660</definedName>
    <definedName name="SalesRoundBox355">'Бланк заказа'!$Y$664:$Y$664</definedName>
    <definedName name="SalesRoundBox356">'Бланк заказа'!$Y$668:$Y$668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заказа'!$W$570:$W$570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заказа'!$W$586:$W$586</definedName>
    <definedName name="UnitOfMeasure316">'Бланк заказа'!$W$590:$W$590</definedName>
    <definedName name="UnitOfMeasure317">'Бланк заказа'!$W$591:$W$591</definedName>
    <definedName name="UnitOfMeasure318">'Бланк заказа'!$W$592:$W$592</definedName>
    <definedName name="UnitOfMeasure319">'Бланк заказа'!$W$596:$W$596</definedName>
    <definedName name="UnitOfMeasure32">'Бланк заказа'!$W$77:$W$77</definedName>
    <definedName name="UnitOfMeasure320">'Бланк заказа'!$W$597:$W$597</definedName>
    <definedName name="UnitOfMeasure321">'Бланк заказа'!$W$603:$W$603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заказа'!$W$615:$W$615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заказа'!$W$622:$W$622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заказа'!$W$632:$W$632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заказа'!$W$643:$W$643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заказа'!$W$650:$W$650</definedName>
    <definedName name="UnitOfMeasure352">'Бланк заказа'!$W$655:$W$655</definedName>
    <definedName name="UnitOfMeasure353">'Бланк заказа'!$W$656:$W$656</definedName>
    <definedName name="UnitOfMeasure354">'Бланк заказа'!$W$660:$W$660</definedName>
    <definedName name="UnitOfMeasure355">'Бланк заказа'!$W$664:$W$664</definedName>
    <definedName name="UnitOfMeasure356">'Бланк заказа'!$W$668:$W$668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0" i="1" l="1"/>
  <c r="X669" i="1"/>
  <c r="BO668" i="1"/>
  <c r="BM668" i="1"/>
  <c r="Y668" i="1"/>
  <c r="X666" i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Z657" i="1" s="1"/>
  <c r="Y655" i="1"/>
  <c r="X652" i="1"/>
  <c r="X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X645" i="1"/>
  <c r="Y644" i="1"/>
  <c r="X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4" i="1" s="1"/>
  <c r="Y636" i="1"/>
  <c r="Y645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3" i="1" s="1"/>
  <c r="Y619" i="1"/>
  <c r="Y624" i="1" s="1"/>
  <c r="X617" i="1"/>
  <c r="X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5" i="1"/>
  <c r="Y604" i="1"/>
  <c r="X604" i="1"/>
  <c r="BP603" i="1"/>
  <c r="BO603" i="1"/>
  <c r="BN603" i="1"/>
  <c r="BM603" i="1"/>
  <c r="Z603" i="1"/>
  <c r="Z604" i="1" s="1"/>
  <c r="Y603" i="1"/>
  <c r="AD681" i="1" s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P591" i="1"/>
  <c r="BO591" i="1"/>
  <c r="BN591" i="1"/>
  <c r="BM591" i="1"/>
  <c r="Z591" i="1"/>
  <c r="Y591" i="1"/>
  <c r="P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BO575" i="1"/>
  <c r="BM575" i="1"/>
  <c r="Y575" i="1"/>
  <c r="P575" i="1"/>
  <c r="BP574" i="1"/>
  <c r="BO574" i="1"/>
  <c r="BN574" i="1"/>
  <c r="BM574" i="1"/>
  <c r="Z574" i="1"/>
  <c r="Y574" i="1"/>
  <c r="Y587" i="1" s="1"/>
  <c r="X572" i="1"/>
  <c r="X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AB681" i="1" s="1"/>
  <c r="P542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P535" i="1"/>
  <c r="BO534" i="1"/>
  <c r="BM534" i="1"/>
  <c r="Y534" i="1"/>
  <c r="BP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P522" i="1" s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Y525" i="1" s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Y512" i="1" s="1"/>
  <c r="P509" i="1"/>
  <c r="X507" i="1"/>
  <c r="X506" i="1"/>
  <c r="BO505" i="1"/>
  <c r="BM505" i="1"/>
  <c r="Y505" i="1"/>
  <c r="BP505" i="1" s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502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N425" i="1"/>
  <c r="BM425" i="1"/>
  <c r="Z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Y395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BP387" i="1" s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2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X354" i="1"/>
  <c r="Y353" i="1"/>
  <c r="X353" i="1"/>
  <c r="BP352" i="1"/>
  <c r="BO352" i="1"/>
  <c r="BN352" i="1"/>
  <c r="BM352" i="1"/>
  <c r="Z352" i="1"/>
  <c r="Z353" i="1" s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T681" i="1" s="1"/>
  <c r="P343" i="1"/>
  <c r="X340" i="1"/>
  <c r="X339" i="1"/>
  <c r="BO338" i="1"/>
  <c r="BM338" i="1"/>
  <c r="Y338" i="1"/>
  <c r="Y340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81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Q681" i="1" s="1"/>
  <c r="P306" i="1"/>
  <c r="X303" i="1"/>
  <c r="X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681" i="1" s="1"/>
  <c r="P299" i="1"/>
  <c r="X296" i="1"/>
  <c r="X295" i="1"/>
  <c r="BO294" i="1"/>
  <c r="BM294" i="1"/>
  <c r="Y294" i="1"/>
  <c r="O681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Y29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Y248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8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Y168" i="1" s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1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1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1" i="1"/>
  <c r="X672" i="1"/>
  <c r="X673" i="1"/>
  <c r="X675" i="1"/>
  <c r="Y24" i="1"/>
  <c r="Z27" i="1"/>
  <c r="Z34" i="1" s="1"/>
  <c r="BN27" i="1"/>
  <c r="BP27" i="1"/>
  <c r="Z32" i="1"/>
  <c r="BN32" i="1"/>
  <c r="C681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1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1" i="1"/>
  <c r="Z154" i="1"/>
  <c r="Z156" i="1" s="1"/>
  <c r="BN154" i="1"/>
  <c r="BP154" i="1"/>
  <c r="Y157" i="1"/>
  <c r="Z160" i="1"/>
  <c r="Z161" i="1" s="1"/>
  <c r="BN160" i="1"/>
  <c r="BP160" i="1"/>
  <c r="Z165" i="1"/>
  <c r="Z167" i="1" s="1"/>
  <c r="BN165" i="1"/>
  <c r="BP165" i="1"/>
  <c r="H68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Z202" i="1" s="1"/>
  <c r="BN194" i="1"/>
  <c r="BP194" i="1"/>
  <c r="Z196" i="1"/>
  <c r="BN196" i="1"/>
  <c r="Z198" i="1"/>
  <c r="BN198" i="1"/>
  <c r="Z200" i="1"/>
  <c r="BN200" i="1"/>
  <c r="Y203" i="1"/>
  <c r="J681" i="1"/>
  <c r="Z207" i="1"/>
  <c r="Z208" i="1" s="1"/>
  <c r="BN207" i="1"/>
  <c r="Y672" i="1" s="1"/>
  <c r="BP207" i="1"/>
  <c r="Y208" i="1"/>
  <c r="Y675" i="1" s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Z247" i="1" s="1"/>
  <c r="BN241" i="1"/>
  <c r="BP241" i="1"/>
  <c r="Z244" i="1"/>
  <c r="BN244" i="1"/>
  <c r="Z246" i="1"/>
  <c r="BN246" i="1"/>
  <c r="Y247" i="1"/>
  <c r="Z251" i="1"/>
  <c r="BN251" i="1"/>
  <c r="Z253" i="1"/>
  <c r="BN253" i="1"/>
  <c r="Z255" i="1"/>
  <c r="BN255" i="1"/>
  <c r="Z257" i="1"/>
  <c r="BN257" i="1"/>
  <c r="BP266" i="1"/>
  <c r="BN266" i="1"/>
  <c r="Z266" i="1"/>
  <c r="BP270" i="1"/>
  <c r="BN270" i="1"/>
  <c r="Z270" i="1"/>
  <c r="F9" i="1"/>
  <c r="J9" i="1"/>
  <c r="Y110" i="1"/>
  <c r="Y128" i="1"/>
  <c r="Y192" i="1"/>
  <c r="K681" i="1"/>
  <c r="Y260" i="1"/>
  <c r="Y259" i="1"/>
  <c r="BP264" i="1"/>
  <c r="BN264" i="1"/>
  <c r="Z264" i="1"/>
  <c r="BP268" i="1"/>
  <c r="Y673" i="1" s="1"/>
  <c r="BN268" i="1"/>
  <c r="Z268" i="1"/>
  <c r="Z272" i="1" s="1"/>
  <c r="Y272" i="1"/>
  <c r="L681" i="1"/>
  <c r="Y273" i="1"/>
  <c r="M681" i="1"/>
  <c r="Z281" i="1"/>
  <c r="BN281" i="1"/>
  <c r="BP281" i="1"/>
  <c r="Z283" i="1"/>
  <c r="Z290" i="1" s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BN299" i="1"/>
  <c r="BP299" i="1"/>
  <c r="Z301" i="1"/>
  <c r="BN301" i="1"/>
  <c r="Y302" i="1"/>
  <c r="Z306" i="1"/>
  <c r="BN306" i="1"/>
  <c r="BP306" i="1"/>
  <c r="Z308" i="1"/>
  <c r="BN308" i="1"/>
  <c r="Z310" i="1"/>
  <c r="BN310" i="1"/>
  <c r="Y313" i="1"/>
  <c r="Y318" i="1"/>
  <c r="S681" i="1"/>
  <c r="Y331" i="1"/>
  <c r="Z338" i="1"/>
  <c r="Z339" i="1" s="1"/>
  <c r="BN338" i="1"/>
  <c r="BP338" i="1"/>
  <c r="Z343" i="1"/>
  <c r="Z344" i="1" s="1"/>
  <c r="BN343" i="1"/>
  <c r="BP343" i="1"/>
  <c r="Y344" i="1"/>
  <c r="Z347" i="1"/>
  <c r="Z349" i="1" s="1"/>
  <c r="BN347" i="1"/>
  <c r="BP347" i="1"/>
  <c r="Y350" i="1"/>
  <c r="U681" i="1"/>
  <c r="Z358" i="1"/>
  <c r="Z365" i="1" s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Z381" i="1" s="1"/>
  <c r="BN376" i="1"/>
  <c r="Z378" i="1"/>
  <c r="BN378" i="1"/>
  <c r="Z380" i="1"/>
  <c r="BN380" i="1"/>
  <c r="Y381" i="1"/>
  <c r="Z384" i="1"/>
  <c r="Z388" i="1" s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Z401" i="1" s="1"/>
  <c r="BN399" i="1"/>
  <c r="BP399" i="1"/>
  <c r="V681" i="1"/>
  <c r="Y407" i="1"/>
  <c r="Z410" i="1"/>
  <c r="Z412" i="1" s="1"/>
  <c r="BN410" i="1"/>
  <c r="BP410" i="1"/>
  <c r="W681" i="1"/>
  <c r="Y428" i="1"/>
  <c r="Z418" i="1"/>
  <c r="Z428" i="1" s="1"/>
  <c r="BN418" i="1"/>
  <c r="Z420" i="1"/>
  <c r="BN420" i="1"/>
  <c r="Z422" i="1"/>
  <c r="BN422" i="1"/>
  <c r="Z424" i="1"/>
  <c r="BN424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81" i="1"/>
  <c r="Y477" i="1"/>
  <c r="BP476" i="1"/>
  <c r="BN476" i="1"/>
  <c r="Z476" i="1"/>
  <c r="Z477" i="1" s="1"/>
  <c r="Y478" i="1"/>
  <c r="BP483" i="1"/>
  <c r="BN483" i="1"/>
  <c r="Z483" i="1"/>
  <c r="Z501" i="1" s="1"/>
  <c r="Y501" i="1"/>
  <c r="BP486" i="1"/>
  <c r="BN486" i="1"/>
  <c r="Z486" i="1"/>
  <c r="BP491" i="1"/>
  <c r="BN491" i="1"/>
  <c r="Z491" i="1"/>
  <c r="BP494" i="1"/>
  <c r="BN494" i="1"/>
  <c r="Z494" i="1"/>
  <c r="Y296" i="1"/>
  <c r="Y303" i="1"/>
  <c r="Y312" i="1"/>
  <c r="Y345" i="1"/>
  <c r="Y366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59" i="1"/>
  <c r="Y468" i="1"/>
  <c r="BP462" i="1"/>
  <c r="BN462" i="1"/>
  <c r="Z462" i="1"/>
  <c r="BP465" i="1"/>
  <c r="BN465" i="1"/>
  <c r="Z465" i="1"/>
  <c r="BP485" i="1"/>
  <c r="BN485" i="1"/>
  <c r="Z485" i="1"/>
  <c r="BP488" i="1"/>
  <c r="BN488" i="1"/>
  <c r="Z488" i="1"/>
  <c r="BP493" i="1"/>
  <c r="BN493" i="1"/>
  <c r="Z493" i="1"/>
  <c r="Y507" i="1"/>
  <c r="Y511" i="1"/>
  <c r="Y524" i="1"/>
  <c r="Y539" i="1"/>
  <c r="Y544" i="1"/>
  <c r="AC681" i="1"/>
  <c r="Y563" i="1"/>
  <c r="BP560" i="1"/>
  <c r="BN560" i="1"/>
  <c r="Z560" i="1"/>
  <c r="BP562" i="1"/>
  <c r="BN562" i="1"/>
  <c r="Z562" i="1"/>
  <c r="Y564" i="1"/>
  <c r="Y571" i="1"/>
  <c r="BP566" i="1"/>
  <c r="BN566" i="1"/>
  <c r="Z566" i="1"/>
  <c r="BP569" i="1"/>
  <c r="BN569" i="1"/>
  <c r="Z569" i="1"/>
  <c r="BP576" i="1"/>
  <c r="BN576" i="1"/>
  <c r="Z576" i="1"/>
  <c r="BP581" i="1"/>
  <c r="BN581" i="1"/>
  <c r="Z581" i="1"/>
  <c r="BP586" i="1"/>
  <c r="BN586" i="1"/>
  <c r="Z586" i="1"/>
  <c r="Y588" i="1"/>
  <c r="Y593" i="1"/>
  <c r="BP590" i="1"/>
  <c r="BN590" i="1"/>
  <c r="Z590" i="1"/>
  <c r="BP597" i="1"/>
  <c r="BN597" i="1"/>
  <c r="Z597" i="1"/>
  <c r="Y599" i="1"/>
  <c r="Y616" i="1"/>
  <c r="Y617" i="1"/>
  <c r="BP609" i="1"/>
  <c r="BN609" i="1"/>
  <c r="Z609" i="1"/>
  <c r="BP611" i="1"/>
  <c r="BN611" i="1"/>
  <c r="Z611" i="1"/>
  <c r="AA681" i="1"/>
  <c r="X681" i="1"/>
  <c r="Y454" i="1"/>
  <c r="Z496" i="1"/>
  <c r="BN496" i="1"/>
  <c r="Z498" i="1"/>
  <c r="BN498" i="1"/>
  <c r="Z499" i="1"/>
  <c r="BN499" i="1"/>
  <c r="Z505" i="1"/>
  <c r="Z506" i="1" s="1"/>
  <c r="BN505" i="1"/>
  <c r="Z509" i="1"/>
  <c r="Z511" i="1" s="1"/>
  <c r="BN509" i="1"/>
  <c r="BP509" i="1"/>
  <c r="Z681" i="1"/>
  <c r="Y517" i="1"/>
  <c r="Z519" i="1"/>
  <c r="Z524" i="1" s="1"/>
  <c r="BN519" i="1"/>
  <c r="BP519" i="1"/>
  <c r="Z522" i="1"/>
  <c r="BN522" i="1"/>
  <c r="Z533" i="1"/>
  <c r="Z538" i="1" s="1"/>
  <c r="BN533" i="1"/>
  <c r="Z534" i="1"/>
  <c r="BN534" i="1"/>
  <c r="Z536" i="1"/>
  <c r="BN536" i="1"/>
  <c r="Z537" i="1"/>
  <c r="BN537" i="1"/>
  <c r="Z542" i="1"/>
  <c r="Z543" i="1" s="1"/>
  <c r="BN542" i="1"/>
  <c r="BP542" i="1"/>
  <c r="Y543" i="1"/>
  <c r="Z548" i="1"/>
  <c r="BN548" i="1"/>
  <c r="BP548" i="1"/>
  <c r="Z550" i="1"/>
  <c r="BN550" i="1"/>
  <c r="Z552" i="1"/>
  <c r="BN552" i="1"/>
  <c r="Z554" i="1"/>
  <c r="BN554" i="1"/>
  <c r="Z556" i="1"/>
  <c r="BN556" i="1"/>
  <c r="Z557" i="1"/>
  <c r="BN557" i="1"/>
  <c r="Z559" i="1"/>
  <c r="BN559" i="1"/>
  <c r="BP561" i="1"/>
  <c r="BN561" i="1"/>
  <c r="Z561" i="1"/>
  <c r="BP567" i="1"/>
  <c r="BN567" i="1"/>
  <c r="Z567" i="1"/>
  <c r="BP570" i="1"/>
  <c r="BN570" i="1"/>
  <c r="Z570" i="1"/>
  <c r="Y572" i="1"/>
  <c r="BP575" i="1"/>
  <c r="BN575" i="1"/>
  <c r="Z575" i="1"/>
  <c r="BP578" i="1"/>
  <c r="BN578" i="1"/>
  <c r="Z578" i="1"/>
  <c r="BP584" i="1"/>
  <c r="BN584" i="1"/>
  <c r="Z584" i="1"/>
  <c r="BP592" i="1"/>
  <c r="BN592" i="1"/>
  <c r="Z592" i="1"/>
  <c r="Y594" i="1"/>
  <c r="Y598" i="1"/>
  <c r="BP596" i="1"/>
  <c r="BN596" i="1"/>
  <c r="Z596" i="1"/>
  <c r="Z598" i="1" s="1"/>
  <c r="BP610" i="1"/>
  <c r="BN610" i="1"/>
  <c r="Z610" i="1"/>
  <c r="BP612" i="1"/>
  <c r="BN612" i="1"/>
  <c r="Z612" i="1"/>
  <c r="BP614" i="1"/>
  <c r="BN614" i="1"/>
  <c r="Z614" i="1"/>
  <c r="BP627" i="1"/>
  <c r="BN627" i="1"/>
  <c r="Z627" i="1"/>
  <c r="BP629" i="1"/>
  <c r="BN629" i="1"/>
  <c r="Z629" i="1"/>
  <c r="BP631" i="1"/>
  <c r="BN631" i="1"/>
  <c r="Z631" i="1"/>
  <c r="BP648" i="1"/>
  <c r="BN648" i="1"/>
  <c r="Z648" i="1"/>
  <c r="BP650" i="1"/>
  <c r="BN650" i="1"/>
  <c r="Z650" i="1"/>
  <c r="Y652" i="1"/>
  <c r="Y661" i="1"/>
  <c r="BP660" i="1"/>
  <c r="BN660" i="1"/>
  <c r="Z660" i="1"/>
  <c r="Z661" i="1" s="1"/>
  <c r="Y662" i="1"/>
  <c r="Y669" i="1"/>
  <c r="BP668" i="1"/>
  <c r="BN668" i="1"/>
  <c r="Z668" i="1"/>
  <c r="Z669" i="1" s="1"/>
  <c r="Y670" i="1"/>
  <c r="AE681" i="1"/>
  <c r="Y605" i="1"/>
  <c r="BP613" i="1"/>
  <c r="BN613" i="1"/>
  <c r="Z613" i="1"/>
  <c r="BP615" i="1"/>
  <c r="BN615" i="1"/>
  <c r="Z615" i="1"/>
  <c r="Y633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Y651" i="1"/>
  <c r="BP647" i="1"/>
  <c r="BN647" i="1"/>
  <c r="Z647" i="1"/>
  <c r="BP649" i="1"/>
  <c r="BN649" i="1"/>
  <c r="Z649" i="1"/>
  <c r="AF681" i="1"/>
  <c r="Y658" i="1"/>
  <c r="Y674" i="1" l="1"/>
  <c r="Z651" i="1"/>
  <c r="Z633" i="1"/>
  <c r="Z563" i="1"/>
  <c r="Z593" i="1"/>
  <c r="Z467" i="1"/>
  <c r="Z372" i="1"/>
  <c r="Z312" i="1"/>
  <c r="Z302" i="1"/>
  <c r="Z134" i="1"/>
  <c r="Z127" i="1"/>
  <c r="Z118" i="1"/>
  <c r="Z109" i="1"/>
  <c r="Z102" i="1"/>
  <c r="Z676" i="1" s="1"/>
  <c r="Y671" i="1"/>
  <c r="Z587" i="1"/>
  <c r="Z616" i="1"/>
  <c r="Z571" i="1"/>
  <c r="Z259" i="1"/>
  <c r="X674" i="1"/>
</calcChain>
</file>

<file path=xl/sharedStrings.xml><?xml version="1.0" encoding="utf-8"?>
<sst xmlns="http://schemas.openxmlformats.org/spreadsheetml/2006/main" count="3197" uniqueCount="1103">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</sst>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2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1"/>
  <sheetViews>
    <sheetView showGridLines="0" tabSelected="1" topLeftCell="A651" zoomScaleNormal="100" zoomScaleSheetLayoutView="100" workbookViewId="0">
      <selection activeCell="AA677" sqref="AA677"/>
    </sheetView>
  </sheetViews>
  <sheetFormatPr defaultColWidth="9.140625" defaultRowHeight="12.75" x14ac:dyDescent="0.2"/>
  <cols>
    <col min="1" max="1" width="9.140625" style="7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7" customWidth="1"/>
    <col min="34" max="34" width="9.140625" style="787" customWidth="1"/>
    <col min="35" max="16384" width="9.140625" style="787"/>
  </cols>
  <sheetData>
    <row r="1" spans="1:32" s="783" customFormat="1" ht="45" customHeight="1" x14ac:dyDescent="0.2">
      <c r="A1" s="41"/>
      <c r="B1" s="41"/>
      <c r="C1" s="41"/>
      <c r="D1" s="880" t="s">
        <v>0</v>
      </c>
      <c r="E1" s="821"/>
      <c r="F1" s="821"/>
      <c r="G1" s="12" t="s">
        <v>1</v>
      </c>
      <c r="H1" s="88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3" customFormat="1" ht="23.45" customHeight="1" x14ac:dyDescent="0.2">
      <c r="A5" s="948" t="s">
        <v>8</v>
      </c>
      <c r="B5" s="834"/>
      <c r="C5" s="835"/>
      <c r="D5" s="889"/>
      <c r="E5" s="890"/>
      <c r="F5" s="1182" t="s">
        <v>9</v>
      </c>
      <c r="G5" s="835"/>
      <c r="H5" s="889"/>
      <c r="I5" s="1104"/>
      <c r="J5" s="1104"/>
      <c r="K5" s="1104"/>
      <c r="L5" s="1104"/>
      <c r="M5" s="890"/>
      <c r="N5" s="58"/>
      <c r="P5" s="24" t="s">
        <v>10</v>
      </c>
      <c r="Q5" s="1200">
        <v>45662</v>
      </c>
      <c r="R5" s="945"/>
      <c r="T5" s="1001" t="s">
        <v>11</v>
      </c>
      <c r="U5" s="873"/>
      <c r="V5" s="1004" t="s">
        <v>12</v>
      </c>
      <c r="W5" s="945"/>
      <c r="AB5" s="51"/>
      <c r="AC5" s="51"/>
      <c r="AD5" s="51"/>
      <c r="AE5" s="51"/>
    </row>
    <row r="6" spans="1:32" s="783" customFormat="1" ht="24" customHeight="1" x14ac:dyDescent="0.2">
      <c r="A6" s="948" t="s">
        <v>13</v>
      </c>
      <c r="B6" s="834"/>
      <c r="C6" s="835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5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4"/>
      <c r="T6" s="1015" t="s">
        <v>16</v>
      </c>
      <c r="U6" s="873"/>
      <c r="V6" s="1090" t="s">
        <v>17</v>
      </c>
      <c r="W6" s="885"/>
      <c r="AB6" s="51"/>
      <c r="AC6" s="51"/>
      <c r="AD6" s="51"/>
      <c r="AE6" s="51"/>
    </row>
    <row r="7" spans="1:32" s="783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9"/>
      <c r="U7" s="873"/>
      <c r="V7" s="1091"/>
      <c r="W7" s="1092"/>
      <c r="AB7" s="51"/>
      <c r="AC7" s="51"/>
      <c r="AD7" s="51"/>
      <c r="AE7" s="51"/>
    </row>
    <row r="8" spans="1:32" s="783" customFormat="1" ht="25.5" customHeight="1" x14ac:dyDescent="0.2">
      <c r="A8" s="1232" t="s">
        <v>18</v>
      </c>
      <c r="B8" s="796"/>
      <c r="C8" s="797"/>
      <c r="D8" s="867" t="s">
        <v>19</v>
      </c>
      <c r="E8" s="868"/>
      <c r="F8" s="868"/>
      <c r="G8" s="868"/>
      <c r="H8" s="868"/>
      <c r="I8" s="868"/>
      <c r="J8" s="868"/>
      <c r="K8" s="868"/>
      <c r="L8" s="868"/>
      <c r="M8" s="869"/>
      <c r="N8" s="61"/>
      <c r="P8" s="24" t="s">
        <v>20</v>
      </c>
      <c r="Q8" s="1010">
        <v>0.375</v>
      </c>
      <c r="R8" s="855"/>
      <c r="T8" s="809"/>
      <c r="U8" s="873"/>
      <c r="V8" s="1091"/>
      <c r="W8" s="1092"/>
      <c r="AB8" s="51"/>
      <c r="AC8" s="51"/>
      <c r="AD8" s="51"/>
      <c r="AE8" s="51"/>
    </row>
    <row r="9" spans="1:32" s="783" customFormat="1" ht="39.950000000000003" customHeight="1" x14ac:dyDescent="0.2">
      <c r="A9" s="9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972"/>
      <c r="E9" s="807"/>
      <c r="F9" s="9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81"/>
      <c r="P9" s="26" t="s">
        <v>21</v>
      </c>
      <c r="Q9" s="941"/>
      <c r="R9" s="942"/>
      <c r="T9" s="809"/>
      <c r="U9" s="873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83" customFormat="1" ht="26.45" customHeight="1" x14ac:dyDescent="0.2">
      <c r="A10" s="9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972"/>
      <c r="E10" s="807"/>
      <c r="F10" s="9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1" t="str">
        <f>IFERROR(VLOOKUP($D$10,Proxy,2,FALSE),"")</f>
        <v/>
      </c>
      <c r="I10" s="809"/>
      <c r="J10" s="809"/>
      <c r="K10" s="809"/>
      <c r="L10" s="809"/>
      <c r="M10" s="809"/>
      <c r="N10" s="782"/>
      <c r="P10" s="26" t="s">
        <v>22</v>
      </c>
      <c r="Q10" s="1013"/>
      <c r="R10" s="1014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4"/>
      <c r="R11" s="945"/>
      <c r="U11" s="24" t="s">
        <v>27</v>
      </c>
      <c r="V11" s="1183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83" customFormat="1" ht="18.600000000000001" customHeight="1" x14ac:dyDescent="0.2">
      <c r="A12" s="994" t="s">
        <v>29</v>
      </c>
      <c r="B12" s="834"/>
      <c r="C12" s="834"/>
      <c r="D12" s="834"/>
      <c r="E12" s="834"/>
      <c r="F12" s="834"/>
      <c r="G12" s="834"/>
      <c r="H12" s="834"/>
      <c r="I12" s="834"/>
      <c r="J12" s="834"/>
      <c r="K12" s="834"/>
      <c r="L12" s="834"/>
      <c r="M12" s="835"/>
      <c r="N12" s="62"/>
      <c r="P12" s="24" t="s">
        <v>30</v>
      </c>
      <c r="Q12" s="955"/>
      <c r="R12" s="855"/>
      <c r="S12" s="23"/>
      <c r="U12" s="24"/>
      <c r="V12" s="821"/>
      <c r="W12" s="809"/>
      <c r="AB12" s="51"/>
      <c r="AC12" s="51"/>
      <c r="AD12" s="51"/>
      <c r="AE12" s="51"/>
    </row>
    <row r="13" spans="1:32" s="783" customFormat="1" ht="23.25" customHeight="1" x14ac:dyDescent="0.2">
      <c r="A13" s="994" t="s">
        <v>31</v>
      </c>
      <c r="B13" s="834"/>
      <c r="C13" s="834"/>
      <c r="D13" s="834"/>
      <c r="E13" s="834"/>
      <c r="F13" s="834"/>
      <c r="G13" s="834"/>
      <c r="H13" s="834"/>
      <c r="I13" s="834"/>
      <c r="J13" s="834"/>
      <c r="K13" s="834"/>
      <c r="L13" s="834"/>
      <c r="M13" s="835"/>
      <c r="N13" s="62"/>
      <c r="O13" s="26"/>
      <c r="P13" s="26" t="s">
        <v>32</v>
      </c>
      <c r="Q13" s="1183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3" customFormat="1" ht="18.600000000000001" customHeight="1" x14ac:dyDescent="0.2">
      <c r="A14" s="994" t="s">
        <v>33</v>
      </c>
      <c r="B14" s="834"/>
      <c r="C14" s="834"/>
      <c r="D14" s="834"/>
      <c r="E14" s="834"/>
      <c r="F14" s="834"/>
      <c r="G14" s="834"/>
      <c r="H14" s="834"/>
      <c r="I14" s="834"/>
      <c r="J14" s="834"/>
      <c r="K14" s="834"/>
      <c r="L14" s="834"/>
      <c r="M14" s="8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3" customFormat="1" ht="22.5" customHeight="1" x14ac:dyDescent="0.2">
      <c r="A15" s="1038" t="s">
        <v>34</v>
      </c>
      <c r="B15" s="834"/>
      <c r="C15" s="834"/>
      <c r="D15" s="834"/>
      <c r="E15" s="834"/>
      <c r="F15" s="834"/>
      <c r="G15" s="834"/>
      <c r="H15" s="834"/>
      <c r="I15" s="834"/>
      <c r="J15" s="834"/>
      <c r="K15" s="834"/>
      <c r="L15" s="834"/>
      <c r="M15" s="835"/>
      <c r="N15" s="63"/>
      <c r="P15" s="983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66" t="s">
        <v>38</v>
      </c>
      <c r="D17" s="837" t="s">
        <v>39</v>
      </c>
      <c r="E17" s="916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15"/>
      <c r="R17" s="915"/>
      <c r="S17" s="915"/>
      <c r="T17" s="916"/>
      <c r="U17" s="1231" t="s">
        <v>51</v>
      </c>
      <c r="V17" s="835"/>
      <c r="W17" s="837" t="s">
        <v>52</v>
      </c>
      <c r="X17" s="837" t="s">
        <v>53</v>
      </c>
      <c r="Y17" s="1229" t="s">
        <v>54</v>
      </c>
      <c r="Z17" s="1101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77"/>
      <c r="AF17" s="1178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17"/>
      <c r="E18" s="919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38"/>
      <c r="X18" s="838"/>
      <c r="Y18" s="1230"/>
      <c r="Z18" s="1102"/>
      <c r="AA18" s="1080"/>
      <c r="AB18" s="1080"/>
      <c r="AC18" s="1080"/>
      <c r="AD18" s="1179"/>
      <c r="AE18" s="1180"/>
      <c r="AF18" s="1181"/>
      <c r="AG18" s="66"/>
      <c r="BD18" s="65"/>
    </row>
    <row r="19" spans="1:68" ht="27.75" customHeight="1" x14ac:dyDescent="0.2">
      <c r="A19" s="911" t="s">
        <v>63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customHeight="1" x14ac:dyDescent="0.25">
      <c r="A20" s="839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84"/>
      <c r="AB20" s="784"/>
      <c r="AC20" s="784"/>
    </row>
    <row r="21" spans="1:68" ht="14.25" customHeight="1" x14ac:dyDescent="0.25">
      <c r="A21" s="811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85"/>
      <c r="AB21" s="785"/>
      <c r="AC21" s="78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8">
        <v>0.16</v>
      </c>
      <c r="G22" s="32">
        <v>10</v>
      </c>
      <c r="H22" s="788">
        <v>1.6</v>
      </c>
      <c r="I22" s="78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9"/>
      <c r="R22" s="799"/>
      <c r="S22" s="799"/>
      <c r="T22" s="800"/>
      <c r="U22" s="34"/>
      <c r="V22" s="34"/>
      <c r="W22" s="35" t="s">
        <v>69</v>
      </c>
      <c r="X22" s="789">
        <v>0</v>
      </c>
      <c r="Y22" s="79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91">
        <f>IFERROR(X22/H22,"0")</f>
        <v>0</v>
      </c>
      <c r="Y23" s="791">
        <f>IFERROR(Y22/H22,"0")</f>
        <v>0</v>
      </c>
      <c r="Z23" s="791">
        <f>IFERROR(IF(Z22="",0,Z22),"0")</f>
        <v>0</v>
      </c>
      <c r="AA23" s="792"/>
      <c r="AB23" s="792"/>
      <c r="AC23" s="792"/>
    </row>
    <row r="24" spans="1:68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91">
        <f>IFERROR(SUM(X22:X22),"0")</f>
        <v>0</v>
      </c>
      <c r="Y24" s="791">
        <f>IFERROR(SUM(Y22:Y22),"0")</f>
        <v>0</v>
      </c>
      <c r="Z24" s="37"/>
      <c r="AA24" s="792"/>
      <c r="AB24" s="792"/>
      <c r="AC24" s="792"/>
    </row>
    <row r="25" spans="1:68" ht="14.25" customHeight="1" x14ac:dyDescent="0.25">
      <c r="A25" s="811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85"/>
      <c r="AB25" s="785"/>
      <c r="AC25" s="78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3">
        <v>4607091383881</v>
      </c>
      <c r="E26" s="794"/>
      <c r="F26" s="788">
        <v>0.33</v>
      </c>
      <c r="G26" s="32">
        <v>6</v>
      </c>
      <c r="H26" s="788">
        <v>1.98</v>
      </c>
      <c r="I26" s="78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9"/>
      <c r="R26" s="799"/>
      <c r="S26" s="799"/>
      <c r="T26" s="800"/>
      <c r="U26" s="34"/>
      <c r="V26" s="34"/>
      <c r="W26" s="35" t="s">
        <v>69</v>
      </c>
      <c r="X26" s="789">
        <v>0</v>
      </c>
      <c r="Y26" s="79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3">
        <v>4680115885912</v>
      </c>
      <c r="E27" s="794"/>
      <c r="F27" s="788">
        <v>0.3</v>
      </c>
      <c r="G27" s="32">
        <v>6</v>
      </c>
      <c r="H27" s="788">
        <v>1.8</v>
      </c>
      <c r="I27" s="78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9"/>
      <c r="R27" s="799"/>
      <c r="S27" s="799"/>
      <c r="T27" s="800"/>
      <c r="U27" s="34"/>
      <c r="V27" s="34"/>
      <c r="W27" s="35" t="s">
        <v>69</v>
      </c>
      <c r="X27" s="789">
        <v>0</v>
      </c>
      <c r="Y27" s="79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3">
        <v>4607091388237</v>
      </c>
      <c r="E28" s="794"/>
      <c r="F28" s="788">
        <v>0.42</v>
      </c>
      <c r="G28" s="32">
        <v>6</v>
      </c>
      <c r="H28" s="788">
        <v>2.52</v>
      </c>
      <c r="I28" s="78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9"/>
      <c r="R28" s="799"/>
      <c r="S28" s="799"/>
      <c r="T28" s="800"/>
      <c r="U28" s="34"/>
      <c r="V28" s="34"/>
      <c r="W28" s="35" t="s">
        <v>69</v>
      </c>
      <c r="X28" s="789">
        <v>0</v>
      </c>
      <c r="Y28" s="79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3">
        <v>4680115886230</v>
      </c>
      <c r="E29" s="794"/>
      <c r="F29" s="788">
        <v>0.3</v>
      </c>
      <c r="G29" s="32">
        <v>6</v>
      </c>
      <c r="H29" s="788">
        <v>1.8</v>
      </c>
      <c r="I29" s="78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1" t="s">
        <v>86</v>
      </c>
      <c r="Q29" s="799"/>
      <c r="R29" s="799"/>
      <c r="S29" s="799"/>
      <c r="T29" s="800"/>
      <c r="U29" s="34"/>
      <c r="V29" s="34"/>
      <c r="W29" s="35" t="s">
        <v>69</v>
      </c>
      <c r="X29" s="789">
        <v>0</v>
      </c>
      <c r="Y29" s="79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3">
        <v>4680115886278</v>
      </c>
      <c r="E30" s="794"/>
      <c r="F30" s="788">
        <v>0.3</v>
      </c>
      <c r="G30" s="32">
        <v>6</v>
      </c>
      <c r="H30" s="788">
        <v>1.8</v>
      </c>
      <c r="I30" s="78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9"/>
      <c r="R30" s="799"/>
      <c r="S30" s="799"/>
      <c r="T30" s="800"/>
      <c r="U30" s="34"/>
      <c r="V30" s="34"/>
      <c r="W30" s="35" t="s">
        <v>69</v>
      </c>
      <c r="X30" s="789">
        <v>0</v>
      </c>
      <c r="Y30" s="79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3">
        <v>4680115886247</v>
      </c>
      <c r="E31" s="794"/>
      <c r="F31" s="788">
        <v>0.3</v>
      </c>
      <c r="G31" s="32">
        <v>6</v>
      </c>
      <c r="H31" s="788">
        <v>1.8</v>
      </c>
      <c r="I31" s="78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5" t="s">
        <v>94</v>
      </c>
      <c r="Q31" s="799"/>
      <c r="R31" s="799"/>
      <c r="S31" s="799"/>
      <c r="T31" s="800"/>
      <c r="U31" s="34"/>
      <c r="V31" s="34"/>
      <c r="W31" s="35" t="s">
        <v>69</v>
      </c>
      <c r="X31" s="789">
        <v>0</v>
      </c>
      <c r="Y31" s="79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3">
        <v>4680115885905</v>
      </c>
      <c r="E32" s="794"/>
      <c r="F32" s="788">
        <v>0.3</v>
      </c>
      <c r="G32" s="32">
        <v>6</v>
      </c>
      <c r="H32" s="788">
        <v>1.8</v>
      </c>
      <c r="I32" s="78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9"/>
      <c r="R32" s="799"/>
      <c r="S32" s="799"/>
      <c r="T32" s="800"/>
      <c r="U32" s="34"/>
      <c r="V32" s="34"/>
      <c r="W32" s="35" t="s">
        <v>69</v>
      </c>
      <c r="X32" s="789">
        <v>0</v>
      </c>
      <c r="Y32" s="79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3">
        <v>4607091388244</v>
      </c>
      <c r="E33" s="794"/>
      <c r="F33" s="788">
        <v>0.42</v>
      </c>
      <c r="G33" s="32">
        <v>6</v>
      </c>
      <c r="H33" s="788">
        <v>2.52</v>
      </c>
      <c r="I33" s="78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9"/>
      <c r="R33" s="799"/>
      <c r="S33" s="799"/>
      <c r="T33" s="800"/>
      <c r="U33" s="34"/>
      <c r="V33" s="34"/>
      <c r="W33" s="35" t="s">
        <v>69</v>
      </c>
      <c r="X33" s="789">
        <v>0</v>
      </c>
      <c r="Y33" s="79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795" t="s">
        <v>71</v>
      </c>
      <c r="Q34" s="796"/>
      <c r="R34" s="796"/>
      <c r="S34" s="796"/>
      <c r="T34" s="796"/>
      <c r="U34" s="796"/>
      <c r="V34" s="797"/>
      <c r="W34" s="37" t="s">
        <v>72</v>
      </c>
      <c r="X34" s="791">
        <f>IFERROR(X26/H26,"0")+IFERROR(X27/H27,"0")+IFERROR(X28/H28,"0")+IFERROR(X29/H29,"0")+IFERROR(X30/H30,"0")+IFERROR(X31/H31,"0")+IFERROR(X32/H32,"0")+IFERROR(X33/H33,"0")</f>
        <v>0</v>
      </c>
      <c r="Y34" s="791">
        <f>IFERROR(Y26/H26,"0")+IFERROR(Y27/H27,"0")+IFERROR(Y28/H28,"0")+IFERROR(Y29/H29,"0")+IFERROR(Y30/H30,"0")+IFERROR(Y31/H31,"0")+IFERROR(Y32/H32,"0")+IFERROR(Y33/H33,"0")</f>
        <v>0</v>
      </c>
      <c r="Z34" s="79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2"/>
      <c r="AB34" s="792"/>
      <c r="AC34" s="792"/>
    </row>
    <row r="35" spans="1:68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795" t="s">
        <v>71</v>
      </c>
      <c r="Q35" s="796"/>
      <c r="R35" s="796"/>
      <c r="S35" s="796"/>
      <c r="T35" s="796"/>
      <c r="U35" s="796"/>
      <c r="V35" s="797"/>
      <c r="W35" s="37" t="s">
        <v>69</v>
      </c>
      <c r="X35" s="791">
        <f>IFERROR(SUM(X26:X33),"0")</f>
        <v>0</v>
      </c>
      <c r="Y35" s="791">
        <f>IFERROR(SUM(Y26:Y33),"0")</f>
        <v>0</v>
      </c>
      <c r="Z35" s="37"/>
      <c r="AA35" s="792"/>
      <c r="AB35" s="792"/>
      <c r="AC35" s="792"/>
    </row>
    <row r="36" spans="1:68" ht="14.25" customHeight="1" x14ac:dyDescent="0.25">
      <c r="A36" s="811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85"/>
      <c r="AB36" s="785"/>
      <c r="AC36" s="78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3">
        <v>4607091388503</v>
      </c>
      <c r="E37" s="794"/>
      <c r="F37" s="788">
        <v>0.05</v>
      </c>
      <c r="G37" s="32">
        <v>12</v>
      </c>
      <c r="H37" s="788">
        <v>0.6</v>
      </c>
      <c r="I37" s="78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9"/>
      <c r="R37" s="799"/>
      <c r="S37" s="799"/>
      <c r="T37" s="800"/>
      <c r="U37" s="34"/>
      <c r="V37" s="34"/>
      <c r="W37" s="35" t="s">
        <v>69</v>
      </c>
      <c r="X37" s="789">
        <v>0</v>
      </c>
      <c r="Y37" s="79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795" t="s">
        <v>71</v>
      </c>
      <c r="Q38" s="796"/>
      <c r="R38" s="796"/>
      <c r="S38" s="796"/>
      <c r="T38" s="796"/>
      <c r="U38" s="796"/>
      <c r="V38" s="797"/>
      <c r="W38" s="37" t="s">
        <v>72</v>
      </c>
      <c r="X38" s="791">
        <f>IFERROR(X37/H37,"0")</f>
        <v>0</v>
      </c>
      <c r="Y38" s="791">
        <f>IFERROR(Y37/H37,"0")</f>
        <v>0</v>
      </c>
      <c r="Z38" s="791">
        <f>IFERROR(IF(Z37="",0,Z37),"0")</f>
        <v>0</v>
      </c>
      <c r="AA38" s="792"/>
      <c r="AB38" s="792"/>
      <c r="AC38" s="792"/>
    </row>
    <row r="39" spans="1:68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795" t="s">
        <v>71</v>
      </c>
      <c r="Q39" s="796"/>
      <c r="R39" s="796"/>
      <c r="S39" s="796"/>
      <c r="T39" s="796"/>
      <c r="U39" s="796"/>
      <c r="V39" s="797"/>
      <c r="W39" s="37" t="s">
        <v>69</v>
      </c>
      <c r="X39" s="791">
        <f>IFERROR(SUM(X37:X37),"0")</f>
        <v>0</v>
      </c>
      <c r="Y39" s="791">
        <f>IFERROR(SUM(Y37:Y37),"0")</f>
        <v>0</v>
      </c>
      <c r="Z39" s="37"/>
      <c r="AA39" s="792"/>
      <c r="AB39" s="792"/>
      <c r="AC39" s="792"/>
    </row>
    <row r="40" spans="1:68" ht="14.25" customHeight="1" x14ac:dyDescent="0.25">
      <c r="A40" s="811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85"/>
      <c r="AB40" s="785"/>
      <c r="AC40" s="78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3">
        <v>4607091389111</v>
      </c>
      <c r="E41" s="794"/>
      <c r="F41" s="788">
        <v>2.5000000000000001E-2</v>
      </c>
      <c r="G41" s="32">
        <v>10</v>
      </c>
      <c r="H41" s="788">
        <v>0.25</v>
      </c>
      <c r="I41" s="78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9"/>
      <c r="R41" s="799"/>
      <c r="S41" s="799"/>
      <c r="T41" s="800"/>
      <c r="U41" s="34"/>
      <c r="V41" s="34"/>
      <c r="W41" s="35" t="s">
        <v>69</v>
      </c>
      <c r="X41" s="789">
        <v>0</v>
      </c>
      <c r="Y41" s="79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795" t="s">
        <v>71</v>
      </c>
      <c r="Q42" s="796"/>
      <c r="R42" s="796"/>
      <c r="S42" s="796"/>
      <c r="T42" s="796"/>
      <c r="U42" s="796"/>
      <c r="V42" s="797"/>
      <c r="W42" s="37" t="s">
        <v>72</v>
      </c>
      <c r="X42" s="791">
        <f>IFERROR(X41/H41,"0")</f>
        <v>0</v>
      </c>
      <c r="Y42" s="791">
        <f>IFERROR(Y41/H41,"0")</f>
        <v>0</v>
      </c>
      <c r="Z42" s="791">
        <f>IFERROR(IF(Z41="",0,Z41),"0")</f>
        <v>0</v>
      </c>
      <c r="AA42" s="792"/>
      <c r="AB42" s="792"/>
      <c r="AC42" s="792"/>
    </row>
    <row r="43" spans="1:68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795" t="s">
        <v>71</v>
      </c>
      <c r="Q43" s="796"/>
      <c r="R43" s="796"/>
      <c r="S43" s="796"/>
      <c r="T43" s="796"/>
      <c r="U43" s="796"/>
      <c r="V43" s="797"/>
      <c r="W43" s="37" t="s">
        <v>69</v>
      </c>
      <c r="X43" s="791">
        <f>IFERROR(SUM(X41:X41),"0")</f>
        <v>0</v>
      </c>
      <c r="Y43" s="791">
        <f>IFERROR(SUM(Y41:Y41),"0")</f>
        <v>0</v>
      </c>
      <c r="Z43" s="37"/>
      <c r="AA43" s="792"/>
      <c r="AB43" s="792"/>
      <c r="AC43" s="792"/>
    </row>
    <row r="44" spans="1:68" ht="27.75" customHeight="1" x14ac:dyDescent="0.2">
      <c r="A44" s="911" t="s">
        <v>111</v>
      </c>
      <c r="B44" s="912"/>
      <c r="C44" s="912"/>
      <c r="D44" s="912"/>
      <c r="E44" s="912"/>
      <c r="F44" s="912"/>
      <c r="G44" s="912"/>
      <c r="H44" s="912"/>
      <c r="I44" s="912"/>
      <c r="J44" s="912"/>
      <c r="K44" s="912"/>
      <c r="L44" s="912"/>
      <c r="M44" s="912"/>
      <c r="N44" s="912"/>
      <c r="O44" s="912"/>
      <c r="P44" s="912"/>
      <c r="Q44" s="912"/>
      <c r="R44" s="912"/>
      <c r="S44" s="912"/>
      <c r="T44" s="912"/>
      <c r="U44" s="912"/>
      <c r="V44" s="912"/>
      <c r="W44" s="912"/>
      <c r="X44" s="912"/>
      <c r="Y44" s="912"/>
      <c r="Z44" s="912"/>
      <c r="AA44" s="48"/>
      <c r="AB44" s="48"/>
      <c r="AC44" s="48"/>
    </row>
    <row r="45" spans="1:68" ht="16.5" customHeight="1" x14ac:dyDescent="0.25">
      <c r="A45" s="839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84"/>
      <c r="AB45" s="784"/>
      <c r="AC45" s="784"/>
    </row>
    <row r="46" spans="1:68" ht="14.25" customHeight="1" x14ac:dyDescent="0.25">
      <c r="A46" s="811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85"/>
      <c r="AB46" s="785"/>
      <c r="AC46" s="785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3">
        <v>4607091385670</v>
      </c>
      <c r="E47" s="794"/>
      <c r="F47" s="788">
        <v>1.35</v>
      </c>
      <c r="G47" s="32">
        <v>8</v>
      </c>
      <c r="H47" s="788">
        <v>10.8</v>
      </c>
      <c r="I47" s="788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9"/>
      <c r="R47" s="799"/>
      <c r="S47" s="799"/>
      <c r="T47" s="800"/>
      <c r="U47" s="34"/>
      <c r="V47" s="34"/>
      <c r="W47" s="35" t="s">
        <v>69</v>
      </c>
      <c r="X47" s="789">
        <v>0</v>
      </c>
      <c r="Y47" s="790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3">
        <v>4607091385670</v>
      </c>
      <c r="E48" s="794"/>
      <c r="F48" s="788">
        <v>1.4</v>
      </c>
      <c r="G48" s="32">
        <v>8</v>
      </c>
      <c r="H48" s="788">
        <v>11.2</v>
      </c>
      <c r="I48" s="788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9"/>
      <c r="R48" s="799"/>
      <c r="S48" s="799"/>
      <c r="T48" s="800"/>
      <c r="U48" s="34"/>
      <c r="V48" s="34"/>
      <c r="W48" s="35" t="s">
        <v>69</v>
      </c>
      <c r="X48" s="789">
        <v>0</v>
      </c>
      <c r="Y48" s="790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3">
        <v>4680115883956</v>
      </c>
      <c r="E49" s="794"/>
      <c r="F49" s="788">
        <v>1.4</v>
      </c>
      <c r="G49" s="32">
        <v>8</v>
      </c>
      <c r="H49" s="788">
        <v>11.2</v>
      </c>
      <c r="I49" s="788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9"/>
      <c r="R49" s="799"/>
      <c r="S49" s="799"/>
      <c r="T49" s="800"/>
      <c r="U49" s="34"/>
      <c r="V49" s="34"/>
      <c r="W49" s="35" t="s">
        <v>69</v>
      </c>
      <c r="X49" s="789">
        <v>0</v>
      </c>
      <c r="Y49" s="79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3">
        <v>4607091385687</v>
      </c>
      <c r="E50" s="794"/>
      <c r="F50" s="788">
        <v>0.4</v>
      </c>
      <c r="G50" s="32">
        <v>10</v>
      </c>
      <c r="H50" s="788">
        <v>4</v>
      </c>
      <c r="I50" s="788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9"/>
      <c r="R50" s="799"/>
      <c r="S50" s="799"/>
      <c r="T50" s="800"/>
      <c r="U50" s="34"/>
      <c r="V50" s="34"/>
      <c r="W50" s="35" t="s">
        <v>69</v>
      </c>
      <c r="X50" s="789">
        <v>200</v>
      </c>
      <c r="Y50" s="790">
        <f t="shared" si="6"/>
        <v>200</v>
      </c>
      <c r="Z50" s="36">
        <f>IFERROR(IF(Y50=0,"",ROUNDUP(Y50/H50,0)*0.00902),"")</f>
        <v>0.45100000000000001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210.5</v>
      </c>
      <c r="BN50" s="64">
        <f t="shared" si="8"/>
        <v>210.5</v>
      </c>
      <c r="BO50" s="64">
        <f t="shared" si="9"/>
        <v>0.37878787878787878</v>
      </c>
      <c r="BP50" s="64">
        <f t="shared" si="10"/>
        <v>0.37878787878787878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3">
        <v>4680115882539</v>
      </c>
      <c r="E51" s="794"/>
      <c r="F51" s="788">
        <v>0.37</v>
      </c>
      <c r="G51" s="32">
        <v>10</v>
      </c>
      <c r="H51" s="788">
        <v>3.7</v>
      </c>
      <c r="I51" s="788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9"/>
      <c r="R51" s="799"/>
      <c r="S51" s="799"/>
      <c r="T51" s="800"/>
      <c r="U51" s="34"/>
      <c r="V51" s="34"/>
      <c r="W51" s="35" t="s">
        <v>69</v>
      </c>
      <c r="X51" s="789">
        <v>0</v>
      </c>
      <c r="Y51" s="79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3">
        <v>4680115883949</v>
      </c>
      <c r="E52" s="794"/>
      <c r="F52" s="788">
        <v>0.37</v>
      </c>
      <c r="G52" s="32">
        <v>10</v>
      </c>
      <c r="H52" s="788">
        <v>3.7</v>
      </c>
      <c r="I52" s="788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9"/>
      <c r="R52" s="799"/>
      <c r="S52" s="799"/>
      <c r="T52" s="800"/>
      <c r="U52" s="34"/>
      <c r="V52" s="34"/>
      <c r="W52" s="35" t="s">
        <v>69</v>
      </c>
      <c r="X52" s="789">
        <v>0</v>
      </c>
      <c r="Y52" s="79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795" t="s">
        <v>71</v>
      </c>
      <c r="Q53" s="796"/>
      <c r="R53" s="796"/>
      <c r="S53" s="796"/>
      <c r="T53" s="796"/>
      <c r="U53" s="796"/>
      <c r="V53" s="797"/>
      <c r="W53" s="37" t="s">
        <v>72</v>
      </c>
      <c r="X53" s="791">
        <f>IFERROR(X47/H47,"0")+IFERROR(X48/H48,"0")+IFERROR(X49/H49,"0")+IFERROR(X50/H50,"0")+IFERROR(X51/H51,"0")+IFERROR(X52/H52,"0")</f>
        <v>50</v>
      </c>
      <c r="Y53" s="791">
        <f>IFERROR(Y47/H47,"0")+IFERROR(Y48/H48,"0")+IFERROR(Y49/H49,"0")+IFERROR(Y50/H50,"0")+IFERROR(Y51/H51,"0")+IFERROR(Y52/H52,"0")</f>
        <v>50</v>
      </c>
      <c r="Z53" s="791">
        <f>IFERROR(IF(Z47="",0,Z47),"0")+IFERROR(IF(Z48="",0,Z48),"0")+IFERROR(IF(Z49="",0,Z49),"0")+IFERROR(IF(Z50="",0,Z50),"0")+IFERROR(IF(Z51="",0,Z51),"0")+IFERROR(IF(Z52="",0,Z52),"0")</f>
        <v>0.45100000000000001</v>
      </c>
      <c r="AA53" s="792"/>
      <c r="AB53" s="792"/>
      <c r="AC53" s="792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795" t="s">
        <v>71</v>
      </c>
      <c r="Q54" s="796"/>
      <c r="R54" s="796"/>
      <c r="S54" s="796"/>
      <c r="T54" s="796"/>
      <c r="U54" s="796"/>
      <c r="V54" s="797"/>
      <c r="W54" s="37" t="s">
        <v>69</v>
      </c>
      <c r="X54" s="791">
        <f>IFERROR(SUM(X47:X52),"0")</f>
        <v>200</v>
      </c>
      <c r="Y54" s="791">
        <f>IFERROR(SUM(Y47:Y52),"0")</f>
        <v>200</v>
      </c>
      <c r="Z54" s="37"/>
      <c r="AA54" s="792"/>
      <c r="AB54" s="792"/>
      <c r="AC54" s="792"/>
    </row>
    <row r="55" spans="1:68" ht="14.25" customHeight="1" x14ac:dyDescent="0.25">
      <c r="A55" s="811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85"/>
      <c r="AB55" s="785"/>
      <c r="AC55" s="78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3">
        <v>4680115885233</v>
      </c>
      <c r="E56" s="794"/>
      <c r="F56" s="788">
        <v>0.2</v>
      </c>
      <c r="G56" s="32">
        <v>6</v>
      </c>
      <c r="H56" s="788">
        <v>1.2</v>
      </c>
      <c r="I56" s="78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9"/>
      <c r="R56" s="799"/>
      <c r="S56" s="799"/>
      <c r="T56" s="800"/>
      <c r="U56" s="34"/>
      <c r="V56" s="34"/>
      <c r="W56" s="35" t="s">
        <v>69</v>
      </c>
      <c r="X56" s="789">
        <v>0</v>
      </c>
      <c r="Y56" s="79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3">
        <v>4680115884915</v>
      </c>
      <c r="E57" s="794"/>
      <c r="F57" s="788">
        <v>0.3</v>
      </c>
      <c r="G57" s="32">
        <v>6</v>
      </c>
      <c r="H57" s="788">
        <v>1.8</v>
      </c>
      <c r="I57" s="78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9"/>
      <c r="R57" s="799"/>
      <c r="S57" s="799"/>
      <c r="T57" s="800"/>
      <c r="U57" s="34"/>
      <c r="V57" s="34"/>
      <c r="W57" s="35" t="s">
        <v>69</v>
      </c>
      <c r="X57" s="789">
        <v>0</v>
      </c>
      <c r="Y57" s="79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795" t="s">
        <v>71</v>
      </c>
      <c r="Q58" s="796"/>
      <c r="R58" s="796"/>
      <c r="S58" s="796"/>
      <c r="T58" s="796"/>
      <c r="U58" s="796"/>
      <c r="V58" s="797"/>
      <c r="W58" s="37" t="s">
        <v>72</v>
      </c>
      <c r="X58" s="791">
        <f>IFERROR(X56/H56,"0")+IFERROR(X57/H57,"0")</f>
        <v>0</v>
      </c>
      <c r="Y58" s="791">
        <f>IFERROR(Y56/H56,"0")+IFERROR(Y57/H57,"0")</f>
        <v>0</v>
      </c>
      <c r="Z58" s="791">
        <f>IFERROR(IF(Z56="",0,Z56),"0")+IFERROR(IF(Z57="",0,Z57),"0")</f>
        <v>0</v>
      </c>
      <c r="AA58" s="792"/>
      <c r="AB58" s="792"/>
      <c r="AC58" s="792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795" t="s">
        <v>71</v>
      </c>
      <c r="Q59" s="796"/>
      <c r="R59" s="796"/>
      <c r="S59" s="796"/>
      <c r="T59" s="796"/>
      <c r="U59" s="796"/>
      <c r="V59" s="797"/>
      <c r="W59" s="37" t="s">
        <v>69</v>
      </c>
      <c r="X59" s="791">
        <f>IFERROR(SUM(X56:X57),"0")</f>
        <v>0</v>
      </c>
      <c r="Y59" s="791">
        <f>IFERROR(SUM(Y56:Y57),"0")</f>
        <v>0</v>
      </c>
      <c r="Z59" s="37"/>
      <c r="AA59" s="792"/>
      <c r="AB59" s="792"/>
      <c r="AC59" s="792"/>
    </row>
    <row r="60" spans="1:68" ht="16.5" customHeight="1" x14ac:dyDescent="0.25">
      <c r="A60" s="839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84"/>
      <c r="AB60" s="784"/>
      <c r="AC60" s="784"/>
    </row>
    <row r="61" spans="1:68" ht="14.25" customHeight="1" x14ac:dyDescent="0.25">
      <c r="A61" s="811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85"/>
      <c r="AB61" s="785"/>
      <c r="AC61" s="78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3">
        <v>4680115885882</v>
      </c>
      <c r="E62" s="794"/>
      <c r="F62" s="788">
        <v>1.4</v>
      </c>
      <c r="G62" s="32">
        <v>8</v>
      </c>
      <c r="H62" s="788">
        <v>11.2</v>
      </c>
      <c r="I62" s="788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9"/>
      <c r="R62" s="799"/>
      <c r="S62" s="799"/>
      <c r="T62" s="800"/>
      <c r="U62" s="34"/>
      <c r="V62" s="34"/>
      <c r="W62" s="35" t="s">
        <v>69</v>
      </c>
      <c r="X62" s="789">
        <v>0</v>
      </c>
      <c r="Y62" s="790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3">
        <v>4680115881426</v>
      </c>
      <c r="E63" s="794"/>
      <c r="F63" s="788">
        <v>1.35</v>
      </c>
      <c r="G63" s="32">
        <v>8</v>
      </c>
      <c r="H63" s="788">
        <v>10.8</v>
      </c>
      <c r="I63" s="788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9"/>
      <c r="R63" s="799"/>
      <c r="S63" s="799"/>
      <c r="T63" s="800"/>
      <c r="U63" s="34"/>
      <c r="V63" s="34"/>
      <c r="W63" s="35" t="s">
        <v>69</v>
      </c>
      <c r="X63" s="789">
        <v>400</v>
      </c>
      <c r="Y63" s="790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793">
        <v>4680115881426</v>
      </c>
      <c r="E64" s="794"/>
      <c r="F64" s="788">
        <v>1.35</v>
      </c>
      <c r="G64" s="32">
        <v>8</v>
      </c>
      <c r="H64" s="788">
        <v>10.8</v>
      </c>
      <c r="I64" s="78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9"/>
      <c r="R64" s="799"/>
      <c r="S64" s="799"/>
      <c r="T64" s="800"/>
      <c r="U64" s="34"/>
      <c r="V64" s="34"/>
      <c r="W64" s="35" t="s">
        <v>69</v>
      </c>
      <c r="X64" s="789">
        <v>0</v>
      </c>
      <c r="Y64" s="79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793">
        <v>4680115880283</v>
      </c>
      <c r="E65" s="794"/>
      <c r="F65" s="788">
        <v>0.6</v>
      </c>
      <c r="G65" s="32">
        <v>8</v>
      </c>
      <c r="H65" s="788">
        <v>4.8</v>
      </c>
      <c r="I65" s="788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9"/>
      <c r="R65" s="799"/>
      <c r="S65" s="799"/>
      <c r="T65" s="800"/>
      <c r="U65" s="34"/>
      <c r="V65" s="34"/>
      <c r="W65" s="35" t="s">
        <v>69</v>
      </c>
      <c r="X65" s="789">
        <v>0</v>
      </c>
      <c r="Y65" s="79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793">
        <v>4680115882720</v>
      </c>
      <c r="E66" s="794"/>
      <c r="F66" s="788">
        <v>0.45</v>
      </c>
      <c r="G66" s="32">
        <v>10</v>
      </c>
      <c r="H66" s="788">
        <v>4.5</v>
      </c>
      <c r="I66" s="788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9"/>
      <c r="R66" s="799"/>
      <c r="S66" s="799"/>
      <c r="T66" s="800"/>
      <c r="U66" s="34"/>
      <c r="V66" s="34"/>
      <c r="W66" s="35" t="s">
        <v>69</v>
      </c>
      <c r="X66" s="789">
        <v>0</v>
      </c>
      <c r="Y66" s="79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793">
        <v>4680115881525</v>
      </c>
      <c r="E67" s="794"/>
      <c r="F67" s="788">
        <v>0.4</v>
      </c>
      <c r="G67" s="32">
        <v>10</v>
      </c>
      <c r="H67" s="788">
        <v>4</v>
      </c>
      <c r="I67" s="788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9"/>
      <c r="R67" s="799"/>
      <c r="S67" s="799"/>
      <c r="T67" s="800"/>
      <c r="U67" s="34"/>
      <c r="V67" s="34"/>
      <c r="W67" s="35" t="s">
        <v>69</v>
      </c>
      <c r="X67" s="789">
        <v>0</v>
      </c>
      <c r="Y67" s="79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4301011192</v>
      </c>
      <c r="D68" s="793">
        <v>4607091382952</v>
      </c>
      <c r="E68" s="794"/>
      <c r="F68" s="788">
        <v>0.5</v>
      </c>
      <c r="G68" s="32">
        <v>6</v>
      </c>
      <c r="H68" s="788">
        <v>3</v>
      </c>
      <c r="I68" s="788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7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9"/>
      <c r="R68" s="799"/>
      <c r="S68" s="799"/>
      <c r="T68" s="800"/>
      <c r="U68" s="34"/>
      <c r="V68" s="34"/>
      <c r="W68" s="35" t="s">
        <v>69</v>
      </c>
      <c r="X68" s="789">
        <v>0</v>
      </c>
      <c r="Y68" s="790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4301011589</v>
      </c>
      <c r="D69" s="793">
        <v>4680115885899</v>
      </c>
      <c r="E69" s="794"/>
      <c r="F69" s="788">
        <v>0.35</v>
      </c>
      <c r="G69" s="32">
        <v>6</v>
      </c>
      <c r="H69" s="788">
        <v>2.1</v>
      </c>
      <c r="I69" s="788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9"/>
      <c r="R69" s="799"/>
      <c r="S69" s="799"/>
      <c r="T69" s="800"/>
      <c r="U69" s="34"/>
      <c r="V69" s="34"/>
      <c r="W69" s="35" t="s">
        <v>69</v>
      </c>
      <c r="X69" s="789">
        <v>0</v>
      </c>
      <c r="Y69" s="790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4301011801</v>
      </c>
      <c r="D70" s="793">
        <v>4680115881419</v>
      </c>
      <c r="E70" s="794"/>
      <c r="F70" s="788">
        <v>0.45</v>
      </c>
      <c r="G70" s="32">
        <v>10</v>
      </c>
      <c r="H70" s="788">
        <v>4.5</v>
      </c>
      <c r="I70" s="788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9"/>
      <c r="R70" s="799"/>
      <c r="S70" s="799"/>
      <c r="T70" s="800"/>
      <c r="U70" s="34"/>
      <c r="V70" s="34"/>
      <c r="W70" s="35" t="s">
        <v>69</v>
      </c>
      <c r="X70" s="789">
        <v>270</v>
      </c>
      <c r="Y70" s="790">
        <f t="shared" si="11"/>
        <v>270</v>
      </c>
      <c r="Z70" s="36">
        <f>IFERROR(IF(Y70=0,"",ROUNDUP(Y70/H70,0)*0.00902),"")</f>
        <v>0.54120000000000001</v>
      </c>
      <c r="AA70" s="56"/>
      <c r="AB70" s="57"/>
      <c r="AC70" s="123" t="s">
        <v>145</v>
      </c>
      <c r="AG70" s="64"/>
      <c r="AJ70" s="68" t="s">
        <v>128</v>
      </c>
      <c r="AK70" s="68">
        <v>594</v>
      </c>
      <c r="BB70" s="124" t="s">
        <v>1</v>
      </c>
      <c r="BM70" s="64">
        <f t="shared" si="12"/>
        <v>282.60000000000002</v>
      </c>
      <c r="BN70" s="64">
        <f t="shared" si="13"/>
        <v>282.60000000000002</v>
      </c>
      <c r="BO70" s="64">
        <f t="shared" si="14"/>
        <v>0.45454545454545459</v>
      </c>
      <c r="BP70" s="64">
        <f t="shared" si="15"/>
        <v>0.45454545454545459</v>
      </c>
    </row>
    <row r="71" spans="1:68" x14ac:dyDescent="0.2">
      <c r="A71" s="808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795" t="s">
        <v>71</v>
      </c>
      <c r="Q71" s="796"/>
      <c r="R71" s="796"/>
      <c r="S71" s="796"/>
      <c r="T71" s="796"/>
      <c r="U71" s="796"/>
      <c r="V71" s="797"/>
      <c r="W71" s="37" t="s">
        <v>72</v>
      </c>
      <c r="X71" s="791">
        <f>IFERROR(X62/H62,"0")+IFERROR(X63/H63,"0")+IFERROR(X64/H64,"0")+IFERROR(X65/H65,"0")+IFERROR(X66/H66,"0")+IFERROR(X67/H67,"0")+IFERROR(X68/H68,"0")+IFERROR(X69/H69,"0")+IFERROR(X70/H70,"0")</f>
        <v>97.037037037037038</v>
      </c>
      <c r="Y71" s="791">
        <f>IFERROR(Y62/H62,"0")+IFERROR(Y63/H63,"0")+IFERROR(Y64/H64,"0")+IFERROR(Y65/H65,"0")+IFERROR(Y66/H66,"0")+IFERROR(Y67/H67,"0")+IFERROR(Y68/H68,"0")+IFERROR(Y69/H69,"0")+IFERROR(Y70/H70,"0")</f>
        <v>98</v>
      </c>
      <c r="Z71" s="79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1.3676999999999999</v>
      </c>
      <c r="AA71" s="792"/>
      <c r="AB71" s="792"/>
      <c r="AC71" s="792"/>
    </row>
    <row r="72" spans="1:68" x14ac:dyDescent="0.2">
      <c r="A72" s="809"/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10"/>
      <c r="P72" s="795" t="s">
        <v>71</v>
      </c>
      <c r="Q72" s="796"/>
      <c r="R72" s="796"/>
      <c r="S72" s="796"/>
      <c r="T72" s="796"/>
      <c r="U72" s="796"/>
      <c r="V72" s="797"/>
      <c r="W72" s="37" t="s">
        <v>69</v>
      </c>
      <c r="X72" s="791">
        <f>IFERROR(SUM(X62:X70),"0")</f>
        <v>670</v>
      </c>
      <c r="Y72" s="791">
        <f>IFERROR(SUM(Y62:Y70),"0")</f>
        <v>680.40000000000009</v>
      </c>
      <c r="Z72" s="37"/>
      <c r="AA72" s="792"/>
      <c r="AB72" s="792"/>
      <c r="AC72" s="792"/>
    </row>
    <row r="73" spans="1:68" ht="14.25" customHeight="1" x14ac:dyDescent="0.25">
      <c r="A73" s="811" t="s">
        <v>166</v>
      </c>
      <c r="B73" s="809"/>
      <c r="C73" s="809"/>
      <c r="D73" s="809"/>
      <c r="E73" s="809"/>
      <c r="F73" s="809"/>
      <c r="G73" s="809"/>
      <c r="H73" s="809"/>
      <c r="I73" s="809"/>
      <c r="J73" s="809"/>
      <c r="K73" s="809"/>
      <c r="L73" s="809"/>
      <c r="M73" s="809"/>
      <c r="N73" s="809"/>
      <c r="O73" s="809"/>
      <c r="P73" s="809"/>
      <c r="Q73" s="809"/>
      <c r="R73" s="809"/>
      <c r="S73" s="809"/>
      <c r="T73" s="809"/>
      <c r="U73" s="809"/>
      <c r="V73" s="809"/>
      <c r="W73" s="809"/>
      <c r="X73" s="809"/>
      <c r="Y73" s="809"/>
      <c r="Z73" s="809"/>
      <c r="AA73" s="785"/>
      <c r="AB73" s="785"/>
      <c r="AC73" s="78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93">
        <v>4680115881440</v>
      </c>
      <c r="E74" s="794"/>
      <c r="F74" s="788">
        <v>1.35</v>
      </c>
      <c r="G74" s="32">
        <v>8</v>
      </c>
      <c r="H74" s="788">
        <v>10.8</v>
      </c>
      <c r="I74" s="78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9"/>
      <c r="R74" s="799"/>
      <c r="S74" s="799"/>
      <c r="T74" s="800"/>
      <c r="U74" s="34"/>
      <c r="V74" s="34"/>
      <c r="W74" s="35" t="s">
        <v>69</v>
      </c>
      <c r="X74" s="789">
        <v>100</v>
      </c>
      <c r="Y74" s="790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93">
        <v>4680115882751</v>
      </c>
      <c r="E75" s="794"/>
      <c r="F75" s="788">
        <v>0.45</v>
      </c>
      <c r="G75" s="32">
        <v>10</v>
      </c>
      <c r="H75" s="788">
        <v>4.5</v>
      </c>
      <c r="I75" s="788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9"/>
      <c r="R75" s="799"/>
      <c r="S75" s="799"/>
      <c r="T75" s="800"/>
      <c r="U75" s="34"/>
      <c r="V75" s="34"/>
      <c r="W75" s="35" t="s">
        <v>69</v>
      </c>
      <c r="X75" s="789">
        <v>0</v>
      </c>
      <c r="Y75" s="79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93">
        <v>4680115885950</v>
      </c>
      <c r="E76" s="794"/>
      <c r="F76" s="788">
        <v>0.37</v>
      </c>
      <c r="G76" s="32">
        <v>6</v>
      </c>
      <c r="H76" s="788">
        <v>2.2200000000000002</v>
      </c>
      <c r="I76" s="788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9"/>
      <c r="R76" s="799"/>
      <c r="S76" s="799"/>
      <c r="T76" s="800"/>
      <c r="U76" s="34"/>
      <c r="V76" s="34"/>
      <c r="W76" s="35" t="s">
        <v>69</v>
      </c>
      <c r="X76" s="789">
        <v>0</v>
      </c>
      <c r="Y76" s="79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93">
        <v>4680115881433</v>
      </c>
      <c r="E77" s="794"/>
      <c r="F77" s="788">
        <v>0.45</v>
      </c>
      <c r="G77" s="32">
        <v>6</v>
      </c>
      <c r="H77" s="788">
        <v>2.7</v>
      </c>
      <c r="I77" s="788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9"/>
      <c r="R77" s="799"/>
      <c r="S77" s="799"/>
      <c r="T77" s="800"/>
      <c r="U77" s="34"/>
      <c r="V77" s="34"/>
      <c r="W77" s="35" t="s">
        <v>69</v>
      </c>
      <c r="X77" s="789">
        <v>90</v>
      </c>
      <c r="Y77" s="790">
        <f>IFERROR(IF(X77="",0,CEILING((X77/$H77),1)*$H77),"")</f>
        <v>91.800000000000011</v>
      </c>
      <c r="Z77" s="36">
        <f>IFERROR(IF(Y77=0,"",ROUNDUP(Y77/H77,0)*0.00651),"")</f>
        <v>0.22134000000000001</v>
      </c>
      <c r="AA77" s="56"/>
      <c r="AB77" s="57"/>
      <c r="AC77" s="131" t="s">
        <v>169</v>
      </c>
      <c r="AG77" s="64"/>
      <c r="AJ77" s="68" t="s">
        <v>128</v>
      </c>
      <c r="AK77" s="68">
        <v>491.4</v>
      </c>
      <c r="BB77" s="132" t="s">
        <v>1</v>
      </c>
      <c r="BM77" s="64">
        <f>IFERROR(X77*I77/H77,"0")</f>
        <v>95.999999999999986</v>
      </c>
      <c r="BN77" s="64">
        <f>IFERROR(Y77*I77/H77,"0")</f>
        <v>97.92</v>
      </c>
      <c r="BO77" s="64">
        <f>IFERROR(1/J77*(X77/H77),"0")</f>
        <v>0.18315018315018314</v>
      </c>
      <c r="BP77" s="64">
        <f>IFERROR(1/J77*(Y77/H77),"0")</f>
        <v>0.18681318681318682</v>
      </c>
    </row>
    <row r="78" spans="1:68" x14ac:dyDescent="0.2">
      <c r="A78" s="808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795" t="s">
        <v>71</v>
      </c>
      <c r="Q78" s="796"/>
      <c r="R78" s="796"/>
      <c r="S78" s="796"/>
      <c r="T78" s="796"/>
      <c r="U78" s="796"/>
      <c r="V78" s="797"/>
      <c r="W78" s="37" t="s">
        <v>72</v>
      </c>
      <c r="X78" s="791">
        <f>IFERROR(X74/H74,"0")+IFERROR(X75/H75,"0")+IFERROR(X76/H76,"0")+IFERROR(X77/H77,"0")</f>
        <v>42.592592592592588</v>
      </c>
      <c r="Y78" s="791">
        <f>IFERROR(Y74/H74,"0")+IFERROR(Y75/H75,"0")+IFERROR(Y76/H76,"0")+IFERROR(Y77/H77,"0")</f>
        <v>44</v>
      </c>
      <c r="Z78" s="791">
        <f>IFERROR(IF(Z74="",0,Z74),"0")+IFERROR(IF(Z75="",0,Z75),"0")+IFERROR(IF(Z76="",0,Z76),"0")+IFERROR(IF(Z77="",0,Z77),"0")</f>
        <v>0.43884000000000001</v>
      </c>
      <c r="AA78" s="792"/>
      <c r="AB78" s="792"/>
      <c r="AC78" s="792"/>
    </row>
    <row r="79" spans="1:68" x14ac:dyDescent="0.2">
      <c r="A79" s="809"/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10"/>
      <c r="P79" s="795" t="s">
        <v>71</v>
      </c>
      <c r="Q79" s="796"/>
      <c r="R79" s="796"/>
      <c r="S79" s="796"/>
      <c r="T79" s="796"/>
      <c r="U79" s="796"/>
      <c r="V79" s="797"/>
      <c r="W79" s="37" t="s">
        <v>69</v>
      </c>
      <c r="X79" s="791">
        <f>IFERROR(SUM(X74:X77),"0")</f>
        <v>190</v>
      </c>
      <c r="Y79" s="791">
        <f>IFERROR(SUM(Y74:Y77),"0")</f>
        <v>199.8</v>
      </c>
      <c r="Z79" s="37"/>
      <c r="AA79" s="792"/>
      <c r="AB79" s="792"/>
      <c r="AC79" s="792"/>
    </row>
    <row r="80" spans="1:68" ht="14.25" customHeight="1" x14ac:dyDescent="0.25">
      <c r="A80" s="811" t="s">
        <v>64</v>
      </c>
      <c r="B80" s="809"/>
      <c r="C80" s="809"/>
      <c r="D80" s="809"/>
      <c r="E80" s="809"/>
      <c r="F80" s="809"/>
      <c r="G80" s="809"/>
      <c r="H80" s="809"/>
      <c r="I80" s="809"/>
      <c r="J80" s="809"/>
      <c r="K80" s="809"/>
      <c r="L80" s="809"/>
      <c r="M80" s="809"/>
      <c r="N80" s="809"/>
      <c r="O80" s="809"/>
      <c r="P80" s="809"/>
      <c r="Q80" s="809"/>
      <c r="R80" s="809"/>
      <c r="S80" s="809"/>
      <c r="T80" s="809"/>
      <c r="U80" s="809"/>
      <c r="V80" s="809"/>
      <c r="W80" s="809"/>
      <c r="X80" s="809"/>
      <c r="Y80" s="809"/>
      <c r="Z80" s="809"/>
      <c r="AA80" s="785"/>
      <c r="AB80" s="785"/>
      <c r="AC80" s="785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93">
        <v>4680115885066</v>
      </c>
      <c r="E81" s="794"/>
      <c r="F81" s="788">
        <v>0.7</v>
      </c>
      <c r="G81" s="32">
        <v>6</v>
      </c>
      <c r="H81" s="788">
        <v>4.2</v>
      </c>
      <c r="I81" s="78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9"/>
      <c r="R81" s="799"/>
      <c r="S81" s="799"/>
      <c r="T81" s="800"/>
      <c r="U81" s="34"/>
      <c r="V81" s="34"/>
      <c r="W81" s="35" t="s">
        <v>69</v>
      </c>
      <c r="X81" s="789">
        <v>0</v>
      </c>
      <c r="Y81" s="79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93">
        <v>4680115885042</v>
      </c>
      <c r="E82" s="794"/>
      <c r="F82" s="788">
        <v>0.7</v>
      </c>
      <c r="G82" s="32">
        <v>6</v>
      </c>
      <c r="H82" s="788">
        <v>4.2</v>
      </c>
      <c r="I82" s="78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9"/>
      <c r="R82" s="799"/>
      <c r="S82" s="799"/>
      <c r="T82" s="800"/>
      <c r="U82" s="34"/>
      <c r="V82" s="34"/>
      <c r="W82" s="35" t="s">
        <v>69</v>
      </c>
      <c r="X82" s="789">
        <v>0</v>
      </c>
      <c r="Y82" s="79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93">
        <v>4680115885080</v>
      </c>
      <c r="E83" s="794"/>
      <c r="F83" s="788">
        <v>0.7</v>
      </c>
      <c r="G83" s="32">
        <v>6</v>
      </c>
      <c r="H83" s="788">
        <v>4.2</v>
      </c>
      <c r="I83" s="788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9"/>
      <c r="R83" s="799"/>
      <c r="S83" s="799"/>
      <c r="T83" s="800"/>
      <c r="U83" s="34"/>
      <c r="V83" s="34"/>
      <c r="W83" s="35" t="s">
        <v>69</v>
      </c>
      <c r="X83" s="789">
        <v>0</v>
      </c>
      <c r="Y83" s="79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93">
        <v>4680115885073</v>
      </c>
      <c r="E84" s="794"/>
      <c r="F84" s="788">
        <v>0.3</v>
      </c>
      <c r="G84" s="32">
        <v>6</v>
      </c>
      <c r="H84" s="788">
        <v>1.8</v>
      </c>
      <c r="I84" s="78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9"/>
      <c r="R84" s="799"/>
      <c r="S84" s="799"/>
      <c r="T84" s="800"/>
      <c r="U84" s="34"/>
      <c r="V84" s="34"/>
      <c r="W84" s="35" t="s">
        <v>69</v>
      </c>
      <c r="X84" s="789">
        <v>9</v>
      </c>
      <c r="Y84" s="790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93">
        <v>4680115885059</v>
      </c>
      <c r="E85" s="794"/>
      <c r="F85" s="788">
        <v>0.3</v>
      </c>
      <c r="G85" s="32">
        <v>6</v>
      </c>
      <c r="H85" s="788">
        <v>1.8</v>
      </c>
      <c r="I85" s="78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9"/>
      <c r="R85" s="799"/>
      <c r="S85" s="799"/>
      <c r="T85" s="800"/>
      <c r="U85" s="34"/>
      <c r="V85" s="34"/>
      <c r="W85" s="35" t="s">
        <v>69</v>
      </c>
      <c r="X85" s="789">
        <v>9</v>
      </c>
      <c r="Y85" s="790">
        <f t="shared" si="16"/>
        <v>9</v>
      </c>
      <c r="Z85" s="36">
        <f>IFERROR(IF(Y85=0,"",ROUNDUP(Y85/H85,0)*0.00502),"")</f>
        <v>2.5100000000000001E-2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9.4999999999999982</v>
      </c>
      <c r="BN85" s="64">
        <f t="shared" si="18"/>
        <v>9.4999999999999982</v>
      </c>
      <c r="BO85" s="64">
        <f t="shared" si="19"/>
        <v>2.1367521367521368E-2</v>
      </c>
      <c r="BP85" s="64">
        <f t="shared" si="20"/>
        <v>2.1367521367521368E-2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93">
        <v>4680115885097</v>
      </c>
      <c r="E86" s="794"/>
      <c r="F86" s="788">
        <v>0.3</v>
      </c>
      <c r="G86" s="32">
        <v>6</v>
      </c>
      <c r="H86" s="788">
        <v>1.8</v>
      </c>
      <c r="I86" s="78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9"/>
      <c r="R86" s="799"/>
      <c r="S86" s="799"/>
      <c r="T86" s="800"/>
      <c r="U86" s="34"/>
      <c r="V86" s="34"/>
      <c r="W86" s="35" t="s">
        <v>69</v>
      </c>
      <c r="X86" s="789">
        <v>9</v>
      </c>
      <c r="Y86" s="790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x14ac:dyDescent="0.2">
      <c r="A87" s="808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795" t="s">
        <v>71</v>
      </c>
      <c r="Q87" s="796"/>
      <c r="R87" s="796"/>
      <c r="S87" s="796"/>
      <c r="T87" s="796"/>
      <c r="U87" s="796"/>
      <c r="V87" s="797"/>
      <c r="W87" s="37" t="s">
        <v>72</v>
      </c>
      <c r="X87" s="791">
        <f>IFERROR(X81/H81,"0")+IFERROR(X82/H82,"0")+IFERROR(X83/H83,"0")+IFERROR(X84/H84,"0")+IFERROR(X85/H85,"0")+IFERROR(X86/H86,"0")</f>
        <v>15</v>
      </c>
      <c r="Y87" s="791">
        <f>IFERROR(Y81/H81,"0")+IFERROR(Y82/H82,"0")+IFERROR(Y83/H83,"0")+IFERROR(Y84/H84,"0")+IFERROR(Y85/H85,"0")+IFERROR(Y86/H86,"0")</f>
        <v>15</v>
      </c>
      <c r="Z87" s="791">
        <f>IFERROR(IF(Z81="",0,Z81),"0")+IFERROR(IF(Z82="",0,Z82),"0")+IFERROR(IF(Z83="",0,Z83),"0")+IFERROR(IF(Z84="",0,Z84),"0")+IFERROR(IF(Z85="",0,Z85),"0")+IFERROR(IF(Z86="",0,Z86),"0")</f>
        <v>7.5300000000000006E-2</v>
      </c>
      <c r="AA87" s="792"/>
      <c r="AB87" s="792"/>
      <c r="AC87" s="792"/>
    </row>
    <row r="88" spans="1:68" x14ac:dyDescent="0.2">
      <c r="A88" s="809"/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10"/>
      <c r="P88" s="795" t="s">
        <v>71</v>
      </c>
      <c r="Q88" s="796"/>
      <c r="R88" s="796"/>
      <c r="S88" s="796"/>
      <c r="T88" s="796"/>
      <c r="U88" s="796"/>
      <c r="V88" s="797"/>
      <c r="W88" s="37" t="s">
        <v>69</v>
      </c>
      <c r="X88" s="791">
        <f>IFERROR(SUM(X81:X86),"0")</f>
        <v>27</v>
      </c>
      <c r="Y88" s="791">
        <f>IFERROR(SUM(Y81:Y86),"0")</f>
        <v>27</v>
      </c>
      <c r="Z88" s="37"/>
      <c r="AA88" s="792"/>
      <c r="AB88" s="792"/>
      <c r="AC88" s="792"/>
    </row>
    <row r="89" spans="1:68" ht="14.25" customHeight="1" x14ac:dyDescent="0.25">
      <c r="A89" s="811" t="s">
        <v>73</v>
      </c>
      <c r="B89" s="809"/>
      <c r="C89" s="809"/>
      <c r="D89" s="809"/>
      <c r="E89" s="809"/>
      <c r="F89" s="809"/>
      <c r="G89" s="809"/>
      <c r="H89" s="809"/>
      <c r="I89" s="809"/>
      <c r="J89" s="809"/>
      <c r="K89" s="809"/>
      <c r="L89" s="809"/>
      <c r="M89" s="809"/>
      <c r="N89" s="809"/>
      <c r="O89" s="809"/>
      <c r="P89" s="809"/>
      <c r="Q89" s="809"/>
      <c r="R89" s="809"/>
      <c r="S89" s="809"/>
      <c r="T89" s="809"/>
      <c r="U89" s="809"/>
      <c r="V89" s="809"/>
      <c r="W89" s="809"/>
      <c r="X89" s="809"/>
      <c r="Y89" s="809"/>
      <c r="Z89" s="809"/>
      <c r="AA89" s="785"/>
      <c r="AB89" s="785"/>
      <c r="AC89" s="785"/>
    </row>
    <row r="90" spans="1:68" ht="16.5" customHeight="1" x14ac:dyDescent="0.25">
      <c r="A90" s="54" t="s">
        <v>192</v>
      </c>
      <c r="B90" s="54" t="s">
        <v>193</v>
      </c>
      <c r="C90" s="31">
        <v>4301051838</v>
      </c>
      <c r="D90" s="793">
        <v>4680115881891</v>
      </c>
      <c r="E90" s="794"/>
      <c r="F90" s="788">
        <v>1.4</v>
      </c>
      <c r="G90" s="32">
        <v>6</v>
      </c>
      <c r="H90" s="788">
        <v>8.4</v>
      </c>
      <c r="I90" s="788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0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9"/>
      <c r="R90" s="799"/>
      <c r="S90" s="799"/>
      <c r="T90" s="800"/>
      <c r="U90" s="34"/>
      <c r="V90" s="34"/>
      <c r="W90" s="35" t="s">
        <v>69</v>
      </c>
      <c r="X90" s="789">
        <v>0</v>
      </c>
      <c r="Y90" s="790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4301051846</v>
      </c>
      <c r="D91" s="793">
        <v>4680115885769</v>
      </c>
      <c r="E91" s="794"/>
      <c r="F91" s="788">
        <v>1.4</v>
      </c>
      <c r="G91" s="32">
        <v>6</v>
      </c>
      <c r="H91" s="788">
        <v>8.4</v>
      </c>
      <c r="I91" s="788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9"/>
      <c r="R91" s="799"/>
      <c r="S91" s="799"/>
      <c r="T91" s="800"/>
      <c r="U91" s="34"/>
      <c r="V91" s="34"/>
      <c r="W91" s="35" t="s">
        <v>69</v>
      </c>
      <c r="X91" s="789">
        <v>0</v>
      </c>
      <c r="Y91" s="79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4301051822</v>
      </c>
      <c r="D92" s="793">
        <v>4680115884410</v>
      </c>
      <c r="E92" s="794"/>
      <c r="F92" s="788">
        <v>1.4</v>
      </c>
      <c r="G92" s="32">
        <v>6</v>
      </c>
      <c r="H92" s="788">
        <v>8.4</v>
      </c>
      <c r="I92" s="788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9"/>
      <c r="R92" s="799"/>
      <c r="S92" s="799"/>
      <c r="T92" s="800"/>
      <c r="U92" s="34"/>
      <c r="V92" s="34"/>
      <c r="W92" s="35" t="s">
        <v>69</v>
      </c>
      <c r="X92" s="789">
        <v>0</v>
      </c>
      <c r="Y92" s="79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201</v>
      </c>
      <c r="B93" s="54" t="s">
        <v>202</v>
      </c>
      <c r="C93" s="31">
        <v>4301051837</v>
      </c>
      <c r="D93" s="793">
        <v>4680115884311</v>
      </c>
      <c r="E93" s="794"/>
      <c r="F93" s="788">
        <v>0.3</v>
      </c>
      <c r="G93" s="32">
        <v>6</v>
      </c>
      <c r="H93" s="788">
        <v>1.8</v>
      </c>
      <c r="I93" s="788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9"/>
      <c r="R93" s="799"/>
      <c r="S93" s="799"/>
      <c r="T93" s="800"/>
      <c r="U93" s="34"/>
      <c r="V93" s="34"/>
      <c r="W93" s="35" t="s">
        <v>69</v>
      </c>
      <c r="X93" s="789">
        <v>0</v>
      </c>
      <c r="Y93" s="79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4301051844</v>
      </c>
      <c r="D94" s="793">
        <v>4680115885929</v>
      </c>
      <c r="E94" s="794"/>
      <c r="F94" s="788">
        <v>0.42</v>
      </c>
      <c r="G94" s="32">
        <v>6</v>
      </c>
      <c r="H94" s="788">
        <v>2.52</v>
      </c>
      <c r="I94" s="788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9"/>
      <c r="R94" s="799"/>
      <c r="S94" s="799"/>
      <c r="T94" s="800"/>
      <c r="U94" s="34"/>
      <c r="V94" s="34"/>
      <c r="W94" s="35" t="s">
        <v>69</v>
      </c>
      <c r="X94" s="789">
        <v>0</v>
      </c>
      <c r="Y94" s="79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206</v>
      </c>
      <c r="B95" s="54" t="s">
        <v>207</v>
      </c>
      <c r="C95" s="31">
        <v>4301051827</v>
      </c>
      <c r="D95" s="793">
        <v>4680115884403</v>
      </c>
      <c r="E95" s="794"/>
      <c r="F95" s="788">
        <v>0.3</v>
      </c>
      <c r="G95" s="32">
        <v>6</v>
      </c>
      <c r="H95" s="788">
        <v>1.8</v>
      </c>
      <c r="I95" s="788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9"/>
      <c r="R95" s="799"/>
      <c r="S95" s="799"/>
      <c r="T95" s="800"/>
      <c r="U95" s="34"/>
      <c r="V95" s="34"/>
      <c r="W95" s="35" t="s">
        <v>69</v>
      </c>
      <c r="X95" s="789">
        <v>0</v>
      </c>
      <c r="Y95" s="790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8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795" t="s">
        <v>71</v>
      </c>
      <c r="Q96" s="796"/>
      <c r="R96" s="796"/>
      <c r="S96" s="796"/>
      <c r="T96" s="796"/>
      <c r="U96" s="796"/>
      <c r="V96" s="797"/>
      <c r="W96" s="37" t="s">
        <v>72</v>
      </c>
      <c r="X96" s="791">
        <f>IFERROR(X90/H90,"0")+IFERROR(X91/H91,"0")+IFERROR(X92/H92,"0")+IFERROR(X93/H93,"0")+IFERROR(X94/H94,"0")+IFERROR(X95/H95,"0")</f>
        <v>0</v>
      </c>
      <c r="Y96" s="791">
        <f>IFERROR(Y90/H90,"0")+IFERROR(Y91/H91,"0")+IFERROR(Y92/H92,"0")+IFERROR(Y93/H93,"0")+IFERROR(Y94/H94,"0")+IFERROR(Y95/H95,"0")</f>
        <v>0</v>
      </c>
      <c r="Z96" s="791">
        <f>IFERROR(IF(Z90="",0,Z90),"0")+IFERROR(IF(Z91="",0,Z91),"0")+IFERROR(IF(Z92="",0,Z92),"0")+IFERROR(IF(Z93="",0,Z93),"0")+IFERROR(IF(Z94="",0,Z94),"0")+IFERROR(IF(Z95="",0,Z95),"0")</f>
        <v>0</v>
      </c>
      <c r="AA96" s="792"/>
      <c r="AB96" s="792"/>
      <c r="AC96" s="792"/>
    </row>
    <row r="97" spans="1:68" x14ac:dyDescent="0.2">
      <c r="A97" s="809"/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10"/>
      <c r="P97" s="795" t="s">
        <v>71</v>
      </c>
      <c r="Q97" s="796"/>
      <c r="R97" s="796"/>
      <c r="S97" s="796"/>
      <c r="T97" s="796"/>
      <c r="U97" s="796"/>
      <c r="V97" s="797"/>
      <c r="W97" s="37" t="s">
        <v>69</v>
      </c>
      <c r="X97" s="791">
        <f>IFERROR(SUM(X90:X95),"0")</f>
        <v>0</v>
      </c>
      <c r="Y97" s="791">
        <f>IFERROR(SUM(Y90:Y95),"0")</f>
        <v>0</v>
      </c>
      <c r="Z97" s="37"/>
      <c r="AA97" s="792"/>
      <c r="AB97" s="792"/>
      <c r="AC97" s="792"/>
    </row>
    <row r="98" spans="1:68" ht="14.25" customHeight="1" x14ac:dyDescent="0.25">
      <c r="A98" s="811" t="s">
        <v>208</v>
      </c>
      <c r="B98" s="809"/>
      <c r="C98" s="809"/>
      <c r="D98" s="809"/>
      <c r="E98" s="809"/>
      <c r="F98" s="809"/>
      <c r="G98" s="809"/>
      <c r="H98" s="809"/>
      <c r="I98" s="809"/>
      <c r="J98" s="809"/>
      <c r="K98" s="809"/>
      <c r="L98" s="809"/>
      <c r="M98" s="809"/>
      <c r="N98" s="809"/>
      <c r="O98" s="809"/>
      <c r="P98" s="809"/>
      <c r="Q98" s="809"/>
      <c r="R98" s="809"/>
      <c r="S98" s="809"/>
      <c r="T98" s="809"/>
      <c r="U98" s="809"/>
      <c r="V98" s="809"/>
      <c r="W98" s="809"/>
      <c r="X98" s="809"/>
      <c r="Y98" s="809"/>
      <c r="Z98" s="809"/>
      <c r="AA98" s="785"/>
      <c r="AB98" s="785"/>
      <c r="AC98" s="785"/>
    </row>
    <row r="99" spans="1:68" ht="37.5" customHeight="1" x14ac:dyDescent="0.25">
      <c r="A99" s="54" t="s">
        <v>209</v>
      </c>
      <c r="B99" s="54" t="s">
        <v>210</v>
      </c>
      <c r="C99" s="31">
        <v>4301060366</v>
      </c>
      <c r="D99" s="793">
        <v>4680115881532</v>
      </c>
      <c r="E99" s="794"/>
      <c r="F99" s="788">
        <v>1.3</v>
      </c>
      <c r="G99" s="32">
        <v>6</v>
      </c>
      <c r="H99" s="788">
        <v>7.8</v>
      </c>
      <c r="I99" s="788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9"/>
      <c r="R99" s="799"/>
      <c r="S99" s="799"/>
      <c r="T99" s="800"/>
      <c r="U99" s="34"/>
      <c r="V99" s="34"/>
      <c r="W99" s="35" t="s">
        <v>69</v>
      </c>
      <c r="X99" s="789">
        <v>0</v>
      </c>
      <c r="Y99" s="79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211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209</v>
      </c>
      <c r="B100" s="54" t="s">
        <v>212</v>
      </c>
      <c r="C100" s="31">
        <v>4301060371</v>
      </c>
      <c r="D100" s="793">
        <v>4680115881532</v>
      </c>
      <c r="E100" s="794"/>
      <c r="F100" s="788">
        <v>1.4</v>
      </c>
      <c r="G100" s="32">
        <v>6</v>
      </c>
      <c r="H100" s="788">
        <v>8.4</v>
      </c>
      <c r="I100" s="788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9"/>
      <c r="R100" s="799"/>
      <c r="S100" s="799"/>
      <c r="T100" s="800"/>
      <c r="U100" s="34"/>
      <c r="V100" s="34"/>
      <c r="W100" s="35" t="s">
        <v>69</v>
      </c>
      <c r="X100" s="789">
        <v>40</v>
      </c>
      <c r="Y100" s="790">
        <f>IFERROR(IF(X100="",0,CEILING((X100/$H100),1)*$H100),"")</f>
        <v>42</v>
      </c>
      <c r="Z100" s="36">
        <f>IFERROR(IF(Y100=0,"",ROUNDUP(Y100/H100,0)*0.02175),"")</f>
        <v>0.10874999999999999</v>
      </c>
      <c r="AA100" s="56"/>
      <c r="AB100" s="57"/>
      <c r="AC100" s="159" t="s">
        <v>211</v>
      </c>
      <c r="AG100" s="64"/>
      <c r="AJ100" s="68"/>
      <c r="AK100" s="68">
        <v>0</v>
      </c>
      <c r="BB100" s="160" t="s">
        <v>1</v>
      </c>
      <c r="BM100" s="64">
        <f>IFERROR(X100*I100/H100,"0")</f>
        <v>42.685714285714283</v>
      </c>
      <c r="BN100" s="64">
        <f>IFERROR(Y100*I100/H100,"0")</f>
        <v>44.82</v>
      </c>
      <c r="BO100" s="64">
        <f>IFERROR(1/J100*(X100/H100),"0")</f>
        <v>8.5034013605442174E-2</v>
      </c>
      <c r="BP100" s="64">
        <f>IFERROR(1/J100*(Y100/H100),"0")</f>
        <v>8.9285714285714274E-2</v>
      </c>
    </row>
    <row r="101" spans="1:68" ht="27" customHeight="1" x14ac:dyDescent="0.25">
      <c r="A101" s="54" t="s">
        <v>213</v>
      </c>
      <c r="B101" s="54" t="s">
        <v>214</v>
      </c>
      <c r="C101" s="31">
        <v>4301060351</v>
      </c>
      <c r="D101" s="793">
        <v>4680115881464</v>
      </c>
      <c r="E101" s="794"/>
      <c r="F101" s="788">
        <v>0.4</v>
      </c>
      <c r="G101" s="32">
        <v>6</v>
      </c>
      <c r="H101" s="788">
        <v>2.4</v>
      </c>
      <c r="I101" s="788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9"/>
      <c r="R101" s="799"/>
      <c r="S101" s="799"/>
      <c r="T101" s="800"/>
      <c r="U101" s="34"/>
      <c r="V101" s="34"/>
      <c r="W101" s="35" t="s">
        <v>69</v>
      </c>
      <c r="X101" s="789">
        <v>0</v>
      </c>
      <c r="Y101" s="79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215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8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795" t="s">
        <v>71</v>
      </c>
      <c r="Q102" s="796"/>
      <c r="R102" s="796"/>
      <c r="S102" s="796"/>
      <c r="T102" s="796"/>
      <c r="U102" s="796"/>
      <c r="V102" s="797"/>
      <c r="W102" s="37" t="s">
        <v>72</v>
      </c>
      <c r="X102" s="791">
        <f>IFERROR(X99/H99,"0")+IFERROR(X100/H100,"0")+IFERROR(X101/H101,"0")</f>
        <v>4.7619047619047619</v>
      </c>
      <c r="Y102" s="791">
        <f>IFERROR(Y99/H99,"0")+IFERROR(Y100/H100,"0")+IFERROR(Y101/H101,"0")</f>
        <v>5</v>
      </c>
      <c r="Z102" s="791">
        <f>IFERROR(IF(Z99="",0,Z99),"0")+IFERROR(IF(Z100="",0,Z100),"0")+IFERROR(IF(Z101="",0,Z101),"0")</f>
        <v>0.10874999999999999</v>
      </c>
      <c r="AA102" s="792"/>
      <c r="AB102" s="792"/>
      <c r="AC102" s="792"/>
    </row>
    <row r="103" spans="1:68" x14ac:dyDescent="0.2">
      <c r="A103" s="809"/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10"/>
      <c r="P103" s="795" t="s">
        <v>71</v>
      </c>
      <c r="Q103" s="796"/>
      <c r="R103" s="796"/>
      <c r="S103" s="796"/>
      <c r="T103" s="796"/>
      <c r="U103" s="796"/>
      <c r="V103" s="797"/>
      <c r="W103" s="37" t="s">
        <v>69</v>
      </c>
      <c r="X103" s="791">
        <f>IFERROR(SUM(X99:X101),"0")</f>
        <v>40</v>
      </c>
      <c r="Y103" s="791">
        <f>IFERROR(SUM(Y99:Y101),"0")</f>
        <v>42</v>
      </c>
      <c r="Z103" s="37"/>
      <c r="AA103" s="792"/>
      <c r="AB103" s="792"/>
      <c r="AC103" s="792"/>
    </row>
    <row r="104" spans="1:68" ht="16.5" customHeight="1" x14ac:dyDescent="0.25">
      <c r="A104" s="839" t="s">
        <v>216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84"/>
      <c r="AB104" s="784"/>
      <c r="AC104" s="784"/>
    </row>
    <row r="105" spans="1:68" ht="14.25" customHeight="1" x14ac:dyDescent="0.25">
      <c r="A105" s="811" t="s">
        <v>113</v>
      </c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809"/>
      <c r="AA105" s="785"/>
      <c r="AB105" s="785"/>
      <c r="AC105" s="785"/>
    </row>
    <row r="106" spans="1:68" ht="27" customHeight="1" x14ac:dyDescent="0.25">
      <c r="A106" s="54" t="s">
        <v>217</v>
      </c>
      <c r="B106" s="54" t="s">
        <v>218</v>
      </c>
      <c r="C106" s="31">
        <v>4301011468</v>
      </c>
      <c r="D106" s="793">
        <v>4680115881327</v>
      </c>
      <c r="E106" s="794"/>
      <c r="F106" s="788">
        <v>1.35</v>
      </c>
      <c r="G106" s="32">
        <v>8</v>
      </c>
      <c r="H106" s="788">
        <v>10.8</v>
      </c>
      <c r="I106" s="788">
        <v>11.28</v>
      </c>
      <c r="J106" s="32">
        <v>56</v>
      </c>
      <c r="K106" s="32" t="s">
        <v>116</v>
      </c>
      <c r="L106" s="32"/>
      <c r="M106" s="33" t="s">
        <v>162</v>
      </c>
      <c r="N106" s="33"/>
      <c r="O106" s="32">
        <v>50</v>
      </c>
      <c r="P106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9"/>
      <c r="R106" s="799"/>
      <c r="S106" s="799"/>
      <c r="T106" s="800"/>
      <c r="U106" s="34"/>
      <c r="V106" s="34"/>
      <c r="W106" s="35" t="s">
        <v>69</v>
      </c>
      <c r="X106" s="789">
        <v>0</v>
      </c>
      <c r="Y106" s="79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219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220</v>
      </c>
      <c r="B107" s="54" t="s">
        <v>221</v>
      </c>
      <c r="C107" s="31">
        <v>4301011476</v>
      </c>
      <c r="D107" s="793">
        <v>4680115881518</v>
      </c>
      <c r="E107" s="794"/>
      <c r="F107" s="788">
        <v>0.4</v>
      </c>
      <c r="G107" s="32">
        <v>10</v>
      </c>
      <c r="H107" s="788">
        <v>4</v>
      </c>
      <c r="I107" s="788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9"/>
      <c r="R107" s="799"/>
      <c r="S107" s="799"/>
      <c r="T107" s="800"/>
      <c r="U107" s="34"/>
      <c r="V107" s="34"/>
      <c r="W107" s="35" t="s">
        <v>69</v>
      </c>
      <c r="X107" s="789">
        <v>0</v>
      </c>
      <c r="Y107" s="79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219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222</v>
      </c>
      <c r="B108" s="54" t="s">
        <v>223</v>
      </c>
      <c r="C108" s="31">
        <v>4301011443</v>
      </c>
      <c r="D108" s="793">
        <v>4680115881303</v>
      </c>
      <c r="E108" s="794"/>
      <c r="F108" s="788">
        <v>0.45</v>
      </c>
      <c r="G108" s="32">
        <v>10</v>
      </c>
      <c r="H108" s="788">
        <v>4.5</v>
      </c>
      <c r="I108" s="788">
        <v>4.71</v>
      </c>
      <c r="J108" s="32">
        <v>132</v>
      </c>
      <c r="K108" s="32" t="s">
        <v>126</v>
      </c>
      <c r="L108" s="32" t="s">
        <v>127</v>
      </c>
      <c r="M108" s="33" t="s">
        <v>162</v>
      </c>
      <c r="N108" s="33"/>
      <c r="O108" s="32">
        <v>50</v>
      </c>
      <c r="P108" s="10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9"/>
      <c r="R108" s="799"/>
      <c r="S108" s="799"/>
      <c r="T108" s="800"/>
      <c r="U108" s="34"/>
      <c r="V108" s="34"/>
      <c r="W108" s="35" t="s">
        <v>69</v>
      </c>
      <c r="X108" s="789">
        <v>540</v>
      </c>
      <c r="Y108" s="790">
        <f>IFERROR(IF(X108="",0,CEILING((X108/$H108),1)*$H108),"")</f>
        <v>540</v>
      </c>
      <c r="Z108" s="36">
        <f>IFERROR(IF(Y108=0,"",ROUNDUP(Y108/H108,0)*0.00902),"")</f>
        <v>1.0824</v>
      </c>
      <c r="AA108" s="56"/>
      <c r="AB108" s="57"/>
      <c r="AC108" s="167" t="s">
        <v>224</v>
      </c>
      <c r="AG108" s="64"/>
      <c r="AJ108" s="68" t="s">
        <v>128</v>
      </c>
      <c r="AK108" s="68">
        <v>594</v>
      </c>
      <c r="BB108" s="168" t="s">
        <v>1</v>
      </c>
      <c r="BM108" s="64">
        <f>IFERROR(X108*I108/H108,"0")</f>
        <v>565.20000000000005</v>
      </c>
      <c r="BN108" s="64">
        <f>IFERROR(Y108*I108/H108,"0")</f>
        <v>565.20000000000005</v>
      </c>
      <c r="BO108" s="64">
        <f>IFERROR(1/J108*(X108/H108),"0")</f>
        <v>0.90909090909090917</v>
      </c>
      <c r="BP108" s="64">
        <f>IFERROR(1/J108*(Y108/H108),"0")</f>
        <v>0.90909090909090917</v>
      </c>
    </row>
    <row r="109" spans="1:68" x14ac:dyDescent="0.2">
      <c r="A109" s="808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795" t="s">
        <v>71</v>
      </c>
      <c r="Q109" s="796"/>
      <c r="R109" s="796"/>
      <c r="S109" s="796"/>
      <c r="T109" s="796"/>
      <c r="U109" s="796"/>
      <c r="V109" s="797"/>
      <c r="W109" s="37" t="s">
        <v>72</v>
      </c>
      <c r="X109" s="791">
        <f>IFERROR(X106/H106,"0")+IFERROR(X107/H107,"0")+IFERROR(X108/H108,"0")</f>
        <v>120</v>
      </c>
      <c r="Y109" s="791">
        <f>IFERROR(Y106/H106,"0")+IFERROR(Y107/H107,"0")+IFERROR(Y108/H108,"0")</f>
        <v>120</v>
      </c>
      <c r="Z109" s="791">
        <f>IFERROR(IF(Z106="",0,Z106),"0")+IFERROR(IF(Z107="",0,Z107),"0")+IFERROR(IF(Z108="",0,Z108),"0")</f>
        <v>1.0824</v>
      </c>
      <c r="AA109" s="792"/>
      <c r="AB109" s="792"/>
      <c r="AC109" s="792"/>
    </row>
    <row r="110" spans="1:68" x14ac:dyDescent="0.2">
      <c r="A110" s="809"/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10"/>
      <c r="P110" s="795" t="s">
        <v>71</v>
      </c>
      <c r="Q110" s="796"/>
      <c r="R110" s="796"/>
      <c r="S110" s="796"/>
      <c r="T110" s="796"/>
      <c r="U110" s="796"/>
      <c r="V110" s="797"/>
      <c r="W110" s="37" t="s">
        <v>69</v>
      </c>
      <c r="X110" s="791">
        <f>IFERROR(SUM(X106:X108),"0")</f>
        <v>540</v>
      </c>
      <c r="Y110" s="791">
        <f>IFERROR(SUM(Y106:Y108),"0")</f>
        <v>540</v>
      </c>
      <c r="Z110" s="37"/>
      <c r="AA110" s="792"/>
      <c r="AB110" s="792"/>
      <c r="AC110" s="792"/>
    </row>
    <row r="111" spans="1:68" ht="14.25" customHeight="1" x14ac:dyDescent="0.25">
      <c r="A111" s="811" t="s">
        <v>73</v>
      </c>
      <c r="B111" s="809"/>
      <c r="C111" s="809"/>
      <c r="D111" s="809"/>
      <c r="E111" s="809"/>
      <c r="F111" s="809"/>
      <c r="G111" s="809"/>
      <c r="H111" s="809"/>
      <c r="I111" s="809"/>
      <c r="J111" s="809"/>
      <c r="K111" s="809"/>
      <c r="L111" s="809"/>
      <c r="M111" s="809"/>
      <c r="N111" s="809"/>
      <c r="O111" s="809"/>
      <c r="P111" s="809"/>
      <c r="Q111" s="809"/>
      <c r="R111" s="809"/>
      <c r="S111" s="809"/>
      <c r="T111" s="809"/>
      <c r="U111" s="809"/>
      <c r="V111" s="809"/>
      <c r="W111" s="809"/>
      <c r="X111" s="809"/>
      <c r="Y111" s="809"/>
      <c r="Z111" s="809"/>
      <c r="AA111" s="785"/>
      <c r="AB111" s="785"/>
      <c r="AC111" s="785"/>
    </row>
    <row r="112" spans="1:68" ht="27" customHeight="1" x14ac:dyDescent="0.25">
      <c r="A112" s="54" t="s">
        <v>225</v>
      </c>
      <c r="B112" s="54" t="s">
        <v>226</v>
      </c>
      <c r="C112" s="31">
        <v>4301051437</v>
      </c>
      <c r="D112" s="793">
        <v>4607091386967</v>
      </c>
      <c r="E112" s="794"/>
      <c r="F112" s="788">
        <v>1.35</v>
      </c>
      <c r="G112" s="32">
        <v>6</v>
      </c>
      <c r="H112" s="788">
        <v>8.1</v>
      </c>
      <c r="I112" s="788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9"/>
      <c r="R112" s="799"/>
      <c r="S112" s="799"/>
      <c r="T112" s="800"/>
      <c r="U112" s="34"/>
      <c r="V112" s="34"/>
      <c r="W112" s="35" t="s">
        <v>69</v>
      </c>
      <c r="X112" s="789">
        <v>0</v>
      </c>
      <c r="Y112" s="790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227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225</v>
      </c>
      <c r="B113" s="54" t="s">
        <v>228</v>
      </c>
      <c r="C113" s="31">
        <v>4301051546</v>
      </c>
      <c r="D113" s="793">
        <v>4607091386967</v>
      </c>
      <c r="E113" s="794"/>
      <c r="F113" s="788">
        <v>1.4</v>
      </c>
      <c r="G113" s="32">
        <v>6</v>
      </c>
      <c r="H113" s="788">
        <v>8.4</v>
      </c>
      <c r="I113" s="788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9"/>
      <c r="R113" s="799"/>
      <c r="S113" s="799"/>
      <c r="T113" s="800"/>
      <c r="U113" s="34"/>
      <c r="V113" s="34"/>
      <c r="W113" s="35" t="s">
        <v>69</v>
      </c>
      <c r="X113" s="789">
        <v>200</v>
      </c>
      <c r="Y113" s="790">
        <f t="shared" si="26"/>
        <v>201.60000000000002</v>
      </c>
      <c r="Z113" s="36">
        <f>IFERROR(IF(Y113=0,"",ROUNDUP(Y113/H113,0)*0.02175),"")</f>
        <v>0.52200000000000002</v>
      </c>
      <c r="AA113" s="56"/>
      <c r="AB113" s="57"/>
      <c r="AC113" s="171" t="s">
        <v>227</v>
      </c>
      <c r="AG113" s="64"/>
      <c r="AJ113" s="68"/>
      <c r="AK113" s="68">
        <v>0</v>
      </c>
      <c r="BB113" s="172" t="s">
        <v>1</v>
      </c>
      <c r="BM113" s="64">
        <f t="shared" si="27"/>
        <v>213.42857142857144</v>
      </c>
      <c r="BN113" s="64">
        <f t="shared" si="28"/>
        <v>215.13600000000002</v>
      </c>
      <c r="BO113" s="64">
        <f t="shared" si="29"/>
        <v>0.42517006802721086</v>
      </c>
      <c r="BP113" s="64">
        <f t="shared" si="30"/>
        <v>0.42857142857142855</v>
      </c>
    </row>
    <row r="114" spans="1:68" ht="27" customHeight="1" x14ac:dyDescent="0.25">
      <c r="A114" s="54" t="s">
        <v>229</v>
      </c>
      <c r="B114" s="54" t="s">
        <v>230</v>
      </c>
      <c r="C114" s="31">
        <v>4301051436</v>
      </c>
      <c r="D114" s="793">
        <v>4607091385731</v>
      </c>
      <c r="E114" s="794"/>
      <c r="F114" s="788">
        <v>0.45</v>
      </c>
      <c r="G114" s="32">
        <v>6</v>
      </c>
      <c r="H114" s="788">
        <v>2.7</v>
      </c>
      <c r="I114" s="788">
        <v>2.952</v>
      </c>
      <c r="J114" s="32">
        <v>182</v>
      </c>
      <c r="K114" s="32" t="s">
        <v>76</v>
      </c>
      <c r="L114" s="32" t="s">
        <v>127</v>
      </c>
      <c r="M114" s="33" t="s">
        <v>77</v>
      </c>
      <c r="N114" s="33"/>
      <c r="O114" s="32">
        <v>45</v>
      </c>
      <c r="P114" s="114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9"/>
      <c r="R114" s="799"/>
      <c r="S114" s="799"/>
      <c r="T114" s="800"/>
      <c r="U114" s="34"/>
      <c r="V114" s="34"/>
      <c r="W114" s="35" t="s">
        <v>69</v>
      </c>
      <c r="X114" s="789">
        <v>675</v>
      </c>
      <c r="Y114" s="790">
        <f t="shared" si="26"/>
        <v>675</v>
      </c>
      <c r="Z114" s="36">
        <f>IFERROR(IF(Y114=0,"",ROUNDUP(Y114/H114,0)*0.00651),"")</f>
        <v>1.6274999999999999</v>
      </c>
      <c r="AA114" s="56"/>
      <c r="AB114" s="57"/>
      <c r="AC114" s="173" t="s">
        <v>227</v>
      </c>
      <c r="AG114" s="64"/>
      <c r="AJ114" s="68" t="s">
        <v>128</v>
      </c>
      <c r="AK114" s="68">
        <v>491.4</v>
      </c>
      <c r="BB114" s="174" t="s">
        <v>1</v>
      </c>
      <c r="BM114" s="64">
        <f t="shared" si="27"/>
        <v>737.99999999999989</v>
      </c>
      <c r="BN114" s="64">
        <f t="shared" si="28"/>
        <v>737.99999999999989</v>
      </c>
      <c r="BO114" s="64">
        <f t="shared" si="29"/>
        <v>1.3736263736263736</v>
      </c>
      <c r="BP114" s="64">
        <f t="shared" si="30"/>
        <v>1.3736263736263736</v>
      </c>
    </row>
    <row r="115" spans="1:68" ht="16.5" customHeight="1" x14ac:dyDescent="0.25">
      <c r="A115" s="54" t="s">
        <v>231</v>
      </c>
      <c r="B115" s="54" t="s">
        <v>232</v>
      </c>
      <c r="C115" s="31">
        <v>4301051438</v>
      </c>
      <c r="D115" s="793">
        <v>4680115880894</v>
      </c>
      <c r="E115" s="794"/>
      <c r="F115" s="788">
        <v>0.33</v>
      </c>
      <c r="G115" s="32">
        <v>6</v>
      </c>
      <c r="H115" s="788">
        <v>1.98</v>
      </c>
      <c r="I115" s="788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9"/>
      <c r="R115" s="799"/>
      <c r="S115" s="799"/>
      <c r="T115" s="800"/>
      <c r="U115" s="34"/>
      <c r="V115" s="34"/>
      <c r="W115" s="35" t="s">
        <v>69</v>
      </c>
      <c r="X115" s="789">
        <v>0</v>
      </c>
      <c r="Y115" s="79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233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234</v>
      </c>
      <c r="B116" s="54" t="s">
        <v>235</v>
      </c>
      <c r="C116" s="31">
        <v>4301051439</v>
      </c>
      <c r="D116" s="793">
        <v>4680115880214</v>
      </c>
      <c r="E116" s="794"/>
      <c r="F116" s="788">
        <v>0.45</v>
      </c>
      <c r="G116" s="32">
        <v>6</v>
      </c>
      <c r="H116" s="788">
        <v>2.7</v>
      </c>
      <c r="I116" s="788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9"/>
      <c r="R116" s="799"/>
      <c r="S116" s="799"/>
      <c r="T116" s="800"/>
      <c r="U116" s="34"/>
      <c r="V116" s="34"/>
      <c r="W116" s="35" t="s">
        <v>69</v>
      </c>
      <c r="X116" s="789">
        <v>0</v>
      </c>
      <c r="Y116" s="79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233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234</v>
      </c>
      <c r="B117" s="54" t="s">
        <v>236</v>
      </c>
      <c r="C117" s="31">
        <v>4301051687</v>
      </c>
      <c r="D117" s="793">
        <v>4680115880214</v>
      </c>
      <c r="E117" s="794"/>
      <c r="F117" s="788">
        <v>0.45</v>
      </c>
      <c r="G117" s="32">
        <v>4</v>
      </c>
      <c r="H117" s="788">
        <v>1.8</v>
      </c>
      <c r="I117" s="788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52" t="s">
        <v>237</v>
      </c>
      <c r="Q117" s="799"/>
      <c r="R117" s="799"/>
      <c r="S117" s="799"/>
      <c r="T117" s="800"/>
      <c r="U117" s="34"/>
      <c r="V117" s="34"/>
      <c r="W117" s="35" t="s">
        <v>69</v>
      </c>
      <c r="X117" s="789">
        <v>0</v>
      </c>
      <c r="Y117" s="790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233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8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795" t="s">
        <v>71</v>
      </c>
      <c r="Q118" s="796"/>
      <c r="R118" s="796"/>
      <c r="S118" s="796"/>
      <c r="T118" s="796"/>
      <c r="U118" s="796"/>
      <c r="V118" s="797"/>
      <c r="W118" s="37" t="s">
        <v>72</v>
      </c>
      <c r="X118" s="791">
        <f>IFERROR(X112/H112,"0")+IFERROR(X113/H113,"0")+IFERROR(X114/H114,"0")+IFERROR(X115/H115,"0")+IFERROR(X116/H116,"0")+IFERROR(X117/H117,"0")</f>
        <v>273.8095238095238</v>
      </c>
      <c r="Y118" s="791">
        <f>IFERROR(Y112/H112,"0")+IFERROR(Y113/H113,"0")+IFERROR(Y114/H114,"0")+IFERROR(Y115/H115,"0")+IFERROR(Y116/H116,"0")+IFERROR(Y117/H117,"0")</f>
        <v>274</v>
      </c>
      <c r="Z118" s="791">
        <f>IFERROR(IF(Z112="",0,Z112),"0")+IFERROR(IF(Z113="",0,Z113),"0")+IFERROR(IF(Z114="",0,Z114),"0")+IFERROR(IF(Z115="",0,Z115),"0")+IFERROR(IF(Z116="",0,Z116),"0")+IFERROR(IF(Z117="",0,Z117),"0")</f>
        <v>2.1494999999999997</v>
      </c>
      <c r="AA118" s="792"/>
      <c r="AB118" s="792"/>
      <c r="AC118" s="792"/>
    </row>
    <row r="119" spans="1:68" x14ac:dyDescent="0.2">
      <c r="A119" s="809"/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10"/>
      <c r="P119" s="795" t="s">
        <v>71</v>
      </c>
      <c r="Q119" s="796"/>
      <c r="R119" s="796"/>
      <c r="S119" s="796"/>
      <c r="T119" s="796"/>
      <c r="U119" s="796"/>
      <c r="V119" s="797"/>
      <c r="W119" s="37" t="s">
        <v>69</v>
      </c>
      <c r="X119" s="791">
        <f>IFERROR(SUM(X112:X117),"0")</f>
        <v>875</v>
      </c>
      <c r="Y119" s="791">
        <f>IFERROR(SUM(Y112:Y117),"0")</f>
        <v>876.6</v>
      </c>
      <c r="Z119" s="37"/>
      <c r="AA119" s="792"/>
      <c r="AB119" s="792"/>
      <c r="AC119" s="792"/>
    </row>
    <row r="120" spans="1:68" ht="16.5" customHeight="1" x14ac:dyDescent="0.25">
      <c r="A120" s="839" t="s">
        <v>238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84"/>
      <c r="AB120" s="784"/>
      <c r="AC120" s="784"/>
    </row>
    <row r="121" spans="1:68" ht="14.25" customHeight="1" x14ac:dyDescent="0.25">
      <c r="A121" s="811" t="s">
        <v>113</v>
      </c>
      <c r="B121" s="809"/>
      <c r="C121" s="809"/>
      <c r="D121" s="809"/>
      <c r="E121" s="809"/>
      <c r="F121" s="809"/>
      <c r="G121" s="809"/>
      <c r="H121" s="809"/>
      <c r="I121" s="809"/>
      <c r="J121" s="809"/>
      <c r="K121" s="809"/>
      <c r="L121" s="809"/>
      <c r="M121" s="809"/>
      <c r="N121" s="809"/>
      <c r="O121" s="809"/>
      <c r="P121" s="809"/>
      <c r="Q121" s="809"/>
      <c r="R121" s="809"/>
      <c r="S121" s="809"/>
      <c r="T121" s="809"/>
      <c r="U121" s="809"/>
      <c r="V121" s="809"/>
      <c r="W121" s="809"/>
      <c r="X121" s="809"/>
      <c r="Y121" s="809"/>
      <c r="Z121" s="809"/>
      <c r="AA121" s="785"/>
      <c r="AB121" s="785"/>
      <c r="AC121" s="785"/>
    </row>
    <row r="122" spans="1:68" ht="16.5" customHeight="1" x14ac:dyDescent="0.25">
      <c r="A122" s="54" t="s">
        <v>239</v>
      </c>
      <c r="B122" s="54" t="s">
        <v>240</v>
      </c>
      <c r="C122" s="31">
        <v>4301011514</v>
      </c>
      <c r="D122" s="793">
        <v>4680115882133</v>
      </c>
      <c r="E122" s="794"/>
      <c r="F122" s="788">
        <v>1.35</v>
      </c>
      <c r="G122" s="32">
        <v>8</v>
      </c>
      <c r="H122" s="788">
        <v>10.8</v>
      </c>
      <c r="I122" s="78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9"/>
      <c r="R122" s="799"/>
      <c r="S122" s="799"/>
      <c r="T122" s="800"/>
      <c r="U122" s="34"/>
      <c r="V122" s="34"/>
      <c r="W122" s="35" t="s">
        <v>69</v>
      </c>
      <c r="X122" s="789">
        <v>0</v>
      </c>
      <c r="Y122" s="79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241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239</v>
      </c>
      <c r="B123" s="54" t="s">
        <v>242</v>
      </c>
      <c r="C123" s="31">
        <v>4301011703</v>
      </c>
      <c r="D123" s="793">
        <v>4680115882133</v>
      </c>
      <c r="E123" s="794"/>
      <c r="F123" s="788">
        <v>1.4</v>
      </c>
      <c r="G123" s="32">
        <v>8</v>
      </c>
      <c r="H123" s="788">
        <v>11.2</v>
      </c>
      <c r="I123" s="788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9"/>
      <c r="R123" s="799"/>
      <c r="S123" s="799"/>
      <c r="T123" s="800"/>
      <c r="U123" s="34"/>
      <c r="V123" s="34"/>
      <c r="W123" s="35" t="s">
        <v>69</v>
      </c>
      <c r="X123" s="789">
        <v>80</v>
      </c>
      <c r="Y123" s="790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customHeight="1" x14ac:dyDescent="0.25">
      <c r="A124" s="54" t="s">
        <v>243</v>
      </c>
      <c r="B124" s="54" t="s">
        <v>244</v>
      </c>
      <c r="C124" s="31">
        <v>4301011417</v>
      </c>
      <c r="D124" s="793">
        <v>4680115880269</v>
      </c>
      <c r="E124" s="794"/>
      <c r="F124" s="788">
        <v>0.375</v>
      </c>
      <c r="G124" s="32">
        <v>10</v>
      </c>
      <c r="H124" s="788">
        <v>3.75</v>
      </c>
      <c r="I124" s="788">
        <v>3.96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9"/>
      <c r="R124" s="799"/>
      <c r="S124" s="799"/>
      <c r="T124" s="800"/>
      <c r="U124" s="34"/>
      <c r="V124" s="34"/>
      <c r="W124" s="35" t="s">
        <v>69</v>
      </c>
      <c r="X124" s="789">
        <v>0</v>
      </c>
      <c r="Y124" s="79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246</v>
      </c>
      <c r="B125" s="54" t="s">
        <v>247</v>
      </c>
      <c r="C125" s="31">
        <v>4301011415</v>
      </c>
      <c r="D125" s="793">
        <v>4680115880429</v>
      </c>
      <c r="E125" s="794"/>
      <c r="F125" s="788">
        <v>0.45</v>
      </c>
      <c r="G125" s="32">
        <v>10</v>
      </c>
      <c r="H125" s="788">
        <v>4.5</v>
      </c>
      <c r="I125" s="78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3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9"/>
      <c r="R125" s="799"/>
      <c r="S125" s="799"/>
      <c r="T125" s="800"/>
      <c r="U125" s="34"/>
      <c r="V125" s="34"/>
      <c r="W125" s="35" t="s">
        <v>69</v>
      </c>
      <c r="X125" s="789">
        <v>360</v>
      </c>
      <c r="Y125" s="790">
        <f>IFERROR(IF(X125="",0,CEILING((X125/$H125),1)*$H125),"")</f>
        <v>360</v>
      </c>
      <c r="Z125" s="36">
        <f>IFERROR(IF(Y125=0,"",ROUNDUP(Y125/H125,0)*0.00902),"")</f>
        <v>0.72160000000000002</v>
      </c>
      <c r="AA125" s="56"/>
      <c r="AB125" s="57"/>
      <c r="AC125" s="187" t="s">
        <v>245</v>
      </c>
      <c r="AG125" s="64"/>
      <c r="AJ125" s="68"/>
      <c r="AK125" s="68">
        <v>0</v>
      </c>
      <c r="BB125" s="188" t="s">
        <v>1</v>
      </c>
      <c r="BM125" s="64">
        <f>IFERROR(X125*I125/H125,"0")</f>
        <v>376.79999999999995</v>
      </c>
      <c r="BN125" s="64">
        <f>IFERROR(Y125*I125/H125,"0")</f>
        <v>376.79999999999995</v>
      </c>
      <c r="BO125" s="64">
        <f>IFERROR(1/J125*(X125/H125),"0")</f>
        <v>0.60606060606060608</v>
      </c>
      <c r="BP125" s="64">
        <f>IFERROR(1/J125*(Y125/H125),"0")</f>
        <v>0.60606060606060608</v>
      </c>
    </row>
    <row r="126" spans="1:68" ht="16.5" customHeight="1" x14ac:dyDescent="0.25">
      <c r="A126" s="54" t="s">
        <v>248</v>
      </c>
      <c r="B126" s="54" t="s">
        <v>249</v>
      </c>
      <c r="C126" s="31">
        <v>4301011462</v>
      </c>
      <c r="D126" s="793">
        <v>4680115881457</v>
      </c>
      <c r="E126" s="794"/>
      <c r="F126" s="788">
        <v>0.75</v>
      </c>
      <c r="G126" s="32">
        <v>6</v>
      </c>
      <c r="H126" s="788">
        <v>4.5</v>
      </c>
      <c r="I126" s="788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9"/>
      <c r="R126" s="799"/>
      <c r="S126" s="799"/>
      <c r="T126" s="800"/>
      <c r="U126" s="34"/>
      <c r="V126" s="34"/>
      <c r="W126" s="35" t="s">
        <v>69</v>
      </c>
      <c r="X126" s="789">
        <v>0</v>
      </c>
      <c r="Y126" s="790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8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795" t="s">
        <v>71</v>
      </c>
      <c r="Q127" s="796"/>
      <c r="R127" s="796"/>
      <c r="S127" s="796"/>
      <c r="T127" s="796"/>
      <c r="U127" s="796"/>
      <c r="V127" s="797"/>
      <c r="W127" s="37" t="s">
        <v>72</v>
      </c>
      <c r="X127" s="791">
        <f>IFERROR(X122/H122,"0")+IFERROR(X123/H123,"0")+IFERROR(X124/H124,"0")+IFERROR(X125/H125,"0")+IFERROR(X126/H126,"0")</f>
        <v>87.142857142857139</v>
      </c>
      <c r="Y127" s="791">
        <f>IFERROR(Y122/H122,"0")+IFERROR(Y123/H123,"0")+IFERROR(Y124/H124,"0")+IFERROR(Y125/H125,"0")+IFERROR(Y126/H126,"0")</f>
        <v>88</v>
      </c>
      <c r="Z127" s="791">
        <f>IFERROR(IF(Z122="",0,Z122),"0")+IFERROR(IF(Z123="",0,Z123),"0")+IFERROR(IF(Z124="",0,Z124),"0")+IFERROR(IF(Z125="",0,Z125),"0")+IFERROR(IF(Z126="",0,Z126),"0")</f>
        <v>0.89559999999999995</v>
      </c>
      <c r="AA127" s="792"/>
      <c r="AB127" s="792"/>
      <c r="AC127" s="792"/>
    </row>
    <row r="128" spans="1:68" x14ac:dyDescent="0.2">
      <c r="A128" s="809"/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10"/>
      <c r="P128" s="795" t="s">
        <v>71</v>
      </c>
      <c r="Q128" s="796"/>
      <c r="R128" s="796"/>
      <c r="S128" s="796"/>
      <c r="T128" s="796"/>
      <c r="U128" s="796"/>
      <c r="V128" s="797"/>
      <c r="W128" s="37" t="s">
        <v>69</v>
      </c>
      <c r="X128" s="791">
        <f>IFERROR(SUM(X122:X126),"0")</f>
        <v>440</v>
      </c>
      <c r="Y128" s="791">
        <f>IFERROR(SUM(Y122:Y126),"0")</f>
        <v>449.6</v>
      </c>
      <c r="Z128" s="37"/>
      <c r="AA128" s="792"/>
      <c r="AB128" s="792"/>
      <c r="AC128" s="792"/>
    </row>
    <row r="129" spans="1:68" ht="14.25" customHeight="1" x14ac:dyDescent="0.25">
      <c r="A129" s="811" t="s">
        <v>166</v>
      </c>
      <c r="B129" s="809"/>
      <c r="C129" s="809"/>
      <c r="D129" s="809"/>
      <c r="E129" s="809"/>
      <c r="F129" s="809"/>
      <c r="G129" s="809"/>
      <c r="H129" s="809"/>
      <c r="I129" s="809"/>
      <c r="J129" s="809"/>
      <c r="K129" s="809"/>
      <c r="L129" s="809"/>
      <c r="M129" s="809"/>
      <c r="N129" s="809"/>
      <c r="O129" s="809"/>
      <c r="P129" s="809"/>
      <c r="Q129" s="809"/>
      <c r="R129" s="809"/>
      <c r="S129" s="809"/>
      <c r="T129" s="809"/>
      <c r="U129" s="809"/>
      <c r="V129" s="809"/>
      <c r="W129" s="809"/>
      <c r="X129" s="809"/>
      <c r="Y129" s="809"/>
      <c r="Z129" s="809"/>
      <c r="AA129" s="785"/>
      <c r="AB129" s="785"/>
      <c r="AC129" s="785"/>
    </row>
    <row r="130" spans="1:68" ht="16.5" customHeight="1" x14ac:dyDescent="0.25">
      <c r="A130" s="54" t="s">
        <v>250</v>
      </c>
      <c r="B130" s="54" t="s">
        <v>251</v>
      </c>
      <c r="C130" s="31">
        <v>4301020345</v>
      </c>
      <c r="D130" s="793">
        <v>4680115881488</v>
      </c>
      <c r="E130" s="794"/>
      <c r="F130" s="788">
        <v>1.35</v>
      </c>
      <c r="G130" s="32">
        <v>8</v>
      </c>
      <c r="H130" s="788">
        <v>10.8</v>
      </c>
      <c r="I130" s="78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9"/>
      <c r="R130" s="799"/>
      <c r="S130" s="799"/>
      <c r="T130" s="800"/>
      <c r="U130" s="34"/>
      <c r="V130" s="34"/>
      <c r="W130" s="35" t="s">
        <v>69</v>
      </c>
      <c r="X130" s="789">
        <v>0</v>
      </c>
      <c r="Y130" s="79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253</v>
      </c>
      <c r="B131" s="54" t="s">
        <v>254</v>
      </c>
      <c r="C131" s="31">
        <v>4301020258</v>
      </c>
      <c r="D131" s="793">
        <v>4680115882775</v>
      </c>
      <c r="E131" s="794"/>
      <c r="F131" s="788">
        <v>0.3</v>
      </c>
      <c r="G131" s="32">
        <v>8</v>
      </c>
      <c r="H131" s="788">
        <v>2.4</v>
      </c>
      <c r="I131" s="788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9"/>
      <c r="R131" s="799"/>
      <c r="S131" s="799"/>
      <c r="T131" s="800"/>
      <c r="U131" s="34"/>
      <c r="V131" s="34"/>
      <c r="W131" s="35" t="s">
        <v>69</v>
      </c>
      <c r="X131" s="789">
        <v>0</v>
      </c>
      <c r="Y131" s="79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253</v>
      </c>
      <c r="B132" s="54" t="s">
        <v>256</v>
      </c>
      <c r="C132" s="31">
        <v>4301020346</v>
      </c>
      <c r="D132" s="793">
        <v>4680115882775</v>
      </c>
      <c r="E132" s="794"/>
      <c r="F132" s="788">
        <v>0.3</v>
      </c>
      <c r="G132" s="32">
        <v>8</v>
      </c>
      <c r="H132" s="788">
        <v>2.4</v>
      </c>
      <c r="I132" s="788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9"/>
      <c r="R132" s="799"/>
      <c r="S132" s="799"/>
      <c r="T132" s="800"/>
      <c r="U132" s="34"/>
      <c r="V132" s="34"/>
      <c r="W132" s="35" t="s">
        <v>69</v>
      </c>
      <c r="X132" s="789">
        <v>0</v>
      </c>
      <c r="Y132" s="79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257</v>
      </c>
      <c r="B133" s="54" t="s">
        <v>258</v>
      </c>
      <c r="C133" s="31">
        <v>4301020344</v>
      </c>
      <c r="D133" s="793">
        <v>4680115880658</v>
      </c>
      <c r="E133" s="794"/>
      <c r="F133" s="788">
        <v>0.4</v>
      </c>
      <c r="G133" s="32">
        <v>6</v>
      </c>
      <c r="H133" s="788">
        <v>2.4</v>
      </c>
      <c r="I133" s="788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9"/>
      <c r="R133" s="799"/>
      <c r="S133" s="799"/>
      <c r="T133" s="800"/>
      <c r="U133" s="34"/>
      <c r="V133" s="34"/>
      <c r="W133" s="35" t="s">
        <v>69</v>
      </c>
      <c r="X133" s="789">
        <v>0</v>
      </c>
      <c r="Y133" s="79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8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795" t="s">
        <v>71</v>
      </c>
      <c r="Q134" s="796"/>
      <c r="R134" s="796"/>
      <c r="S134" s="796"/>
      <c r="T134" s="796"/>
      <c r="U134" s="796"/>
      <c r="V134" s="797"/>
      <c r="W134" s="37" t="s">
        <v>72</v>
      </c>
      <c r="X134" s="791">
        <f>IFERROR(X130/H130,"0")+IFERROR(X131/H131,"0")+IFERROR(X132/H132,"0")+IFERROR(X133/H133,"0")</f>
        <v>0</v>
      </c>
      <c r="Y134" s="791">
        <f>IFERROR(Y130/H130,"0")+IFERROR(Y131/H131,"0")+IFERROR(Y132/H132,"0")+IFERROR(Y133/H133,"0")</f>
        <v>0</v>
      </c>
      <c r="Z134" s="791">
        <f>IFERROR(IF(Z130="",0,Z130),"0")+IFERROR(IF(Z131="",0,Z131),"0")+IFERROR(IF(Z132="",0,Z132),"0")+IFERROR(IF(Z133="",0,Z133),"0")</f>
        <v>0</v>
      </c>
      <c r="AA134" s="792"/>
      <c r="AB134" s="792"/>
      <c r="AC134" s="792"/>
    </row>
    <row r="135" spans="1:68" x14ac:dyDescent="0.2">
      <c r="A135" s="809"/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10"/>
      <c r="P135" s="795" t="s">
        <v>71</v>
      </c>
      <c r="Q135" s="796"/>
      <c r="R135" s="796"/>
      <c r="S135" s="796"/>
      <c r="T135" s="796"/>
      <c r="U135" s="796"/>
      <c r="V135" s="797"/>
      <c r="W135" s="37" t="s">
        <v>69</v>
      </c>
      <c r="X135" s="791">
        <f>IFERROR(SUM(X130:X133),"0")</f>
        <v>0</v>
      </c>
      <c r="Y135" s="791">
        <f>IFERROR(SUM(Y130:Y133),"0")</f>
        <v>0</v>
      </c>
      <c r="Z135" s="37"/>
      <c r="AA135" s="792"/>
      <c r="AB135" s="792"/>
      <c r="AC135" s="792"/>
    </row>
    <row r="136" spans="1:68" ht="14.25" customHeight="1" x14ac:dyDescent="0.25">
      <c r="A136" s="811" t="s">
        <v>73</v>
      </c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809"/>
      <c r="Z136" s="809"/>
      <c r="AA136" s="785"/>
      <c r="AB136" s="785"/>
      <c r="AC136" s="785"/>
    </row>
    <row r="137" spans="1:68" ht="37.5" customHeight="1" x14ac:dyDescent="0.25">
      <c r="A137" s="54" t="s">
        <v>259</v>
      </c>
      <c r="B137" s="54" t="s">
        <v>260</v>
      </c>
      <c r="C137" s="31">
        <v>4301051360</v>
      </c>
      <c r="D137" s="793">
        <v>4607091385168</v>
      </c>
      <c r="E137" s="794"/>
      <c r="F137" s="788">
        <v>1.35</v>
      </c>
      <c r="G137" s="32">
        <v>6</v>
      </c>
      <c r="H137" s="788">
        <v>8.1</v>
      </c>
      <c r="I137" s="788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6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9"/>
      <c r="R137" s="799"/>
      <c r="S137" s="799"/>
      <c r="T137" s="800"/>
      <c r="U137" s="34"/>
      <c r="V137" s="34"/>
      <c r="W137" s="35" t="s">
        <v>69</v>
      </c>
      <c r="X137" s="789">
        <v>0</v>
      </c>
      <c r="Y137" s="790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261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259</v>
      </c>
      <c r="B138" s="54" t="s">
        <v>262</v>
      </c>
      <c r="C138" s="31">
        <v>4301051625</v>
      </c>
      <c r="D138" s="793">
        <v>4607091385168</v>
      </c>
      <c r="E138" s="794"/>
      <c r="F138" s="788">
        <v>1.4</v>
      </c>
      <c r="G138" s="32">
        <v>6</v>
      </c>
      <c r="H138" s="788">
        <v>8.4</v>
      </c>
      <c r="I138" s="788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9"/>
      <c r="R138" s="799"/>
      <c r="S138" s="799"/>
      <c r="T138" s="800"/>
      <c r="U138" s="34"/>
      <c r="V138" s="34"/>
      <c r="W138" s="35" t="s">
        <v>69</v>
      </c>
      <c r="X138" s="789">
        <v>400</v>
      </c>
      <c r="Y138" s="790">
        <f t="shared" si="31"/>
        <v>403.20000000000005</v>
      </c>
      <c r="Z138" s="36">
        <f>IFERROR(IF(Y138=0,"",ROUNDUP(Y138/H138,0)*0.02175),"")</f>
        <v>1.044</v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426.57142857142861</v>
      </c>
      <c r="BN138" s="64">
        <f t="shared" si="33"/>
        <v>429.98400000000004</v>
      </c>
      <c r="BO138" s="64">
        <f t="shared" si="34"/>
        <v>0.85034013605442171</v>
      </c>
      <c r="BP138" s="64">
        <f t="shared" si="35"/>
        <v>0.8571428571428571</v>
      </c>
    </row>
    <row r="139" spans="1:68" ht="27" customHeight="1" x14ac:dyDescent="0.25">
      <c r="A139" s="54" t="s">
        <v>264</v>
      </c>
      <c r="B139" s="54" t="s">
        <v>265</v>
      </c>
      <c r="C139" s="31">
        <v>4301051742</v>
      </c>
      <c r="D139" s="793">
        <v>4680115884540</v>
      </c>
      <c r="E139" s="794"/>
      <c r="F139" s="788">
        <v>1.4</v>
      </c>
      <c r="G139" s="32">
        <v>6</v>
      </c>
      <c r="H139" s="788">
        <v>8.4</v>
      </c>
      <c r="I139" s="788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9"/>
      <c r="R139" s="799"/>
      <c r="S139" s="799"/>
      <c r="T139" s="800"/>
      <c r="U139" s="34"/>
      <c r="V139" s="34"/>
      <c r="W139" s="35" t="s">
        <v>69</v>
      </c>
      <c r="X139" s="789">
        <v>0</v>
      </c>
      <c r="Y139" s="790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266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267</v>
      </c>
      <c r="B140" s="54" t="s">
        <v>268</v>
      </c>
      <c r="C140" s="31">
        <v>4301051362</v>
      </c>
      <c r="D140" s="793">
        <v>4607091383256</v>
      </c>
      <c r="E140" s="794"/>
      <c r="F140" s="788">
        <v>0.33</v>
      </c>
      <c r="G140" s="32">
        <v>6</v>
      </c>
      <c r="H140" s="788">
        <v>1.98</v>
      </c>
      <c r="I140" s="788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9"/>
      <c r="R140" s="799"/>
      <c r="S140" s="799"/>
      <c r="T140" s="800"/>
      <c r="U140" s="34"/>
      <c r="V140" s="34"/>
      <c r="W140" s="35" t="s">
        <v>69</v>
      </c>
      <c r="X140" s="789">
        <v>0</v>
      </c>
      <c r="Y140" s="79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269</v>
      </c>
      <c r="B141" s="54" t="s">
        <v>270</v>
      </c>
      <c r="C141" s="31">
        <v>4301051358</v>
      </c>
      <c r="D141" s="793">
        <v>4607091385748</v>
      </c>
      <c r="E141" s="794"/>
      <c r="F141" s="788">
        <v>0.45</v>
      </c>
      <c r="G141" s="32">
        <v>6</v>
      </c>
      <c r="H141" s="788">
        <v>2.7</v>
      </c>
      <c r="I141" s="788">
        <v>2.952</v>
      </c>
      <c r="J141" s="32">
        <v>182</v>
      </c>
      <c r="K141" s="32" t="s">
        <v>76</v>
      </c>
      <c r="L141" s="32" t="s">
        <v>127</v>
      </c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9"/>
      <c r="R141" s="799"/>
      <c r="S141" s="799"/>
      <c r="T141" s="800"/>
      <c r="U141" s="34"/>
      <c r="V141" s="34"/>
      <c r="W141" s="35" t="s">
        <v>69</v>
      </c>
      <c r="X141" s="789">
        <v>540</v>
      </c>
      <c r="Y141" s="790">
        <f t="shared" si="31"/>
        <v>540</v>
      </c>
      <c r="Z141" s="36">
        <f>IFERROR(IF(Y141=0,"",ROUNDUP(Y141/H141,0)*0.00651),"")</f>
        <v>1.302</v>
      </c>
      <c r="AA141" s="56"/>
      <c r="AB141" s="57"/>
      <c r="AC141" s="207" t="s">
        <v>261</v>
      </c>
      <c r="AG141" s="64"/>
      <c r="AJ141" s="68" t="s">
        <v>128</v>
      </c>
      <c r="AK141" s="68">
        <v>491.4</v>
      </c>
      <c r="BB141" s="208" t="s">
        <v>1</v>
      </c>
      <c r="BM141" s="64">
        <f t="shared" si="32"/>
        <v>590.4</v>
      </c>
      <c r="BN141" s="64">
        <f t="shared" si="33"/>
        <v>590.4</v>
      </c>
      <c r="BO141" s="64">
        <f t="shared" si="34"/>
        <v>1.098901098901099</v>
      </c>
      <c r="BP141" s="64">
        <f t="shared" si="35"/>
        <v>1.098901098901099</v>
      </c>
    </row>
    <row r="142" spans="1:68" ht="27" customHeight="1" x14ac:dyDescent="0.25">
      <c r="A142" s="54" t="s">
        <v>271</v>
      </c>
      <c r="B142" s="54" t="s">
        <v>272</v>
      </c>
      <c r="C142" s="31">
        <v>4301051740</v>
      </c>
      <c r="D142" s="793">
        <v>4680115884533</v>
      </c>
      <c r="E142" s="794"/>
      <c r="F142" s="788">
        <v>0.3</v>
      </c>
      <c r="G142" s="32">
        <v>6</v>
      </c>
      <c r="H142" s="788">
        <v>1.8</v>
      </c>
      <c r="I142" s="788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9"/>
      <c r="R142" s="799"/>
      <c r="S142" s="799"/>
      <c r="T142" s="800"/>
      <c r="U142" s="34"/>
      <c r="V142" s="34"/>
      <c r="W142" s="35" t="s">
        <v>69</v>
      </c>
      <c r="X142" s="789">
        <v>15</v>
      </c>
      <c r="Y142" s="790">
        <f t="shared" si="31"/>
        <v>16.2</v>
      </c>
      <c r="Z142" s="36">
        <f>IFERROR(IF(Y142=0,"",ROUNDUP(Y142/H142,0)*0.00651),"")</f>
        <v>5.8590000000000003E-2</v>
      </c>
      <c r="AA142" s="56"/>
      <c r="AB142" s="57"/>
      <c r="AC142" s="209" t="s">
        <v>266</v>
      </c>
      <c r="AG142" s="64"/>
      <c r="AJ142" s="68"/>
      <c r="AK142" s="68">
        <v>0</v>
      </c>
      <c r="BB142" s="210" t="s">
        <v>1</v>
      </c>
      <c r="BM142" s="64">
        <f t="shared" si="32"/>
        <v>16.5</v>
      </c>
      <c r="BN142" s="64">
        <f t="shared" si="33"/>
        <v>17.82</v>
      </c>
      <c r="BO142" s="64">
        <f t="shared" si="34"/>
        <v>4.5787545787545791E-2</v>
      </c>
      <c r="BP142" s="64">
        <f t="shared" si="35"/>
        <v>4.9450549450549455E-2</v>
      </c>
    </row>
    <row r="143" spans="1:68" ht="37.5" customHeight="1" x14ac:dyDescent="0.25">
      <c r="A143" s="54" t="s">
        <v>273</v>
      </c>
      <c r="B143" s="54" t="s">
        <v>274</v>
      </c>
      <c r="C143" s="31">
        <v>4301051480</v>
      </c>
      <c r="D143" s="793">
        <v>4680115882645</v>
      </c>
      <c r="E143" s="794"/>
      <c r="F143" s="788">
        <v>0.3</v>
      </c>
      <c r="G143" s="32">
        <v>6</v>
      </c>
      <c r="H143" s="788">
        <v>1.8</v>
      </c>
      <c r="I143" s="788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9"/>
      <c r="R143" s="799"/>
      <c r="S143" s="799"/>
      <c r="T143" s="800"/>
      <c r="U143" s="34"/>
      <c r="V143" s="34"/>
      <c r="W143" s="35" t="s">
        <v>69</v>
      </c>
      <c r="X143" s="789">
        <v>0</v>
      </c>
      <c r="Y143" s="790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275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8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795" t="s">
        <v>71</v>
      </c>
      <c r="Q144" s="796"/>
      <c r="R144" s="796"/>
      <c r="S144" s="796"/>
      <c r="T144" s="796"/>
      <c r="U144" s="796"/>
      <c r="V144" s="797"/>
      <c r="W144" s="37" t="s">
        <v>72</v>
      </c>
      <c r="X144" s="791">
        <f>IFERROR(X137/H137,"0")+IFERROR(X138/H138,"0")+IFERROR(X139/H139,"0")+IFERROR(X140/H140,"0")+IFERROR(X141/H141,"0")+IFERROR(X142/H142,"0")+IFERROR(X143/H143,"0")</f>
        <v>255.95238095238096</v>
      </c>
      <c r="Y144" s="791">
        <f>IFERROR(Y137/H137,"0")+IFERROR(Y138/H138,"0")+IFERROR(Y139/H139,"0")+IFERROR(Y140/H140,"0")+IFERROR(Y141/H141,"0")+IFERROR(Y142/H142,"0")+IFERROR(Y143/H143,"0")</f>
        <v>257</v>
      </c>
      <c r="Z144" s="791">
        <f>IFERROR(IF(Z137="",0,Z137),"0")+IFERROR(IF(Z138="",0,Z138),"0")+IFERROR(IF(Z139="",0,Z139),"0")+IFERROR(IF(Z140="",0,Z140),"0")+IFERROR(IF(Z141="",0,Z141),"0")+IFERROR(IF(Z142="",0,Z142),"0")+IFERROR(IF(Z143="",0,Z143),"0")</f>
        <v>2.4045900000000002</v>
      </c>
      <c r="AA144" s="792"/>
      <c r="AB144" s="792"/>
      <c r="AC144" s="792"/>
    </row>
    <row r="145" spans="1:68" x14ac:dyDescent="0.2">
      <c r="A145" s="809"/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10"/>
      <c r="P145" s="795" t="s">
        <v>71</v>
      </c>
      <c r="Q145" s="796"/>
      <c r="R145" s="796"/>
      <c r="S145" s="796"/>
      <c r="T145" s="796"/>
      <c r="U145" s="796"/>
      <c r="V145" s="797"/>
      <c r="W145" s="37" t="s">
        <v>69</v>
      </c>
      <c r="X145" s="791">
        <f>IFERROR(SUM(X137:X143),"0")</f>
        <v>955</v>
      </c>
      <c r="Y145" s="791">
        <f>IFERROR(SUM(Y137:Y143),"0")</f>
        <v>959.40000000000009</v>
      </c>
      <c r="Z145" s="37"/>
      <c r="AA145" s="792"/>
      <c r="AB145" s="792"/>
      <c r="AC145" s="792"/>
    </row>
    <row r="146" spans="1:68" ht="14.25" customHeight="1" x14ac:dyDescent="0.25">
      <c r="A146" s="811" t="s">
        <v>208</v>
      </c>
      <c r="B146" s="809"/>
      <c r="C146" s="809"/>
      <c r="D146" s="809"/>
      <c r="E146" s="809"/>
      <c r="F146" s="809"/>
      <c r="G146" s="809"/>
      <c r="H146" s="809"/>
      <c r="I146" s="809"/>
      <c r="J146" s="809"/>
      <c r="K146" s="809"/>
      <c r="L146" s="809"/>
      <c r="M146" s="809"/>
      <c r="N146" s="809"/>
      <c r="O146" s="809"/>
      <c r="P146" s="809"/>
      <c r="Q146" s="809"/>
      <c r="R146" s="809"/>
      <c r="S146" s="809"/>
      <c r="T146" s="809"/>
      <c r="U146" s="809"/>
      <c r="V146" s="809"/>
      <c r="W146" s="809"/>
      <c r="X146" s="809"/>
      <c r="Y146" s="809"/>
      <c r="Z146" s="809"/>
      <c r="AA146" s="785"/>
      <c r="AB146" s="785"/>
      <c r="AC146" s="785"/>
    </row>
    <row r="147" spans="1:68" ht="37.5" customHeight="1" x14ac:dyDescent="0.25">
      <c r="A147" s="54" t="s">
        <v>276</v>
      </c>
      <c r="B147" s="54" t="s">
        <v>277</v>
      </c>
      <c r="C147" s="31">
        <v>4301060356</v>
      </c>
      <c r="D147" s="793">
        <v>4680115882652</v>
      </c>
      <c r="E147" s="794"/>
      <c r="F147" s="788">
        <v>0.33</v>
      </c>
      <c r="G147" s="32">
        <v>6</v>
      </c>
      <c r="H147" s="788">
        <v>1.98</v>
      </c>
      <c r="I147" s="788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9"/>
      <c r="R147" s="799"/>
      <c r="S147" s="799"/>
      <c r="T147" s="800"/>
      <c r="U147" s="34"/>
      <c r="V147" s="34"/>
      <c r="W147" s="35" t="s">
        <v>69</v>
      </c>
      <c r="X147" s="789">
        <v>0</v>
      </c>
      <c r="Y147" s="79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279</v>
      </c>
      <c r="B148" s="54" t="s">
        <v>280</v>
      </c>
      <c r="C148" s="31">
        <v>4301060309</v>
      </c>
      <c r="D148" s="793">
        <v>4680115880238</v>
      </c>
      <c r="E148" s="794"/>
      <c r="F148" s="788">
        <v>0.33</v>
      </c>
      <c r="G148" s="32">
        <v>6</v>
      </c>
      <c r="H148" s="788">
        <v>1.98</v>
      </c>
      <c r="I148" s="788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9"/>
      <c r="R148" s="799"/>
      <c r="S148" s="799"/>
      <c r="T148" s="800"/>
      <c r="U148" s="34"/>
      <c r="V148" s="34"/>
      <c r="W148" s="35" t="s">
        <v>69</v>
      </c>
      <c r="X148" s="789">
        <v>19.8</v>
      </c>
      <c r="Y148" s="790">
        <f>IFERROR(IF(X148="",0,CEILING((X148/$H148),1)*$H148),"")</f>
        <v>19.8</v>
      </c>
      <c r="Z148" s="36">
        <f>IFERROR(IF(Y148=0,"",ROUNDUP(Y148/H148,0)*0.00651),"")</f>
        <v>6.5100000000000005E-2</v>
      </c>
      <c r="AA148" s="56"/>
      <c r="AB148" s="57"/>
      <c r="AC148" s="215" t="s">
        <v>281</v>
      </c>
      <c r="AG148" s="64"/>
      <c r="AJ148" s="68"/>
      <c r="AK148" s="68">
        <v>0</v>
      </c>
      <c r="BB148" s="216" t="s">
        <v>1</v>
      </c>
      <c r="BM148" s="64">
        <f>IFERROR(X148*I148/H148,"0")</f>
        <v>22.380000000000003</v>
      </c>
      <c r="BN148" s="64">
        <f>IFERROR(Y148*I148/H148,"0")</f>
        <v>22.380000000000003</v>
      </c>
      <c r="BO148" s="64">
        <f>IFERROR(1/J148*(X148/H148),"0")</f>
        <v>5.4945054945054951E-2</v>
      </c>
      <c r="BP148" s="64">
        <f>IFERROR(1/J148*(Y148/H148),"0")</f>
        <v>5.4945054945054951E-2</v>
      </c>
    </row>
    <row r="149" spans="1:68" x14ac:dyDescent="0.2">
      <c r="A149" s="808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795" t="s">
        <v>71</v>
      </c>
      <c r="Q149" s="796"/>
      <c r="R149" s="796"/>
      <c r="S149" s="796"/>
      <c r="T149" s="796"/>
      <c r="U149" s="796"/>
      <c r="V149" s="797"/>
      <c r="W149" s="37" t="s">
        <v>72</v>
      </c>
      <c r="X149" s="791">
        <f>IFERROR(X147/H147,"0")+IFERROR(X148/H148,"0")</f>
        <v>10</v>
      </c>
      <c r="Y149" s="791">
        <f>IFERROR(Y147/H147,"0")+IFERROR(Y148/H148,"0")</f>
        <v>10</v>
      </c>
      <c r="Z149" s="791">
        <f>IFERROR(IF(Z147="",0,Z147),"0")+IFERROR(IF(Z148="",0,Z148),"0")</f>
        <v>6.5100000000000005E-2</v>
      </c>
      <c r="AA149" s="792"/>
      <c r="AB149" s="792"/>
      <c r="AC149" s="792"/>
    </row>
    <row r="150" spans="1:68" x14ac:dyDescent="0.2">
      <c r="A150" s="809"/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10"/>
      <c r="P150" s="795" t="s">
        <v>71</v>
      </c>
      <c r="Q150" s="796"/>
      <c r="R150" s="796"/>
      <c r="S150" s="796"/>
      <c r="T150" s="796"/>
      <c r="U150" s="796"/>
      <c r="V150" s="797"/>
      <c r="W150" s="37" t="s">
        <v>69</v>
      </c>
      <c r="X150" s="791">
        <f>IFERROR(SUM(X147:X148),"0")</f>
        <v>19.8</v>
      </c>
      <c r="Y150" s="791">
        <f>IFERROR(SUM(Y147:Y148),"0")</f>
        <v>19.8</v>
      </c>
      <c r="Z150" s="37"/>
      <c r="AA150" s="792"/>
      <c r="AB150" s="792"/>
      <c r="AC150" s="792"/>
    </row>
    <row r="151" spans="1:68" ht="16.5" customHeight="1" x14ac:dyDescent="0.25">
      <c r="A151" s="839" t="s">
        <v>282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84"/>
      <c r="AB151" s="784"/>
      <c r="AC151" s="784"/>
    </row>
    <row r="152" spans="1:68" ht="14.25" customHeight="1" x14ac:dyDescent="0.25">
      <c r="A152" s="811" t="s">
        <v>113</v>
      </c>
      <c r="B152" s="809"/>
      <c r="C152" s="809"/>
      <c r="D152" s="809"/>
      <c r="E152" s="809"/>
      <c r="F152" s="809"/>
      <c r="G152" s="809"/>
      <c r="H152" s="809"/>
      <c r="I152" s="809"/>
      <c r="J152" s="809"/>
      <c r="K152" s="809"/>
      <c r="L152" s="809"/>
      <c r="M152" s="809"/>
      <c r="N152" s="809"/>
      <c r="O152" s="809"/>
      <c r="P152" s="809"/>
      <c r="Q152" s="809"/>
      <c r="R152" s="809"/>
      <c r="S152" s="809"/>
      <c r="T152" s="809"/>
      <c r="U152" s="809"/>
      <c r="V152" s="809"/>
      <c r="W152" s="809"/>
      <c r="X152" s="809"/>
      <c r="Y152" s="809"/>
      <c r="Z152" s="809"/>
      <c r="AA152" s="785"/>
      <c r="AB152" s="785"/>
      <c r="AC152" s="785"/>
    </row>
    <row r="153" spans="1:68" ht="16.5" customHeight="1" x14ac:dyDescent="0.25">
      <c r="A153" s="54" t="s">
        <v>283</v>
      </c>
      <c r="B153" s="54" t="s">
        <v>284</v>
      </c>
      <c r="C153" s="31">
        <v>4301011988</v>
      </c>
      <c r="D153" s="793">
        <v>4680115885561</v>
      </c>
      <c r="E153" s="794"/>
      <c r="F153" s="788">
        <v>1.35</v>
      </c>
      <c r="G153" s="32">
        <v>4</v>
      </c>
      <c r="H153" s="788">
        <v>5.4</v>
      </c>
      <c r="I153" s="788">
        <v>7.24</v>
      </c>
      <c r="J153" s="32">
        <v>104</v>
      </c>
      <c r="K153" s="32" t="s">
        <v>116</v>
      </c>
      <c r="L153" s="32"/>
      <c r="M153" s="33" t="s">
        <v>285</v>
      </c>
      <c r="N153" s="33"/>
      <c r="O153" s="32">
        <v>90</v>
      </c>
      <c r="P153" s="1032" t="s">
        <v>286</v>
      </c>
      <c r="Q153" s="799"/>
      <c r="R153" s="799"/>
      <c r="S153" s="799"/>
      <c r="T153" s="800"/>
      <c r="U153" s="34"/>
      <c r="V153" s="34"/>
      <c r="W153" s="35" t="s">
        <v>69</v>
      </c>
      <c r="X153" s="789">
        <v>0</v>
      </c>
      <c r="Y153" s="790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288</v>
      </c>
      <c r="B154" s="54" t="s">
        <v>289</v>
      </c>
      <c r="C154" s="31">
        <v>4301011564</v>
      </c>
      <c r="D154" s="793">
        <v>4680115882577</v>
      </c>
      <c r="E154" s="794"/>
      <c r="F154" s="788">
        <v>0.4</v>
      </c>
      <c r="G154" s="32">
        <v>8</v>
      </c>
      <c r="H154" s="788">
        <v>3.2</v>
      </c>
      <c r="I154" s="78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9"/>
      <c r="R154" s="799"/>
      <c r="S154" s="799"/>
      <c r="T154" s="800"/>
      <c r="U154" s="34"/>
      <c r="V154" s="34"/>
      <c r="W154" s="35" t="s">
        <v>69</v>
      </c>
      <c r="X154" s="789">
        <v>0</v>
      </c>
      <c r="Y154" s="79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290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288</v>
      </c>
      <c r="B155" s="54" t="s">
        <v>291</v>
      </c>
      <c r="C155" s="31">
        <v>4301011562</v>
      </c>
      <c r="D155" s="793">
        <v>4680115882577</v>
      </c>
      <c r="E155" s="794"/>
      <c r="F155" s="788">
        <v>0.4</v>
      </c>
      <c r="G155" s="32">
        <v>8</v>
      </c>
      <c r="H155" s="788">
        <v>3.2</v>
      </c>
      <c r="I155" s="788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9"/>
      <c r="R155" s="799"/>
      <c r="S155" s="799"/>
      <c r="T155" s="800"/>
      <c r="U155" s="34"/>
      <c r="V155" s="34"/>
      <c r="W155" s="35" t="s">
        <v>69</v>
      </c>
      <c r="X155" s="789">
        <v>100</v>
      </c>
      <c r="Y155" s="790">
        <f>IFERROR(IF(X155="",0,CEILING((X155/$H155),1)*$H155),"")</f>
        <v>102.4</v>
      </c>
      <c r="Z155" s="36">
        <f>IFERROR(IF(Y155=0,"",ROUNDUP(Y155/H155,0)*0.00651),"")</f>
        <v>0.20832000000000001</v>
      </c>
      <c r="AA155" s="56"/>
      <c r="AB155" s="57"/>
      <c r="AC155" s="221" t="s">
        <v>290</v>
      </c>
      <c r="AG155" s="64"/>
      <c r="AJ155" s="68"/>
      <c r="AK155" s="68">
        <v>0</v>
      </c>
      <c r="BB155" s="222" t="s">
        <v>1</v>
      </c>
      <c r="BM155" s="64">
        <f>IFERROR(X155*I155/H155,"0")</f>
        <v>105.625</v>
      </c>
      <c r="BN155" s="64">
        <f>IFERROR(Y155*I155/H155,"0")</f>
        <v>108.16</v>
      </c>
      <c r="BO155" s="64">
        <f>IFERROR(1/J155*(X155/H155),"0")</f>
        <v>0.1717032967032967</v>
      </c>
      <c r="BP155" s="64">
        <f>IFERROR(1/J155*(Y155/H155),"0")</f>
        <v>0.17582417582417584</v>
      </c>
    </row>
    <row r="156" spans="1:68" x14ac:dyDescent="0.2">
      <c r="A156" s="808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91">
        <f>IFERROR(X153/H153,"0")+IFERROR(X154/H154,"0")+IFERROR(X155/H155,"0")</f>
        <v>31.25</v>
      </c>
      <c r="Y156" s="791">
        <f>IFERROR(Y153/H153,"0")+IFERROR(Y154/H154,"0")+IFERROR(Y155/H155,"0")</f>
        <v>32</v>
      </c>
      <c r="Z156" s="791">
        <f>IFERROR(IF(Z153="",0,Z153),"0")+IFERROR(IF(Z154="",0,Z154),"0")+IFERROR(IF(Z155="",0,Z155),"0")</f>
        <v>0.20832000000000001</v>
      </c>
      <c r="AA156" s="792"/>
      <c r="AB156" s="792"/>
      <c r="AC156" s="792"/>
    </row>
    <row r="157" spans="1:68" x14ac:dyDescent="0.2">
      <c r="A157" s="809"/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10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91">
        <f>IFERROR(SUM(X153:X155),"0")</f>
        <v>100</v>
      </c>
      <c r="Y157" s="791">
        <f>IFERROR(SUM(Y153:Y155),"0")</f>
        <v>102.4</v>
      </c>
      <c r="Z157" s="37"/>
      <c r="AA157" s="792"/>
      <c r="AB157" s="792"/>
      <c r="AC157" s="792"/>
    </row>
    <row r="158" spans="1:68" ht="14.25" customHeight="1" x14ac:dyDescent="0.25">
      <c r="A158" s="811" t="s">
        <v>64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785"/>
      <c r="AB158" s="785"/>
      <c r="AC158" s="785"/>
    </row>
    <row r="159" spans="1:68" ht="27" customHeight="1" x14ac:dyDescent="0.25">
      <c r="A159" s="54" t="s">
        <v>292</v>
      </c>
      <c r="B159" s="54" t="s">
        <v>293</v>
      </c>
      <c r="C159" s="31">
        <v>4301031234</v>
      </c>
      <c r="D159" s="793">
        <v>4680115883444</v>
      </c>
      <c r="E159" s="794"/>
      <c r="F159" s="788">
        <v>0.35</v>
      </c>
      <c r="G159" s="32">
        <v>8</v>
      </c>
      <c r="H159" s="788">
        <v>2.8</v>
      </c>
      <c r="I159" s="78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9"/>
      <c r="R159" s="799"/>
      <c r="S159" s="799"/>
      <c r="T159" s="800"/>
      <c r="U159" s="34"/>
      <c r="V159" s="34"/>
      <c r="W159" s="35" t="s">
        <v>69</v>
      </c>
      <c r="X159" s="789">
        <v>87.5</v>
      </c>
      <c r="Y159" s="790">
        <f>IFERROR(IF(X159="",0,CEILING((X159/$H159),1)*$H159),"")</f>
        <v>89.6</v>
      </c>
      <c r="Z159" s="36">
        <f>IFERROR(IF(Y159=0,"",ROUNDUP(Y159/H159,0)*0.00651),"")</f>
        <v>0.20832000000000001</v>
      </c>
      <c r="AA159" s="56"/>
      <c r="AB159" s="57"/>
      <c r="AC159" s="223" t="s">
        <v>294</v>
      </c>
      <c r="AG159" s="64"/>
      <c r="AJ159" s="68"/>
      <c r="AK159" s="68">
        <v>0</v>
      </c>
      <c r="BB159" s="224" t="s">
        <v>1</v>
      </c>
      <c r="BM159" s="64">
        <f>IFERROR(X159*I159/H159,"0")</f>
        <v>95.875</v>
      </c>
      <c r="BN159" s="64">
        <f>IFERROR(Y159*I159/H159,"0")</f>
        <v>98.175999999999988</v>
      </c>
      <c r="BO159" s="64">
        <f>IFERROR(1/J159*(X159/H159),"0")</f>
        <v>0.17170329670329673</v>
      </c>
      <c r="BP159" s="64">
        <f>IFERROR(1/J159*(Y159/H159),"0")</f>
        <v>0.17582417582417584</v>
      </c>
    </row>
    <row r="160" spans="1:68" ht="27" customHeight="1" x14ac:dyDescent="0.25">
      <c r="A160" s="54" t="s">
        <v>292</v>
      </c>
      <c r="B160" s="54" t="s">
        <v>295</v>
      </c>
      <c r="C160" s="31">
        <v>4301031235</v>
      </c>
      <c r="D160" s="793">
        <v>4680115883444</v>
      </c>
      <c r="E160" s="794"/>
      <c r="F160" s="788">
        <v>0.35</v>
      </c>
      <c r="G160" s="32">
        <v>8</v>
      </c>
      <c r="H160" s="788">
        <v>2.8</v>
      </c>
      <c r="I160" s="788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9"/>
      <c r="R160" s="799"/>
      <c r="S160" s="799"/>
      <c r="T160" s="800"/>
      <c r="U160" s="34"/>
      <c r="V160" s="34"/>
      <c r="W160" s="35" t="s">
        <v>69</v>
      </c>
      <c r="X160" s="789">
        <v>0</v>
      </c>
      <c r="Y160" s="790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8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91">
        <f>IFERROR(X159/H159,"0")+IFERROR(X160/H160,"0")</f>
        <v>31.250000000000004</v>
      </c>
      <c r="Y161" s="791">
        <f>IFERROR(Y159/H159,"0")+IFERROR(Y160/H160,"0")</f>
        <v>32</v>
      </c>
      <c r="Z161" s="791">
        <f>IFERROR(IF(Z159="",0,Z159),"0")+IFERROR(IF(Z160="",0,Z160),"0")</f>
        <v>0.20832000000000001</v>
      </c>
      <c r="AA161" s="792"/>
      <c r="AB161" s="792"/>
      <c r="AC161" s="792"/>
    </row>
    <row r="162" spans="1:68" x14ac:dyDescent="0.2">
      <c r="A162" s="809"/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10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91">
        <f>IFERROR(SUM(X159:X160),"0")</f>
        <v>87.5</v>
      </c>
      <c r="Y162" s="791">
        <f>IFERROR(SUM(Y159:Y160),"0")</f>
        <v>89.6</v>
      </c>
      <c r="Z162" s="37"/>
      <c r="AA162" s="792"/>
      <c r="AB162" s="792"/>
      <c r="AC162" s="792"/>
    </row>
    <row r="163" spans="1:68" ht="14.25" customHeight="1" x14ac:dyDescent="0.25">
      <c r="A163" s="811" t="s">
        <v>73</v>
      </c>
      <c r="B163" s="809"/>
      <c r="C163" s="809"/>
      <c r="D163" s="809"/>
      <c r="E163" s="809"/>
      <c r="F163" s="809"/>
      <c r="G163" s="809"/>
      <c r="H163" s="809"/>
      <c r="I163" s="809"/>
      <c r="J163" s="809"/>
      <c r="K163" s="809"/>
      <c r="L163" s="809"/>
      <c r="M163" s="809"/>
      <c r="N163" s="809"/>
      <c r="O163" s="809"/>
      <c r="P163" s="809"/>
      <c r="Q163" s="809"/>
      <c r="R163" s="809"/>
      <c r="S163" s="809"/>
      <c r="T163" s="809"/>
      <c r="U163" s="809"/>
      <c r="V163" s="809"/>
      <c r="W163" s="809"/>
      <c r="X163" s="809"/>
      <c r="Y163" s="809"/>
      <c r="Z163" s="809"/>
      <c r="AA163" s="785"/>
      <c r="AB163" s="785"/>
      <c r="AC163" s="785"/>
    </row>
    <row r="164" spans="1:68" ht="16.5" customHeight="1" x14ac:dyDescent="0.25">
      <c r="A164" s="54" t="s">
        <v>296</v>
      </c>
      <c r="B164" s="54" t="s">
        <v>297</v>
      </c>
      <c r="C164" s="31">
        <v>4301051817</v>
      </c>
      <c r="D164" s="793">
        <v>4680115885585</v>
      </c>
      <c r="E164" s="794"/>
      <c r="F164" s="788">
        <v>1</v>
      </c>
      <c r="G164" s="32">
        <v>4</v>
      </c>
      <c r="H164" s="788">
        <v>4</v>
      </c>
      <c r="I164" s="788">
        <v>5.69</v>
      </c>
      <c r="J164" s="32">
        <v>120</v>
      </c>
      <c r="K164" s="32" t="s">
        <v>126</v>
      </c>
      <c r="L164" s="32"/>
      <c r="M164" s="33" t="s">
        <v>285</v>
      </c>
      <c r="N164" s="33"/>
      <c r="O164" s="32">
        <v>45</v>
      </c>
      <c r="P164" s="1118" t="s">
        <v>298</v>
      </c>
      <c r="Q164" s="799"/>
      <c r="R164" s="799"/>
      <c r="S164" s="799"/>
      <c r="T164" s="800"/>
      <c r="U164" s="34"/>
      <c r="V164" s="34"/>
      <c r="W164" s="35" t="s">
        <v>69</v>
      </c>
      <c r="X164" s="789">
        <v>0</v>
      </c>
      <c r="Y164" s="790">
        <f>IFERROR(IF(X164="",0,CEILING((X164/$H164),1)*$H164),"")</f>
        <v>0</v>
      </c>
      <c r="Z164" s="36" t="str">
        <f>IFERROR(IF(Y164=0,"",ROUNDUP(Y164/H164,0)*0.00937),"")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300</v>
      </c>
      <c r="C165" s="31">
        <v>4301051477</v>
      </c>
      <c r="D165" s="793">
        <v>4680115882584</v>
      </c>
      <c r="E165" s="794"/>
      <c r="F165" s="788">
        <v>0.33</v>
      </c>
      <c r="G165" s="32">
        <v>8</v>
      </c>
      <c r="H165" s="788">
        <v>2.64</v>
      </c>
      <c r="I165" s="78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99"/>
      <c r="R165" s="799"/>
      <c r="S165" s="799"/>
      <c r="T165" s="800"/>
      <c r="U165" s="34"/>
      <c r="V165" s="34"/>
      <c r="W165" s="35" t="s">
        <v>69</v>
      </c>
      <c r="X165" s="789">
        <v>0</v>
      </c>
      <c r="Y165" s="79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299</v>
      </c>
      <c r="B166" s="54" t="s">
        <v>301</v>
      </c>
      <c r="C166" s="31">
        <v>4301051476</v>
      </c>
      <c r="D166" s="793">
        <v>4680115882584</v>
      </c>
      <c r="E166" s="794"/>
      <c r="F166" s="788">
        <v>0.33</v>
      </c>
      <c r="G166" s="32">
        <v>8</v>
      </c>
      <c r="H166" s="788">
        <v>2.64</v>
      </c>
      <c r="I166" s="788">
        <v>2.9079999999999999</v>
      </c>
      <c r="J166" s="32">
        <v>182</v>
      </c>
      <c r="K166" s="32" t="s">
        <v>76</v>
      </c>
      <c r="L166" s="32"/>
      <c r="M166" s="33" t="s">
        <v>105</v>
      </c>
      <c r="N166" s="33"/>
      <c r="O166" s="32">
        <v>60</v>
      </c>
      <c r="P166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99"/>
      <c r="R166" s="799"/>
      <c r="S166" s="799"/>
      <c r="T166" s="800"/>
      <c r="U166" s="34"/>
      <c r="V166" s="34"/>
      <c r="W166" s="35" t="s">
        <v>69</v>
      </c>
      <c r="X166" s="789">
        <v>99</v>
      </c>
      <c r="Y166" s="790">
        <f>IFERROR(IF(X166="",0,CEILING((X166/$H166),1)*$H166),"")</f>
        <v>100.32000000000001</v>
      </c>
      <c r="Z166" s="36">
        <f>IFERROR(IF(Y166=0,"",ROUNDUP(Y166/H166,0)*0.00651),"")</f>
        <v>0.24738000000000002</v>
      </c>
      <c r="AA166" s="56"/>
      <c r="AB166" s="57"/>
      <c r="AC166" s="231" t="s">
        <v>290</v>
      </c>
      <c r="AG166" s="64"/>
      <c r="AJ166" s="68"/>
      <c r="AK166" s="68">
        <v>0</v>
      </c>
      <c r="BB166" s="232" t="s">
        <v>1</v>
      </c>
      <c r="BM166" s="64">
        <f>IFERROR(X166*I166/H166,"0")</f>
        <v>109.05</v>
      </c>
      <c r="BN166" s="64">
        <f>IFERROR(Y166*I166/H166,"0")</f>
        <v>110.504</v>
      </c>
      <c r="BO166" s="64">
        <f>IFERROR(1/J166*(X166/H166),"0")</f>
        <v>0.20604395604395606</v>
      </c>
      <c r="BP166" s="64">
        <f>IFERROR(1/J166*(Y166/H166),"0")</f>
        <v>0.2087912087912088</v>
      </c>
    </row>
    <row r="167" spans="1:68" x14ac:dyDescent="0.2">
      <c r="A167" s="808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795" t="s">
        <v>71</v>
      </c>
      <c r="Q167" s="796"/>
      <c r="R167" s="796"/>
      <c r="S167" s="796"/>
      <c r="T167" s="796"/>
      <c r="U167" s="796"/>
      <c r="V167" s="797"/>
      <c r="W167" s="37" t="s">
        <v>72</v>
      </c>
      <c r="X167" s="791">
        <f>IFERROR(X164/H164,"0")+IFERROR(X165/H165,"0")+IFERROR(X166/H166,"0")</f>
        <v>37.5</v>
      </c>
      <c r="Y167" s="791">
        <f>IFERROR(Y164/H164,"0")+IFERROR(Y165/H165,"0")+IFERROR(Y166/H166,"0")</f>
        <v>38</v>
      </c>
      <c r="Z167" s="791">
        <f>IFERROR(IF(Z164="",0,Z164),"0")+IFERROR(IF(Z165="",0,Z165),"0")+IFERROR(IF(Z166="",0,Z166),"0")</f>
        <v>0.24738000000000002</v>
      </c>
      <c r="AA167" s="792"/>
      <c r="AB167" s="792"/>
      <c r="AC167" s="792"/>
    </row>
    <row r="168" spans="1:68" x14ac:dyDescent="0.2">
      <c r="A168" s="809"/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10"/>
      <c r="P168" s="795" t="s">
        <v>71</v>
      </c>
      <c r="Q168" s="796"/>
      <c r="R168" s="796"/>
      <c r="S168" s="796"/>
      <c r="T168" s="796"/>
      <c r="U168" s="796"/>
      <c r="V168" s="797"/>
      <c r="W168" s="37" t="s">
        <v>69</v>
      </c>
      <c r="X168" s="791">
        <f>IFERROR(SUM(X164:X166),"0")</f>
        <v>99</v>
      </c>
      <c r="Y168" s="791">
        <f>IFERROR(SUM(Y164:Y166),"0")</f>
        <v>100.32000000000001</v>
      </c>
      <c r="Z168" s="37"/>
      <c r="AA168" s="792"/>
      <c r="AB168" s="792"/>
      <c r="AC168" s="792"/>
    </row>
    <row r="169" spans="1:68" ht="16.5" customHeight="1" x14ac:dyDescent="0.25">
      <c r="A169" s="839" t="s">
        <v>111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84"/>
      <c r="AB169" s="784"/>
      <c r="AC169" s="784"/>
    </row>
    <row r="170" spans="1:68" ht="14.25" customHeight="1" x14ac:dyDescent="0.25">
      <c r="A170" s="811" t="s">
        <v>113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785"/>
      <c r="AB170" s="785"/>
      <c r="AC170" s="785"/>
    </row>
    <row r="171" spans="1:68" ht="27" customHeight="1" x14ac:dyDescent="0.25">
      <c r="A171" s="54" t="s">
        <v>302</v>
      </c>
      <c r="B171" s="54" t="s">
        <v>303</v>
      </c>
      <c r="C171" s="31">
        <v>4301011705</v>
      </c>
      <c r="D171" s="793">
        <v>4607091384604</v>
      </c>
      <c r="E171" s="794"/>
      <c r="F171" s="788">
        <v>0.4</v>
      </c>
      <c r="G171" s="32">
        <v>10</v>
      </c>
      <c r="H171" s="788">
        <v>4</v>
      </c>
      <c r="I171" s="788">
        <v>4.21</v>
      </c>
      <c r="J171" s="32">
        <v>132</v>
      </c>
      <c r="K171" s="32" t="s">
        <v>126</v>
      </c>
      <c r="L171" s="32"/>
      <c r="M171" s="33" t="s">
        <v>117</v>
      </c>
      <c r="N171" s="33"/>
      <c r="O171" s="32">
        <v>50</v>
      </c>
      <c r="P171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99"/>
      <c r="R171" s="799"/>
      <c r="S171" s="799"/>
      <c r="T171" s="800"/>
      <c r="U171" s="34"/>
      <c r="V171" s="34"/>
      <c r="W171" s="35" t="s">
        <v>69</v>
      </c>
      <c r="X171" s="789">
        <v>0</v>
      </c>
      <c r="Y171" s="790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808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795" t="s">
        <v>71</v>
      </c>
      <c r="Q172" s="796"/>
      <c r="R172" s="796"/>
      <c r="S172" s="796"/>
      <c r="T172" s="796"/>
      <c r="U172" s="796"/>
      <c r="V172" s="797"/>
      <c r="W172" s="37" t="s">
        <v>72</v>
      </c>
      <c r="X172" s="791">
        <f>IFERROR(X171/H171,"0")</f>
        <v>0</v>
      </c>
      <c r="Y172" s="791">
        <f>IFERROR(Y171/H171,"0")</f>
        <v>0</v>
      </c>
      <c r="Z172" s="791">
        <f>IFERROR(IF(Z171="",0,Z171),"0")</f>
        <v>0</v>
      </c>
      <c r="AA172" s="792"/>
      <c r="AB172" s="792"/>
      <c r="AC172" s="792"/>
    </row>
    <row r="173" spans="1:68" x14ac:dyDescent="0.2">
      <c r="A173" s="809"/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10"/>
      <c r="P173" s="795" t="s">
        <v>71</v>
      </c>
      <c r="Q173" s="796"/>
      <c r="R173" s="796"/>
      <c r="S173" s="796"/>
      <c r="T173" s="796"/>
      <c r="U173" s="796"/>
      <c r="V173" s="797"/>
      <c r="W173" s="37" t="s">
        <v>69</v>
      </c>
      <c r="X173" s="791">
        <f>IFERROR(SUM(X171:X171),"0")</f>
        <v>0</v>
      </c>
      <c r="Y173" s="791">
        <f>IFERROR(SUM(Y171:Y171),"0")</f>
        <v>0</v>
      </c>
      <c r="Z173" s="37"/>
      <c r="AA173" s="792"/>
      <c r="AB173" s="792"/>
      <c r="AC173" s="792"/>
    </row>
    <row r="174" spans="1:68" ht="14.25" customHeight="1" x14ac:dyDescent="0.25">
      <c r="A174" s="811" t="s">
        <v>64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785"/>
      <c r="AB174" s="785"/>
      <c r="AC174" s="785"/>
    </row>
    <row r="175" spans="1:68" ht="16.5" customHeight="1" x14ac:dyDescent="0.25">
      <c r="A175" s="54" t="s">
        <v>305</v>
      </c>
      <c r="B175" s="54" t="s">
        <v>306</v>
      </c>
      <c r="C175" s="31">
        <v>4301030895</v>
      </c>
      <c r="D175" s="793">
        <v>4607091387667</v>
      </c>
      <c r="E175" s="794"/>
      <c r="F175" s="788">
        <v>0.9</v>
      </c>
      <c r="G175" s="32">
        <v>10</v>
      </c>
      <c r="H175" s="788">
        <v>9</v>
      </c>
      <c r="I175" s="788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99"/>
      <c r="R175" s="799"/>
      <c r="S175" s="799"/>
      <c r="T175" s="800"/>
      <c r="U175" s="34"/>
      <c r="V175" s="34"/>
      <c r="W175" s="35" t="s">
        <v>69</v>
      </c>
      <c r="X175" s="789">
        <v>0</v>
      </c>
      <c r="Y175" s="790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308</v>
      </c>
      <c r="B176" s="54" t="s">
        <v>309</v>
      </c>
      <c r="C176" s="31">
        <v>4301030961</v>
      </c>
      <c r="D176" s="793">
        <v>4607091387636</v>
      </c>
      <c r="E176" s="794"/>
      <c r="F176" s="788">
        <v>0.7</v>
      </c>
      <c r="G176" s="32">
        <v>6</v>
      </c>
      <c r="H176" s="788">
        <v>4.2</v>
      </c>
      <c r="I176" s="788">
        <v>4.5</v>
      </c>
      <c r="J176" s="32">
        <v>132</v>
      </c>
      <c r="K176" s="32" t="s">
        <v>126</v>
      </c>
      <c r="L176" s="32"/>
      <c r="M176" s="33" t="s">
        <v>68</v>
      </c>
      <c r="N176" s="33"/>
      <c r="O176" s="32">
        <v>40</v>
      </c>
      <c r="P176" s="11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99"/>
      <c r="R176" s="799"/>
      <c r="S176" s="799"/>
      <c r="T176" s="800"/>
      <c r="U176" s="34"/>
      <c r="V176" s="34"/>
      <c r="W176" s="35" t="s">
        <v>69</v>
      </c>
      <c r="X176" s="789">
        <v>0</v>
      </c>
      <c r="Y176" s="790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311</v>
      </c>
      <c r="B177" s="54" t="s">
        <v>312</v>
      </c>
      <c r="C177" s="31">
        <v>4301030963</v>
      </c>
      <c r="D177" s="793">
        <v>4607091382426</v>
      </c>
      <c r="E177" s="794"/>
      <c r="F177" s="788">
        <v>0.9</v>
      </c>
      <c r="G177" s="32">
        <v>10</v>
      </c>
      <c r="H177" s="788">
        <v>9</v>
      </c>
      <c r="I177" s="788">
        <v>9.6300000000000008</v>
      </c>
      <c r="J177" s="32">
        <v>56</v>
      </c>
      <c r="K177" s="32" t="s">
        <v>116</v>
      </c>
      <c r="L177" s="32"/>
      <c r="M177" s="33" t="s">
        <v>68</v>
      </c>
      <c r="N177" s="33"/>
      <c r="O177" s="32">
        <v>40</v>
      </c>
      <c r="P177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99"/>
      <c r="R177" s="799"/>
      <c r="S177" s="799"/>
      <c r="T177" s="800"/>
      <c r="U177" s="34"/>
      <c r="V177" s="34"/>
      <c r="W177" s="35" t="s">
        <v>69</v>
      </c>
      <c r="X177" s="789">
        <v>0</v>
      </c>
      <c r="Y177" s="790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313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4301030962</v>
      </c>
      <c r="D178" s="793">
        <v>4607091386547</v>
      </c>
      <c r="E178" s="794"/>
      <c r="F178" s="788">
        <v>0.35</v>
      </c>
      <c r="G178" s="32">
        <v>8</v>
      </c>
      <c r="H178" s="788">
        <v>2.8</v>
      </c>
      <c r="I178" s="788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99"/>
      <c r="R178" s="799"/>
      <c r="S178" s="799"/>
      <c r="T178" s="800"/>
      <c r="U178" s="34"/>
      <c r="V178" s="34"/>
      <c r="W178" s="35" t="s">
        <v>69</v>
      </c>
      <c r="X178" s="789">
        <v>0</v>
      </c>
      <c r="Y178" s="79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316</v>
      </c>
      <c r="B179" s="54" t="s">
        <v>317</v>
      </c>
      <c r="C179" s="31">
        <v>4301030964</v>
      </c>
      <c r="D179" s="793">
        <v>4607091382464</v>
      </c>
      <c r="E179" s="794"/>
      <c r="F179" s="788">
        <v>0.35</v>
      </c>
      <c r="G179" s="32">
        <v>8</v>
      </c>
      <c r="H179" s="788">
        <v>2.8</v>
      </c>
      <c r="I179" s="788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99"/>
      <c r="R179" s="799"/>
      <c r="S179" s="799"/>
      <c r="T179" s="800"/>
      <c r="U179" s="34"/>
      <c r="V179" s="34"/>
      <c r="W179" s="35" t="s">
        <v>69</v>
      </c>
      <c r="X179" s="789">
        <v>0</v>
      </c>
      <c r="Y179" s="790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808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795" t="s">
        <v>71</v>
      </c>
      <c r="Q180" s="796"/>
      <c r="R180" s="796"/>
      <c r="S180" s="796"/>
      <c r="T180" s="796"/>
      <c r="U180" s="796"/>
      <c r="V180" s="797"/>
      <c r="W180" s="37" t="s">
        <v>72</v>
      </c>
      <c r="X180" s="791">
        <f>IFERROR(X175/H175,"0")+IFERROR(X176/H176,"0")+IFERROR(X177/H177,"0")+IFERROR(X178/H178,"0")+IFERROR(X179/H179,"0")</f>
        <v>0</v>
      </c>
      <c r="Y180" s="791">
        <f>IFERROR(Y175/H175,"0")+IFERROR(Y176/H176,"0")+IFERROR(Y177/H177,"0")+IFERROR(Y178/H178,"0")+IFERROR(Y179/H179,"0")</f>
        <v>0</v>
      </c>
      <c r="Z180" s="791">
        <f>IFERROR(IF(Z175="",0,Z175),"0")+IFERROR(IF(Z176="",0,Z176),"0")+IFERROR(IF(Z177="",0,Z177),"0")+IFERROR(IF(Z178="",0,Z178),"0")+IFERROR(IF(Z179="",0,Z179),"0")</f>
        <v>0</v>
      </c>
      <c r="AA180" s="792"/>
      <c r="AB180" s="792"/>
      <c r="AC180" s="792"/>
    </row>
    <row r="181" spans="1:68" x14ac:dyDescent="0.2">
      <c r="A181" s="809"/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10"/>
      <c r="P181" s="795" t="s">
        <v>71</v>
      </c>
      <c r="Q181" s="796"/>
      <c r="R181" s="796"/>
      <c r="S181" s="796"/>
      <c r="T181" s="796"/>
      <c r="U181" s="796"/>
      <c r="V181" s="797"/>
      <c r="W181" s="37" t="s">
        <v>69</v>
      </c>
      <c r="X181" s="791">
        <f>IFERROR(SUM(X175:X179),"0")</f>
        <v>0</v>
      </c>
      <c r="Y181" s="791">
        <f>IFERROR(SUM(Y175:Y179),"0")</f>
        <v>0</v>
      </c>
      <c r="Z181" s="37"/>
      <c r="AA181" s="792"/>
      <c r="AB181" s="792"/>
      <c r="AC181" s="792"/>
    </row>
    <row r="182" spans="1:68" ht="14.25" customHeight="1" x14ac:dyDescent="0.25">
      <c r="A182" s="811" t="s">
        <v>73</v>
      </c>
      <c r="B182" s="809"/>
      <c r="C182" s="809"/>
      <c r="D182" s="809"/>
      <c r="E182" s="809"/>
      <c r="F182" s="809"/>
      <c r="G182" s="809"/>
      <c r="H182" s="809"/>
      <c r="I182" s="809"/>
      <c r="J182" s="809"/>
      <c r="K182" s="809"/>
      <c r="L182" s="809"/>
      <c r="M182" s="809"/>
      <c r="N182" s="809"/>
      <c r="O182" s="809"/>
      <c r="P182" s="809"/>
      <c r="Q182" s="809"/>
      <c r="R182" s="809"/>
      <c r="S182" s="809"/>
      <c r="T182" s="809"/>
      <c r="U182" s="809"/>
      <c r="V182" s="809"/>
      <c r="W182" s="809"/>
      <c r="X182" s="809"/>
      <c r="Y182" s="809"/>
      <c r="Z182" s="809"/>
      <c r="AA182" s="785"/>
      <c r="AB182" s="785"/>
      <c r="AC182" s="785"/>
    </row>
    <row r="183" spans="1:68" ht="16.5" customHeight="1" x14ac:dyDescent="0.25">
      <c r="A183" s="54" t="s">
        <v>318</v>
      </c>
      <c r="B183" s="54" t="s">
        <v>319</v>
      </c>
      <c r="C183" s="31">
        <v>4301051653</v>
      </c>
      <c r="D183" s="793">
        <v>4607091386264</v>
      </c>
      <c r="E183" s="794"/>
      <c r="F183" s="788">
        <v>0.5</v>
      </c>
      <c r="G183" s="32">
        <v>6</v>
      </c>
      <c r="H183" s="788">
        <v>3</v>
      </c>
      <c r="I183" s="788">
        <v>3.258</v>
      </c>
      <c r="J183" s="32">
        <v>182</v>
      </c>
      <c r="K183" s="32" t="s">
        <v>76</v>
      </c>
      <c r="L183" s="32"/>
      <c r="M183" s="33" t="s">
        <v>77</v>
      </c>
      <c r="N183" s="33"/>
      <c r="O183" s="32">
        <v>31</v>
      </c>
      <c r="P183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99"/>
      <c r="R183" s="799"/>
      <c r="S183" s="799"/>
      <c r="T183" s="800"/>
      <c r="U183" s="34"/>
      <c r="V183" s="34"/>
      <c r="W183" s="35" t="s">
        <v>69</v>
      </c>
      <c r="X183" s="789">
        <v>0</v>
      </c>
      <c r="Y183" s="79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321</v>
      </c>
      <c r="B184" s="54" t="s">
        <v>322</v>
      </c>
      <c r="C184" s="31">
        <v>4301051313</v>
      </c>
      <c r="D184" s="793">
        <v>4607091385427</v>
      </c>
      <c r="E184" s="794"/>
      <c r="F184" s="788">
        <v>0.5</v>
      </c>
      <c r="G184" s="32">
        <v>6</v>
      </c>
      <c r="H184" s="788">
        <v>3</v>
      </c>
      <c r="I184" s="788">
        <v>3.2519999999999998</v>
      </c>
      <c r="J184" s="32">
        <v>182</v>
      </c>
      <c r="K184" s="32" t="s">
        <v>76</v>
      </c>
      <c r="L184" s="32"/>
      <c r="M184" s="33" t="s">
        <v>68</v>
      </c>
      <c r="N184" s="33"/>
      <c r="O184" s="32">
        <v>40</v>
      </c>
      <c r="P184" s="8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99"/>
      <c r="R184" s="799"/>
      <c r="S184" s="799"/>
      <c r="T184" s="800"/>
      <c r="U184" s="34"/>
      <c r="V184" s="34"/>
      <c r="W184" s="35" t="s">
        <v>69</v>
      </c>
      <c r="X184" s="789">
        <v>0</v>
      </c>
      <c r="Y184" s="79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323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808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795" t="s">
        <v>71</v>
      </c>
      <c r="Q185" s="796"/>
      <c r="R185" s="796"/>
      <c r="S185" s="796"/>
      <c r="T185" s="796"/>
      <c r="U185" s="796"/>
      <c r="V185" s="797"/>
      <c r="W185" s="37" t="s">
        <v>72</v>
      </c>
      <c r="X185" s="791">
        <f>IFERROR(X183/H183,"0")+IFERROR(X184/H184,"0")</f>
        <v>0</v>
      </c>
      <c r="Y185" s="791">
        <f>IFERROR(Y183/H183,"0")+IFERROR(Y184/H184,"0")</f>
        <v>0</v>
      </c>
      <c r="Z185" s="791">
        <f>IFERROR(IF(Z183="",0,Z183),"0")+IFERROR(IF(Z184="",0,Z184),"0")</f>
        <v>0</v>
      </c>
      <c r="AA185" s="792"/>
      <c r="AB185" s="792"/>
      <c r="AC185" s="792"/>
    </row>
    <row r="186" spans="1:68" x14ac:dyDescent="0.2">
      <c r="A186" s="809"/>
      <c r="B186" s="809"/>
      <c r="C186" s="809"/>
      <c r="D186" s="809"/>
      <c r="E186" s="809"/>
      <c r="F186" s="809"/>
      <c r="G186" s="809"/>
      <c r="H186" s="809"/>
      <c r="I186" s="809"/>
      <c r="J186" s="809"/>
      <c r="K186" s="809"/>
      <c r="L186" s="809"/>
      <c r="M186" s="809"/>
      <c r="N186" s="809"/>
      <c r="O186" s="810"/>
      <c r="P186" s="795" t="s">
        <v>71</v>
      </c>
      <c r="Q186" s="796"/>
      <c r="R186" s="796"/>
      <c r="S186" s="796"/>
      <c r="T186" s="796"/>
      <c r="U186" s="796"/>
      <c r="V186" s="797"/>
      <c r="W186" s="37" t="s">
        <v>69</v>
      </c>
      <c r="X186" s="791">
        <f>IFERROR(SUM(X183:X184),"0")</f>
        <v>0</v>
      </c>
      <c r="Y186" s="791">
        <f>IFERROR(SUM(Y183:Y184),"0")</f>
        <v>0</v>
      </c>
      <c r="Z186" s="37"/>
      <c r="AA186" s="792"/>
      <c r="AB186" s="792"/>
      <c r="AC186" s="792"/>
    </row>
    <row r="187" spans="1:68" ht="27.75" customHeight="1" x14ac:dyDescent="0.2">
      <c r="A187" s="911" t="s">
        <v>324</v>
      </c>
      <c r="B187" s="912"/>
      <c r="C187" s="912"/>
      <c r="D187" s="912"/>
      <c r="E187" s="912"/>
      <c r="F187" s="912"/>
      <c r="G187" s="912"/>
      <c r="H187" s="912"/>
      <c r="I187" s="912"/>
      <c r="J187" s="912"/>
      <c r="K187" s="912"/>
      <c r="L187" s="912"/>
      <c r="M187" s="912"/>
      <c r="N187" s="912"/>
      <c r="O187" s="912"/>
      <c r="P187" s="912"/>
      <c r="Q187" s="912"/>
      <c r="R187" s="912"/>
      <c r="S187" s="912"/>
      <c r="T187" s="912"/>
      <c r="U187" s="912"/>
      <c r="V187" s="912"/>
      <c r="W187" s="912"/>
      <c r="X187" s="912"/>
      <c r="Y187" s="912"/>
      <c r="Z187" s="912"/>
      <c r="AA187" s="48"/>
      <c r="AB187" s="48"/>
      <c r="AC187" s="48"/>
    </row>
    <row r="188" spans="1:68" ht="16.5" customHeight="1" x14ac:dyDescent="0.25">
      <c r="A188" s="839" t="s">
        <v>325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84"/>
      <c r="AB188" s="784"/>
      <c r="AC188" s="784"/>
    </row>
    <row r="189" spans="1:68" ht="14.25" customHeight="1" x14ac:dyDescent="0.25">
      <c r="A189" s="811" t="s">
        <v>166</v>
      </c>
      <c r="B189" s="809"/>
      <c r="C189" s="809"/>
      <c r="D189" s="809"/>
      <c r="E189" s="809"/>
      <c r="F189" s="809"/>
      <c r="G189" s="809"/>
      <c r="H189" s="809"/>
      <c r="I189" s="809"/>
      <c r="J189" s="809"/>
      <c r="K189" s="809"/>
      <c r="L189" s="809"/>
      <c r="M189" s="809"/>
      <c r="N189" s="809"/>
      <c r="O189" s="809"/>
      <c r="P189" s="809"/>
      <c r="Q189" s="809"/>
      <c r="R189" s="809"/>
      <c r="S189" s="809"/>
      <c r="T189" s="809"/>
      <c r="U189" s="809"/>
      <c r="V189" s="809"/>
      <c r="W189" s="809"/>
      <c r="X189" s="809"/>
      <c r="Y189" s="809"/>
      <c r="Z189" s="809"/>
      <c r="AA189" s="785"/>
      <c r="AB189" s="785"/>
      <c r="AC189" s="785"/>
    </row>
    <row r="190" spans="1:68" ht="27" customHeight="1" x14ac:dyDescent="0.25">
      <c r="A190" s="54" t="s">
        <v>326</v>
      </c>
      <c r="B190" s="54" t="s">
        <v>327</v>
      </c>
      <c r="C190" s="31">
        <v>4301020323</v>
      </c>
      <c r="D190" s="793">
        <v>4680115886223</v>
      </c>
      <c r="E190" s="794"/>
      <c r="F190" s="788">
        <v>0.33</v>
      </c>
      <c r="G190" s="32">
        <v>6</v>
      </c>
      <c r="H190" s="788">
        <v>1.98</v>
      </c>
      <c r="I190" s="78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99"/>
      <c r="R190" s="799"/>
      <c r="S190" s="799"/>
      <c r="T190" s="800"/>
      <c r="U190" s="34"/>
      <c r="V190" s="34"/>
      <c r="W190" s="35" t="s">
        <v>69</v>
      </c>
      <c r="X190" s="789">
        <v>0</v>
      </c>
      <c r="Y190" s="79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328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808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795" t="s">
        <v>71</v>
      </c>
      <c r="Q191" s="796"/>
      <c r="R191" s="796"/>
      <c r="S191" s="796"/>
      <c r="T191" s="796"/>
      <c r="U191" s="796"/>
      <c r="V191" s="797"/>
      <c r="W191" s="37" t="s">
        <v>72</v>
      </c>
      <c r="X191" s="791">
        <f>IFERROR(X190/H190,"0")</f>
        <v>0</v>
      </c>
      <c r="Y191" s="791">
        <f>IFERROR(Y190/H190,"0")</f>
        <v>0</v>
      </c>
      <c r="Z191" s="791">
        <f>IFERROR(IF(Z190="",0,Z190),"0")</f>
        <v>0</v>
      </c>
      <c r="AA191" s="792"/>
      <c r="AB191" s="792"/>
      <c r="AC191" s="792"/>
    </row>
    <row r="192" spans="1:68" x14ac:dyDescent="0.2">
      <c r="A192" s="809"/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10"/>
      <c r="P192" s="795" t="s">
        <v>71</v>
      </c>
      <c r="Q192" s="796"/>
      <c r="R192" s="796"/>
      <c r="S192" s="796"/>
      <c r="T192" s="796"/>
      <c r="U192" s="796"/>
      <c r="V192" s="797"/>
      <c r="W192" s="37" t="s">
        <v>69</v>
      </c>
      <c r="X192" s="791">
        <f>IFERROR(SUM(X190:X190),"0")</f>
        <v>0</v>
      </c>
      <c r="Y192" s="791">
        <f>IFERROR(SUM(Y190:Y190),"0")</f>
        <v>0</v>
      </c>
      <c r="Z192" s="37"/>
      <c r="AA192" s="792"/>
      <c r="AB192" s="792"/>
      <c r="AC192" s="792"/>
    </row>
    <row r="193" spans="1:68" ht="14.25" customHeight="1" x14ac:dyDescent="0.25">
      <c r="A193" s="811" t="s">
        <v>64</v>
      </c>
      <c r="B193" s="809"/>
      <c r="C193" s="809"/>
      <c r="D193" s="809"/>
      <c r="E193" s="809"/>
      <c r="F193" s="809"/>
      <c r="G193" s="809"/>
      <c r="H193" s="809"/>
      <c r="I193" s="809"/>
      <c r="J193" s="809"/>
      <c r="K193" s="809"/>
      <c r="L193" s="809"/>
      <c r="M193" s="809"/>
      <c r="N193" s="809"/>
      <c r="O193" s="809"/>
      <c r="P193" s="809"/>
      <c r="Q193" s="809"/>
      <c r="R193" s="809"/>
      <c r="S193" s="809"/>
      <c r="T193" s="809"/>
      <c r="U193" s="809"/>
      <c r="V193" s="809"/>
      <c r="W193" s="809"/>
      <c r="X193" s="809"/>
      <c r="Y193" s="809"/>
      <c r="Z193" s="809"/>
      <c r="AA193" s="785"/>
      <c r="AB193" s="785"/>
      <c r="AC193" s="785"/>
    </row>
    <row r="194" spans="1:68" ht="27" customHeight="1" x14ac:dyDescent="0.25">
      <c r="A194" s="54" t="s">
        <v>329</v>
      </c>
      <c r="B194" s="54" t="s">
        <v>330</v>
      </c>
      <c r="C194" s="31">
        <v>4301031191</v>
      </c>
      <c r="D194" s="793">
        <v>4680115880993</v>
      </c>
      <c r="E194" s="794"/>
      <c r="F194" s="788">
        <v>0.7</v>
      </c>
      <c r="G194" s="32">
        <v>6</v>
      </c>
      <c r="H194" s="788">
        <v>4.2</v>
      </c>
      <c r="I194" s="78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99"/>
      <c r="R194" s="799"/>
      <c r="S194" s="799"/>
      <c r="T194" s="800"/>
      <c r="U194" s="34"/>
      <c r="V194" s="34"/>
      <c r="W194" s="35" t="s">
        <v>69</v>
      </c>
      <c r="X194" s="789">
        <v>30</v>
      </c>
      <c r="Y194" s="790">
        <f t="shared" ref="Y194:Y201" si="36">IFERROR(IF(X194="",0,CEILING((X194/$H194),1)*$H194),"")</f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31.928571428571427</v>
      </c>
      <c r="BN194" s="64">
        <f t="shared" ref="BN194:BN201" si="38">IFERROR(Y194*I194/H194,"0")</f>
        <v>35.76</v>
      </c>
      <c r="BO194" s="64">
        <f t="shared" ref="BO194:BO201" si="39">IFERROR(1/J194*(X194/H194),"0")</f>
        <v>5.4112554112554112E-2</v>
      </c>
      <c r="BP194" s="64">
        <f t="shared" ref="BP194:BP201" si="40">IFERROR(1/J194*(Y194/H194),"0")</f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4301031204</v>
      </c>
      <c r="D195" s="793">
        <v>4680115881761</v>
      </c>
      <c r="E195" s="794"/>
      <c r="F195" s="788">
        <v>0.7</v>
      </c>
      <c r="G195" s="32">
        <v>6</v>
      </c>
      <c r="H195" s="788">
        <v>4.2</v>
      </c>
      <c r="I195" s="788">
        <v>4.47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99"/>
      <c r="R195" s="799"/>
      <c r="S195" s="799"/>
      <c r="T195" s="800"/>
      <c r="U195" s="34"/>
      <c r="V195" s="34"/>
      <c r="W195" s="35" t="s">
        <v>69</v>
      </c>
      <c r="X195" s="789">
        <v>0</v>
      </c>
      <c r="Y195" s="79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335</v>
      </c>
      <c r="B196" s="54" t="s">
        <v>336</v>
      </c>
      <c r="C196" s="31">
        <v>4301031201</v>
      </c>
      <c r="D196" s="793">
        <v>4680115881563</v>
      </c>
      <c r="E196" s="794"/>
      <c r="F196" s="788">
        <v>0.7</v>
      </c>
      <c r="G196" s="32">
        <v>6</v>
      </c>
      <c r="H196" s="788">
        <v>4.2</v>
      </c>
      <c r="I196" s="788">
        <v>4.41</v>
      </c>
      <c r="J196" s="32">
        <v>132</v>
      </c>
      <c r="K196" s="32" t="s">
        <v>126</v>
      </c>
      <c r="L196" s="32"/>
      <c r="M196" s="33" t="s">
        <v>68</v>
      </c>
      <c r="N196" s="33"/>
      <c r="O196" s="32">
        <v>40</v>
      </c>
      <c r="P196" s="11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99"/>
      <c r="R196" s="799"/>
      <c r="S196" s="799"/>
      <c r="T196" s="800"/>
      <c r="U196" s="34"/>
      <c r="V196" s="34"/>
      <c r="W196" s="35" t="s">
        <v>69</v>
      </c>
      <c r="X196" s="789">
        <v>80</v>
      </c>
      <c r="Y196" s="790">
        <f t="shared" si="36"/>
        <v>84</v>
      </c>
      <c r="Z196" s="36">
        <f>IFERROR(IF(Y196=0,"",ROUNDUP(Y196/H196,0)*0.00902),"")</f>
        <v>0.1804</v>
      </c>
      <c r="AA196" s="56"/>
      <c r="AB196" s="57"/>
      <c r="AC196" s="255" t="s">
        <v>337</v>
      </c>
      <c r="AG196" s="64"/>
      <c r="AJ196" s="68"/>
      <c r="AK196" s="68">
        <v>0</v>
      </c>
      <c r="BB196" s="256" t="s">
        <v>1</v>
      </c>
      <c r="BM196" s="64">
        <f t="shared" si="37"/>
        <v>84</v>
      </c>
      <c r="BN196" s="64">
        <f t="shared" si="38"/>
        <v>88.199999999999989</v>
      </c>
      <c r="BO196" s="64">
        <f t="shared" si="39"/>
        <v>0.14430014430014429</v>
      </c>
      <c r="BP196" s="64">
        <f t="shared" si="40"/>
        <v>0.15151515151515152</v>
      </c>
    </row>
    <row r="197" spans="1:68" ht="27" customHeight="1" x14ac:dyDescent="0.25">
      <c r="A197" s="54" t="s">
        <v>338</v>
      </c>
      <c r="B197" s="54" t="s">
        <v>339</v>
      </c>
      <c r="C197" s="31">
        <v>4301031199</v>
      </c>
      <c r="D197" s="793">
        <v>4680115880986</v>
      </c>
      <c r="E197" s="794"/>
      <c r="F197" s="788">
        <v>0.35</v>
      </c>
      <c r="G197" s="32">
        <v>6</v>
      </c>
      <c r="H197" s="788">
        <v>2.1</v>
      </c>
      <c r="I197" s="78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99"/>
      <c r="R197" s="799"/>
      <c r="S197" s="799"/>
      <c r="T197" s="800"/>
      <c r="U197" s="34"/>
      <c r="V197" s="34"/>
      <c r="W197" s="35" t="s">
        <v>69</v>
      </c>
      <c r="X197" s="789">
        <v>175</v>
      </c>
      <c r="Y197" s="790">
        <f t="shared" si="36"/>
        <v>176.4</v>
      </c>
      <c r="Z197" s="36">
        <f>IFERROR(IF(Y197=0,"",ROUNDUP(Y197/H197,0)*0.00502),"")</f>
        <v>0.42168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185.83333333333331</v>
      </c>
      <c r="BN197" s="64">
        <f t="shared" si="38"/>
        <v>187.32</v>
      </c>
      <c r="BO197" s="64">
        <f t="shared" si="39"/>
        <v>0.35612535612535612</v>
      </c>
      <c r="BP197" s="64">
        <f t="shared" si="40"/>
        <v>0.35897435897435903</v>
      </c>
    </row>
    <row r="198" spans="1:68" ht="27" customHeight="1" x14ac:dyDescent="0.25">
      <c r="A198" s="54" t="s">
        <v>340</v>
      </c>
      <c r="B198" s="54" t="s">
        <v>341</v>
      </c>
      <c r="C198" s="31">
        <v>4301031205</v>
      </c>
      <c r="D198" s="793">
        <v>4680115881785</v>
      </c>
      <c r="E198" s="794"/>
      <c r="F198" s="788">
        <v>0.35</v>
      </c>
      <c r="G198" s="32">
        <v>6</v>
      </c>
      <c r="H198" s="788">
        <v>2.1</v>
      </c>
      <c r="I198" s="78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99"/>
      <c r="R198" s="799"/>
      <c r="S198" s="799"/>
      <c r="T198" s="800"/>
      <c r="U198" s="34"/>
      <c r="V198" s="34"/>
      <c r="W198" s="35" t="s">
        <v>69</v>
      </c>
      <c r="X198" s="789">
        <v>210</v>
      </c>
      <c r="Y198" s="790">
        <f t="shared" si="36"/>
        <v>210</v>
      </c>
      <c r="Z198" s="36">
        <f>IFERROR(IF(Y198=0,"",ROUNDUP(Y198/H198,0)*0.00502),"")</f>
        <v>0.502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223</v>
      </c>
      <c r="BN198" s="64">
        <f t="shared" si="38"/>
        <v>223</v>
      </c>
      <c r="BO198" s="64">
        <f t="shared" si="39"/>
        <v>0.42735042735042739</v>
      </c>
      <c r="BP198" s="64">
        <f t="shared" si="40"/>
        <v>0.42735042735042739</v>
      </c>
    </row>
    <row r="199" spans="1:68" ht="27" customHeight="1" x14ac:dyDescent="0.25">
      <c r="A199" s="54" t="s">
        <v>342</v>
      </c>
      <c r="B199" s="54" t="s">
        <v>343</v>
      </c>
      <c r="C199" s="31">
        <v>4301031202</v>
      </c>
      <c r="D199" s="793">
        <v>4680115881679</v>
      </c>
      <c r="E199" s="794"/>
      <c r="F199" s="788">
        <v>0.35</v>
      </c>
      <c r="G199" s="32">
        <v>6</v>
      </c>
      <c r="H199" s="788">
        <v>2.1</v>
      </c>
      <c r="I199" s="78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2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99"/>
      <c r="R199" s="799"/>
      <c r="S199" s="799"/>
      <c r="T199" s="800"/>
      <c r="U199" s="34"/>
      <c r="V199" s="34"/>
      <c r="W199" s="35" t="s">
        <v>69</v>
      </c>
      <c r="X199" s="789">
        <v>280</v>
      </c>
      <c r="Y199" s="790">
        <f t="shared" si="36"/>
        <v>281.40000000000003</v>
      </c>
      <c r="Z199" s="36">
        <f>IFERROR(IF(Y199=0,"",ROUNDUP(Y199/H199,0)*0.00502),"")</f>
        <v>0.67268000000000006</v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293.33333333333331</v>
      </c>
      <c r="BN199" s="64">
        <f t="shared" si="38"/>
        <v>294.80000000000007</v>
      </c>
      <c r="BO199" s="64">
        <f t="shared" si="39"/>
        <v>0.56980056980056981</v>
      </c>
      <c r="BP199" s="64">
        <f t="shared" si="40"/>
        <v>0.57264957264957272</v>
      </c>
    </row>
    <row r="200" spans="1:68" ht="27" customHeight="1" x14ac:dyDescent="0.25">
      <c r="A200" s="54" t="s">
        <v>344</v>
      </c>
      <c r="B200" s="54" t="s">
        <v>345</v>
      </c>
      <c r="C200" s="31">
        <v>4301031158</v>
      </c>
      <c r="D200" s="793">
        <v>4680115880191</v>
      </c>
      <c r="E200" s="794"/>
      <c r="F200" s="788">
        <v>0.4</v>
      </c>
      <c r="G200" s="32">
        <v>6</v>
      </c>
      <c r="H200" s="788">
        <v>2.4</v>
      </c>
      <c r="I200" s="788">
        <v>2.58</v>
      </c>
      <c r="J200" s="32">
        <v>182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99"/>
      <c r="R200" s="799"/>
      <c r="S200" s="799"/>
      <c r="T200" s="800"/>
      <c r="U200" s="34"/>
      <c r="V200" s="34"/>
      <c r="W200" s="35" t="s">
        <v>69</v>
      </c>
      <c r="X200" s="789">
        <v>0</v>
      </c>
      <c r="Y200" s="790">
        <f t="shared" si="36"/>
        <v>0</v>
      </c>
      <c r="Z200" s="36" t="str">
        <f>IFERROR(IF(Y200=0,"",ROUNDUP(Y200/H200,0)*0.00651),"")</f>
        <v/>
      </c>
      <c r="AA200" s="56"/>
      <c r="AB200" s="57"/>
      <c r="AC200" s="263" t="s">
        <v>337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346</v>
      </c>
      <c r="B201" s="54" t="s">
        <v>347</v>
      </c>
      <c r="C201" s="31">
        <v>4301031245</v>
      </c>
      <c r="D201" s="793">
        <v>4680115883963</v>
      </c>
      <c r="E201" s="794"/>
      <c r="F201" s="788">
        <v>0.28000000000000003</v>
      </c>
      <c r="G201" s="32">
        <v>6</v>
      </c>
      <c r="H201" s="788">
        <v>1.68</v>
      </c>
      <c r="I201" s="78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99"/>
      <c r="R201" s="799"/>
      <c r="S201" s="799"/>
      <c r="T201" s="800"/>
      <c r="U201" s="34"/>
      <c r="V201" s="34"/>
      <c r="W201" s="35" t="s">
        <v>69</v>
      </c>
      <c r="X201" s="789">
        <v>0</v>
      </c>
      <c r="Y201" s="790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808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795" t="s">
        <v>71</v>
      </c>
      <c r="Q202" s="796"/>
      <c r="R202" s="796"/>
      <c r="S202" s="796"/>
      <c r="T202" s="796"/>
      <c r="U202" s="796"/>
      <c r="V202" s="797"/>
      <c r="W202" s="37" t="s">
        <v>72</v>
      </c>
      <c r="X202" s="791">
        <f>IFERROR(X194/H194,"0")+IFERROR(X195/H195,"0")+IFERROR(X196/H196,"0")+IFERROR(X197/H197,"0")+IFERROR(X198/H198,"0")+IFERROR(X199/H199,"0")+IFERROR(X200/H200,"0")+IFERROR(X201/H201,"0")</f>
        <v>342.85714285714283</v>
      </c>
      <c r="Y202" s="791">
        <f>IFERROR(Y194/H194,"0")+IFERROR(Y195/H195,"0")+IFERROR(Y196/H196,"0")+IFERROR(Y197/H197,"0")+IFERROR(Y198/H198,"0")+IFERROR(Y199/H199,"0")+IFERROR(Y200/H200,"0")+IFERROR(Y201/H201,"0")</f>
        <v>346</v>
      </c>
      <c r="Z202" s="79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1.8489200000000001</v>
      </c>
      <c r="AA202" s="792"/>
      <c r="AB202" s="792"/>
      <c r="AC202" s="792"/>
    </row>
    <row r="203" spans="1:68" x14ac:dyDescent="0.2">
      <c r="A203" s="809"/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10"/>
      <c r="P203" s="795" t="s">
        <v>71</v>
      </c>
      <c r="Q203" s="796"/>
      <c r="R203" s="796"/>
      <c r="S203" s="796"/>
      <c r="T203" s="796"/>
      <c r="U203" s="796"/>
      <c r="V203" s="797"/>
      <c r="W203" s="37" t="s">
        <v>69</v>
      </c>
      <c r="X203" s="791">
        <f>IFERROR(SUM(X194:X201),"0")</f>
        <v>775</v>
      </c>
      <c r="Y203" s="791">
        <f>IFERROR(SUM(Y194:Y201),"0")</f>
        <v>785.40000000000009</v>
      </c>
      <c r="Z203" s="37"/>
      <c r="AA203" s="792"/>
      <c r="AB203" s="792"/>
      <c r="AC203" s="792"/>
    </row>
    <row r="204" spans="1:68" ht="16.5" customHeight="1" x14ac:dyDescent="0.25">
      <c r="A204" s="839" t="s">
        <v>349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84"/>
      <c r="AB204" s="784"/>
      <c r="AC204" s="784"/>
    </row>
    <row r="205" spans="1:68" ht="14.25" customHeight="1" x14ac:dyDescent="0.25">
      <c r="A205" s="811" t="s">
        <v>113</v>
      </c>
      <c r="B205" s="809"/>
      <c r="C205" s="809"/>
      <c r="D205" s="809"/>
      <c r="E205" s="809"/>
      <c r="F205" s="809"/>
      <c r="G205" s="809"/>
      <c r="H205" s="809"/>
      <c r="I205" s="809"/>
      <c r="J205" s="809"/>
      <c r="K205" s="809"/>
      <c r="L205" s="809"/>
      <c r="M205" s="809"/>
      <c r="N205" s="809"/>
      <c r="O205" s="809"/>
      <c r="P205" s="809"/>
      <c r="Q205" s="809"/>
      <c r="R205" s="809"/>
      <c r="S205" s="809"/>
      <c r="T205" s="809"/>
      <c r="U205" s="809"/>
      <c r="V205" s="809"/>
      <c r="W205" s="809"/>
      <c r="X205" s="809"/>
      <c r="Y205" s="809"/>
      <c r="Z205" s="809"/>
      <c r="AA205" s="785"/>
      <c r="AB205" s="785"/>
      <c r="AC205" s="785"/>
    </row>
    <row r="206" spans="1:68" ht="16.5" customHeight="1" x14ac:dyDescent="0.25">
      <c r="A206" s="54" t="s">
        <v>350</v>
      </c>
      <c r="B206" s="54" t="s">
        <v>351</v>
      </c>
      <c r="C206" s="31">
        <v>4301011450</v>
      </c>
      <c r="D206" s="793">
        <v>4680115881402</v>
      </c>
      <c r="E206" s="794"/>
      <c r="F206" s="788">
        <v>1.35</v>
      </c>
      <c r="G206" s="32">
        <v>8</v>
      </c>
      <c r="H206" s="788">
        <v>10.8</v>
      </c>
      <c r="I206" s="78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99"/>
      <c r="R206" s="799"/>
      <c r="S206" s="799"/>
      <c r="T206" s="800"/>
      <c r="U206" s="34"/>
      <c r="V206" s="34"/>
      <c r="W206" s="35" t="s">
        <v>69</v>
      </c>
      <c r="X206" s="789">
        <v>0</v>
      </c>
      <c r="Y206" s="79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353</v>
      </c>
      <c r="B207" s="54" t="s">
        <v>354</v>
      </c>
      <c r="C207" s="31">
        <v>4301011767</v>
      </c>
      <c r="D207" s="793">
        <v>4680115881396</v>
      </c>
      <c r="E207" s="794"/>
      <c r="F207" s="788">
        <v>0.45</v>
      </c>
      <c r="G207" s="32">
        <v>6</v>
      </c>
      <c r="H207" s="788">
        <v>2.7</v>
      </c>
      <c r="I207" s="788">
        <v>2.88</v>
      </c>
      <c r="J207" s="32">
        <v>182</v>
      </c>
      <c r="K207" s="32" t="s">
        <v>76</v>
      </c>
      <c r="L207" s="32"/>
      <c r="M207" s="33" t="s">
        <v>68</v>
      </c>
      <c r="N207" s="33"/>
      <c r="O207" s="32">
        <v>55</v>
      </c>
      <c r="P207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99"/>
      <c r="R207" s="799"/>
      <c r="S207" s="799"/>
      <c r="T207" s="800"/>
      <c r="U207" s="34"/>
      <c r="V207" s="34"/>
      <c r="W207" s="35" t="s">
        <v>69</v>
      </c>
      <c r="X207" s="789">
        <v>0</v>
      </c>
      <c r="Y207" s="790">
        <f>IFERROR(IF(X207="",0,CEILING((X207/$H207),1)*$H207),"")</f>
        <v>0</v>
      </c>
      <c r="Z207" s="36" t="str">
        <f>IFERROR(IF(Y207=0,"",ROUNDUP(Y207/H207,0)*0.00651),"")</f>
        <v/>
      </c>
      <c r="AA207" s="56"/>
      <c r="AB207" s="57"/>
      <c r="AC207" s="269" t="s">
        <v>355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808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795" t="s">
        <v>71</v>
      </c>
      <c r="Q208" s="796"/>
      <c r="R208" s="796"/>
      <c r="S208" s="796"/>
      <c r="T208" s="796"/>
      <c r="U208" s="796"/>
      <c r="V208" s="797"/>
      <c r="W208" s="37" t="s">
        <v>72</v>
      </c>
      <c r="X208" s="791">
        <f>IFERROR(X206/H206,"0")+IFERROR(X207/H207,"0")</f>
        <v>0</v>
      </c>
      <c r="Y208" s="791">
        <f>IFERROR(Y206/H206,"0")+IFERROR(Y207/H207,"0")</f>
        <v>0</v>
      </c>
      <c r="Z208" s="791">
        <f>IFERROR(IF(Z206="",0,Z206),"0")+IFERROR(IF(Z207="",0,Z207),"0")</f>
        <v>0</v>
      </c>
      <c r="AA208" s="792"/>
      <c r="AB208" s="792"/>
      <c r="AC208" s="792"/>
    </row>
    <row r="209" spans="1:68" x14ac:dyDescent="0.2">
      <c r="A209" s="809"/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10"/>
      <c r="P209" s="795" t="s">
        <v>71</v>
      </c>
      <c r="Q209" s="796"/>
      <c r="R209" s="796"/>
      <c r="S209" s="796"/>
      <c r="T209" s="796"/>
      <c r="U209" s="796"/>
      <c r="V209" s="797"/>
      <c r="W209" s="37" t="s">
        <v>69</v>
      </c>
      <c r="X209" s="791">
        <f>IFERROR(SUM(X206:X207),"0")</f>
        <v>0</v>
      </c>
      <c r="Y209" s="791">
        <f>IFERROR(SUM(Y206:Y207),"0")</f>
        <v>0</v>
      </c>
      <c r="Z209" s="37"/>
      <c r="AA209" s="792"/>
      <c r="AB209" s="792"/>
      <c r="AC209" s="792"/>
    </row>
    <row r="210" spans="1:68" ht="14.25" customHeight="1" x14ac:dyDescent="0.25">
      <c r="A210" s="811" t="s">
        <v>166</v>
      </c>
      <c r="B210" s="809"/>
      <c r="C210" s="809"/>
      <c r="D210" s="809"/>
      <c r="E210" s="809"/>
      <c r="F210" s="809"/>
      <c r="G210" s="809"/>
      <c r="H210" s="809"/>
      <c r="I210" s="809"/>
      <c r="J210" s="809"/>
      <c r="K210" s="809"/>
      <c r="L210" s="809"/>
      <c r="M210" s="809"/>
      <c r="N210" s="809"/>
      <c r="O210" s="809"/>
      <c r="P210" s="809"/>
      <c r="Q210" s="809"/>
      <c r="R210" s="809"/>
      <c r="S210" s="809"/>
      <c r="T210" s="809"/>
      <c r="U210" s="809"/>
      <c r="V210" s="809"/>
      <c r="W210" s="809"/>
      <c r="X210" s="809"/>
      <c r="Y210" s="809"/>
      <c r="Z210" s="809"/>
      <c r="AA210" s="785"/>
      <c r="AB210" s="785"/>
      <c r="AC210" s="785"/>
    </row>
    <row r="211" spans="1:68" ht="16.5" customHeight="1" x14ac:dyDescent="0.25">
      <c r="A211" s="54" t="s">
        <v>356</v>
      </c>
      <c r="B211" s="54" t="s">
        <v>357</v>
      </c>
      <c r="C211" s="31">
        <v>4301020262</v>
      </c>
      <c r="D211" s="793">
        <v>4680115882935</v>
      </c>
      <c r="E211" s="794"/>
      <c r="F211" s="788">
        <v>1.35</v>
      </c>
      <c r="G211" s="32">
        <v>8</v>
      </c>
      <c r="H211" s="788">
        <v>10.8</v>
      </c>
      <c r="I211" s="788">
        <v>11.28</v>
      </c>
      <c r="J211" s="32">
        <v>56</v>
      </c>
      <c r="K211" s="32" t="s">
        <v>116</v>
      </c>
      <c r="L211" s="32"/>
      <c r="M211" s="33" t="s">
        <v>77</v>
      </c>
      <c r="N211" s="33"/>
      <c r="O211" s="32">
        <v>50</v>
      </c>
      <c r="P211" s="10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99"/>
      <c r="R211" s="799"/>
      <c r="S211" s="799"/>
      <c r="T211" s="800"/>
      <c r="U211" s="34"/>
      <c r="V211" s="34"/>
      <c r="W211" s="35" t="s">
        <v>69</v>
      </c>
      <c r="X211" s="789">
        <v>0</v>
      </c>
      <c r="Y211" s="79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359</v>
      </c>
      <c r="B212" s="54" t="s">
        <v>360</v>
      </c>
      <c r="C212" s="31">
        <v>4301020220</v>
      </c>
      <c r="D212" s="793">
        <v>4680115880764</v>
      </c>
      <c r="E212" s="794"/>
      <c r="F212" s="788">
        <v>0.35</v>
      </c>
      <c r="G212" s="32">
        <v>6</v>
      </c>
      <c r="H212" s="788">
        <v>2.1</v>
      </c>
      <c r="I212" s="788">
        <v>2.2799999999999998</v>
      </c>
      <c r="J212" s="32">
        <v>182</v>
      </c>
      <c r="K212" s="32" t="s">
        <v>76</v>
      </c>
      <c r="L212" s="32"/>
      <c r="M212" s="33" t="s">
        <v>117</v>
      </c>
      <c r="N212" s="33"/>
      <c r="O212" s="32">
        <v>50</v>
      </c>
      <c r="P212" s="10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99"/>
      <c r="R212" s="799"/>
      <c r="S212" s="799"/>
      <c r="T212" s="800"/>
      <c r="U212" s="34"/>
      <c r="V212" s="34"/>
      <c r="W212" s="35" t="s">
        <v>69</v>
      </c>
      <c r="X212" s="789">
        <v>0</v>
      </c>
      <c r="Y212" s="790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358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808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795" t="s">
        <v>71</v>
      </c>
      <c r="Q213" s="796"/>
      <c r="R213" s="796"/>
      <c r="S213" s="796"/>
      <c r="T213" s="796"/>
      <c r="U213" s="796"/>
      <c r="V213" s="797"/>
      <c r="W213" s="37" t="s">
        <v>72</v>
      </c>
      <c r="X213" s="791">
        <f>IFERROR(X211/H211,"0")+IFERROR(X212/H212,"0")</f>
        <v>0</v>
      </c>
      <c r="Y213" s="791">
        <f>IFERROR(Y211/H211,"0")+IFERROR(Y212/H212,"0")</f>
        <v>0</v>
      </c>
      <c r="Z213" s="791">
        <f>IFERROR(IF(Z211="",0,Z211),"0")+IFERROR(IF(Z212="",0,Z212),"0")</f>
        <v>0</v>
      </c>
      <c r="AA213" s="792"/>
      <c r="AB213" s="792"/>
      <c r="AC213" s="792"/>
    </row>
    <row r="214" spans="1:68" x14ac:dyDescent="0.2">
      <c r="A214" s="809"/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10"/>
      <c r="P214" s="795" t="s">
        <v>71</v>
      </c>
      <c r="Q214" s="796"/>
      <c r="R214" s="796"/>
      <c r="S214" s="796"/>
      <c r="T214" s="796"/>
      <c r="U214" s="796"/>
      <c r="V214" s="797"/>
      <c r="W214" s="37" t="s">
        <v>69</v>
      </c>
      <c r="X214" s="791">
        <f>IFERROR(SUM(X211:X212),"0")</f>
        <v>0</v>
      </c>
      <c r="Y214" s="791">
        <f>IFERROR(SUM(Y211:Y212),"0")</f>
        <v>0</v>
      </c>
      <c r="Z214" s="37"/>
      <c r="AA214" s="792"/>
      <c r="AB214" s="792"/>
      <c r="AC214" s="792"/>
    </row>
    <row r="215" spans="1:68" ht="14.25" customHeight="1" x14ac:dyDescent="0.25">
      <c r="A215" s="811" t="s">
        <v>64</v>
      </c>
      <c r="B215" s="809"/>
      <c r="C215" s="809"/>
      <c r="D215" s="809"/>
      <c r="E215" s="809"/>
      <c r="F215" s="809"/>
      <c r="G215" s="809"/>
      <c r="H215" s="809"/>
      <c r="I215" s="809"/>
      <c r="J215" s="809"/>
      <c r="K215" s="809"/>
      <c r="L215" s="809"/>
      <c r="M215" s="809"/>
      <c r="N215" s="809"/>
      <c r="O215" s="809"/>
      <c r="P215" s="809"/>
      <c r="Q215" s="809"/>
      <c r="R215" s="809"/>
      <c r="S215" s="809"/>
      <c r="T215" s="809"/>
      <c r="U215" s="809"/>
      <c r="V215" s="809"/>
      <c r="W215" s="809"/>
      <c r="X215" s="809"/>
      <c r="Y215" s="809"/>
      <c r="Z215" s="809"/>
      <c r="AA215" s="785"/>
      <c r="AB215" s="785"/>
      <c r="AC215" s="785"/>
    </row>
    <row r="216" spans="1:68" ht="27" customHeight="1" x14ac:dyDescent="0.25">
      <c r="A216" s="54" t="s">
        <v>361</v>
      </c>
      <c r="B216" s="54" t="s">
        <v>362</v>
      </c>
      <c r="C216" s="31">
        <v>4301031224</v>
      </c>
      <c r="D216" s="793">
        <v>4680115882683</v>
      </c>
      <c r="E216" s="794"/>
      <c r="F216" s="788">
        <v>0.9</v>
      </c>
      <c r="G216" s="32">
        <v>6</v>
      </c>
      <c r="H216" s="788">
        <v>5.4</v>
      </c>
      <c r="I216" s="78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99"/>
      <c r="R216" s="799"/>
      <c r="S216" s="799"/>
      <c r="T216" s="800"/>
      <c r="U216" s="34"/>
      <c r="V216" s="34"/>
      <c r="W216" s="35" t="s">
        <v>69</v>
      </c>
      <c r="X216" s="789">
        <v>120</v>
      </c>
      <c r="Y216" s="790">
        <f t="shared" ref="Y216:Y223" si="41">IFERROR(IF(X216="",0,CEILING((X216/$H216),1)*$H216),"")</f>
        <v>124.2</v>
      </c>
      <c r="Z216" s="36">
        <f>IFERROR(IF(Y216=0,"",ROUNDUP(Y216/H216,0)*0.00902),"")</f>
        <v>0.20746000000000001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124.66666666666667</v>
      </c>
      <c r="BN216" s="64">
        <f t="shared" ref="BN216:BN223" si="43">IFERROR(Y216*I216/H216,"0")</f>
        <v>129.03</v>
      </c>
      <c r="BO216" s="64">
        <f t="shared" ref="BO216:BO223" si="44">IFERROR(1/J216*(X216/H216),"0")</f>
        <v>0.16835016835016836</v>
      </c>
      <c r="BP216" s="64">
        <f t="shared" ref="BP216:BP223" si="45">IFERROR(1/J216*(Y216/H216),"0")</f>
        <v>0.17424242424242425</v>
      </c>
    </row>
    <row r="217" spans="1:68" ht="27" customHeight="1" x14ac:dyDescent="0.25">
      <c r="A217" s="54" t="s">
        <v>364</v>
      </c>
      <c r="B217" s="54" t="s">
        <v>365</v>
      </c>
      <c r="C217" s="31">
        <v>4301031230</v>
      </c>
      <c r="D217" s="793">
        <v>4680115882690</v>
      </c>
      <c r="E217" s="794"/>
      <c r="F217" s="788">
        <v>0.9</v>
      </c>
      <c r="G217" s="32">
        <v>6</v>
      </c>
      <c r="H217" s="788">
        <v>5.4</v>
      </c>
      <c r="I217" s="78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99"/>
      <c r="R217" s="799"/>
      <c r="S217" s="799"/>
      <c r="T217" s="800"/>
      <c r="U217" s="34"/>
      <c r="V217" s="34"/>
      <c r="W217" s="35" t="s">
        <v>69</v>
      </c>
      <c r="X217" s="789">
        <v>120</v>
      </c>
      <c r="Y217" s="790">
        <f t="shared" si="41"/>
        <v>124.2</v>
      </c>
      <c r="Z217" s="36">
        <f>IFERROR(IF(Y217=0,"",ROUNDUP(Y217/H217,0)*0.00902),"")</f>
        <v>0.20746000000000001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124.66666666666667</v>
      </c>
      <c r="BN217" s="64">
        <f t="shared" si="43"/>
        <v>129.03</v>
      </c>
      <c r="BO217" s="64">
        <f t="shared" si="44"/>
        <v>0.16835016835016836</v>
      </c>
      <c r="BP217" s="64">
        <f t="shared" si="45"/>
        <v>0.17424242424242425</v>
      </c>
    </row>
    <row r="218" spans="1:68" ht="27" customHeight="1" x14ac:dyDescent="0.25">
      <c r="A218" s="54" t="s">
        <v>367</v>
      </c>
      <c r="B218" s="54" t="s">
        <v>368</v>
      </c>
      <c r="C218" s="31">
        <v>4301031220</v>
      </c>
      <c r="D218" s="793">
        <v>4680115882669</v>
      </c>
      <c r="E218" s="794"/>
      <c r="F218" s="788">
        <v>0.9</v>
      </c>
      <c r="G218" s="32">
        <v>6</v>
      </c>
      <c r="H218" s="788">
        <v>5.4</v>
      </c>
      <c r="I218" s="78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99"/>
      <c r="R218" s="799"/>
      <c r="S218" s="799"/>
      <c r="T218" s="800"/>
      <c r="U218" s="34"/>
      <c r="V218" s="34"/>
      <c r="W218" s="35" t="s">
        <v>69</v>
      </c>
      <c r="X218" s="789">
        <v>250</v>
      </c>
      <c r="Y218" s="790">
        <f t="shared" si="41"/>
        <v>253.8</v>
      </c>
      <c r="Z218" s="36">
        <f>IFERROR(IF(Y218=0,"",ROUNDUP(Y218/H218,0)*0.00902),"")</f>
        <v>0.42393999999999998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259.72222222222223</v>
      </c>
      <c r="BN218" s="64">
        <f t="shared" si="43"/>
        <v>263.67</v>
      </c>
      <c r="BO218" s="64">
        <f t="shared" si="44"/>
        <v>0.35072951739618402</v>
      </c>
      <c r="BP218" s="64">
        <f t="shared" si="45"/>
        <v>0.35606060606060608</v>
      </c>
    </row>
    <row r="219" spans="1:68" ht="27" customHeight="1" x14ac:dyDescent="0.25">
      <c r="A219" s="54" t="s">
        <v>370</v>
      </c>
      <c r="B219" s="54" t="s">
        <v>371</v>
      </c>
      <c r="C219" s="31">
        <v>4301031221</v>
      </c>
      <c r="D219" s="793">
        <v>4680115882676</v>
      </c>
      <c r="E219" s="794"/>
      <c r="F219" s="788">
        <v>0.9</v>
      </c>
      <c r="G219" s="32">
        <v>6</v>
      </c>
      <c r="H219" s="788">
        <v>5.4</v>
      </c>
      <c r="I219" s="788">
        <v>5.61</v>
      </c>
      <c r="J219" s="32">
        <v>132</v>
      </c>
      <c r="K219" s="32" t="s">
        <v>126</v>
      </c>
      <c r="L219" s="32"/>
      <c r="M219" s="33" t="s">
        <v>68</v>
      </c>
      <c r="N219" s="33"/>
      <c r="O219" s="32">
        <v>40</v>
      </c>
      <c r="P219" s="9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99"/>
      <c r="R219" s="799"/>
      <c r="S219" s="799"/>
      <c r="T219" s="800"/>
      <c r="U219" s="34"/>
      <c r="V219" s="34"/>
      <c r="W219" s="35" t="s">
        <v>69</v>
      </c>
      <c r="X219" s="789">
        <v>200</v>
      </c>
      <c r="Y219" s="790">
        <f t="shared" si="41"/>
        <v>205.20000000000002</v>
      </c>
      <c r="Z219" s="36">
        <f>IFERROR(IF(Y219=0,"",ROUNDUP(Y219/H219,0)*0.00902),"")</f>
        <v>0.34276000000000001</v>
      </c>
      <c r="AA219" s="56"/>
      <c r="AB219" s="57"/>
      <c r="AC219" s="281" t="s">
        <v>372</v>
      </c>
      <c r="AG219" s="64"/>
      <c r="AJ219" s="68"/>
      <c r="AK219" s="68">
        <v>0</v>
      </c>
      <c r="BB219" s="282" t="s">
        <v>1</v>
      </c>
      <c r="BM219" s="64">
        <f t="shared" si="42"/>
        <v>207.77777777777777</v>
      </c>
      <c r="BN219" s="64">
        <f t="shared" si="43"/>
        <v>213.18000000000004</v>
      </c>
      <c r="BO219" s="64">
        <f t="shared" si="44"/>
        <v>0.28058361391694725</v>
      </c>
      <c r="BP219" s="64">
        <f t="shared" si="45"/>
        <v>0.2878787878787879</v>
      </c>
    </row>
    <row r="220" spans="1:68" ht="27" customHeight="1" x14ac:dyDescent="0.25">
      <c r="A220" s="54" t="s">
        <v>373</v>
      </c>
      <c r="B220" s="54" t="s">
        <v>374</v>
      </c>
      <c r="C220" s="31">
        <v>4301031223</v>
      </c>
      <c r="D220" s="793">
        <v>4680115884014</v>
      </c>
      <c r="E220" s="794"/>
      <c r="F220" s="788">
        <v>0.3</v>
      </c>
      <c r="G220" s="32">
        <v>6</v>
      </c>
      <c r="H220" s="788">
        <v>1.8</v>
      </c>
      <c r="I220" s="78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99"/>
      <c r="R220" s="799"/>
      <c r="S220" s="799"/>
      <c r="T220" s="800"/>
      <c r="U220" s="34"/>
      <c r="V220" s="34"/>
      <c r="W220" s="35" t="s">
        <v>69</v>
      </c>
      <c r="X220" s="789">
        <v>90</v>
      </c>
      <c r="Y220" s="790">
        <f t="shared" si="41"/>
        <v>90</v>
      </c>
      <c r="Z220" s="36">
        <f>IFERROR(IF(Y220=0,"",ROUNDUP(Y220/H220,0)*0.00502),"")</f>
        <v>0.251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96.499999999999986</v>
      </c>
      <c r="BN220" s="64">
        <f t="shared" si="43"/>
        <v>96.499999999999986</v>
      </c>
      <c r="BO220" s="64">
        <f t="shared" si="44"/>
        <v>0.21367521367521369</v>
      </c>
      <c r="BP220" s="64">
        <f t="shared" si="45"/>
        <v>0.21367521367521369</v>
      </c>
    </row>
    <row r="221" spans="1:68" ht="27" customHeight="1" x14ac:dyDescent="0.25">
      <c r="A221" s="54" t="s">
        <v>375</v>
      </c>
      <c r="B221" s="54" t="s">
        <v>376</v>
      </c>
      <c r="C221" s="31">
        <v>4301031222</v>
      </c>
      <c r="D221" s="793">
        <v>4680115884007</v>
      </c>
      <c r="E221" s="794"/>
      <c r="F221" s="788">
        <v>0.3</v>
      </c>
      <c r="G221" s="32">
        <v>6</v>
      </c>
      <c r="H221" s="788">
        <v>1.8</v>
      </c>
      <c r="I221" s="78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99"/>
      <c r="R221" s="799"/>
      <c r="S221" s="799"/>
      <c r="T221" s="800"/>
      <c r="U221" s="34"/>
      <c r="V221" s="34"/>
      <c r="W221" s="35" t="s">
        <v>69</v>
      </c>
      <c r="X221" s="789">
        <v>60</v>
      </c>
      <c r="Y221" s="790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63.333333333333329</v>
      </c>
      <c r="BN221" s="64">
        <f t="shared" si="43"/>
        <v>64.599999999999994</v>
      </c>
      <c r="BO221" s="64">
        <f t="shared" si="44"/>
        <v>0.14245014245014248</v>
      </c>
      <c r="BP221" s="64">
        <f t="shared" si="45"/>
        <v>0.14529914529914531</v>
      </c>
    </row>
    <row r="222" spans="1:68" ht="27" customHeight="1" x14ac:dyDescent="0.25">
      <c r="A222" s="54" t="s">
        <v>377</v>
      </c>
      <c r="B222" s="54" t="s">
        <v>378</v>
      </c>
      <c r="C222" s="31">
        <v>4301031229</v>
      </c>
      <c r="D222" s="793">
        <v>4680115884038</v>
      </c>
      <c r="E222" s="794"/>
      <c r="F222" s="788">
        <v>0.3</v>
      </c>
      <c r="G222" s="32">
        <v>6</v>
      </c>
      <c r="H222" s="788">
        <v>1.8</v>
      </c>
      <c r="I222" s="78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99"/>
      <c r="R222" s="799"/>
      <c r="S222" s="799"/>
      <c r="T222" s="800"/>
      <c r="U222" s="34"/>
      <c r="V222" s="34"/>
      <c r="W222" s="35" t="s">
        <v>69</v>
      </c>
      <c r="X222" s="789">
        <v>96</v>
      </c>
      <c r="Y222" s="790">
        <f t="shared" si="41"/>
        <v>97.2</v>
      </c>
      <c r="Z222" s="36">
        <f>IFERROR(IF(Y222=0,"",ROUNDUP(Y222/H222,0)*0.00502),"")</f>
        <v>0.27107999999999999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101.33333333333331</v>
      </c>
      <c r="BN222" s="64">
        <f t="shared" si="43"/>
        <v>102.6</v>
      </c>
      <c r="BO222" s="64">
        <f t="shared" si="44"/>
        <v>0.22792022792022792</v>
      </c>
      <c r="BP222" s="64">
        <f t="shared" si="45"/>
        <v>0.23076923076923078</v>
      </c>
    </row>
    <row r="223" spans="1:68" ht="27" customHeight="1" x14ac:dyDescent="0.25">
      <c r="A223" s="54" t="s">
        <v>379</v>
      </c>
      <c r="B223" s="54" t="s">
        <v>380</v>
      </c>
      <c r="C223" s="31">
        <v>4301031225</v>
      </c>
      <c r="D223" s="793">
        <v>4680115884021</v>
      </c>
      <c r="E223" s="794"/>
      <c r="F223" s="788">
        <v>0.3</v>
      </c>
      <c r="G223" s="32">
        <v>6</v>
      </c>
      <c r="H223" s="788">
        <v>1.8</v>
      </c>
      <c r="I223" s="78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99"/>
      <c r="R223" s="799"/>
      <c r="S223" s="799"/>
      <c r="T223" s="800"/>
      <c r="U223" s="34"/>
      <c r="V223" s="34"/>
      <c r="W223" s="35" t="s">
        <v>69</v>
      </c>
      <c r="X223" s="789">
        <v>60</v>
      </c>
      <c r="Y223" s="790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372</v>
      </c>
      <c r="AG223" s="64"/>
      <c r="AJ223" s="68"/>
      <c r="AK223" s="68">
        <v>0</v>
      </c>
      <c r="BB223" s="290" t="s">
        <v>1</v>
      </c>
      <c r="BM223" s="64">
        <f t="shared" si="42"/>
        <v>63.333333333333329</v>
      </c>
      <c r="BN223" s="64">
        <f t="shared" si="43"/>
        <v>64.599999999999994</v>
      </c>
      <c r="BO223" s="64">
        <f t="shared" si="44"/>
        <v>0.14245014245014248</v>
      </c>
      <c r="BP223" s="64">
        <f t="shared" si="45"/>
        <v>0.14529914529914531</v>
      </c>
    </row>
    <row r="224" spans="1:68" x14ac:dyDescent="0.2">
      <c r="A224" s="808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795" t="s">
        <v>71</v>
      </c>
      <c r="Q224" s="796"/>
      <c r="R224" s="796"/>
      <c r="S224" s="796"/>
      <c r="T224" s="796"/>
      <c r="U224" s="796"/>
      <c r="V224" s="797"/>
      <c r="W224" s="37" t="s">
        <v>72</v>
      </c>
      <c r="X224" s="791">
        <f>IFERROR(X216/H216,"0")+IFERROR(X217/H217,"0")+IFERROR(X218/H218,"0")+IFERROR(X219/H219,"0")+IFERROR(X220/H220,"0")+IFERROR(X221/H221,"0")+IFERROR(X222/H222,"0")+IFERROR(X223/H223,"0")</f>
        <v>297.77777777777777</v>
      </c>
      <c r="Y224" s="791">
        <f>IFERROR(Y216/H216,"0")+IFERROR(Y217/H217,"0")+IFERROR(Y218/H218,"0")+IFERROR(Y219/H219,"0")+IFERROR(Y220/H220,"0")+IFERROR(Y221/H221,"0")+IFERROR(Y222/H222,"0")+IFERROR(Y223/H223,"0")</f>
        <v>303</v>
      </c>
      <c r="Z224" s="79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2.0450599999999999</v>
      </c>
      <c r="AA224" s="792"/>
      <c r="AB224" s="792"/>
      <c r="AC224" s="792"/>
    </row>
    <row r="225" spans="1:68" x14ac:dyDescent="0.2">
      <c r="A225" s="809"/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10"/>
      <c r="P225" s="795" t="s">
        <v>71</v>
      </c>
      <c r="Q225" s="796"/>
      <c r="R225" s="796"/>
      <c r="S225" s="796"/>
      <c r="T225" s="796"/>
      <c r="U225" s="796"/>
      <c r="V225" s="797"/>
      <c r="W225" s="37" t="s">
        <v>69</v>
      </c>
      <c r="X225" s="791">
        <f>IFERROR(SUM(X216:X223),"0")</f>
        <v>996</v>
      </c>
      <c r="Y225" s="791">
        <f>IFERROR(SUM(Y216:Y223),"0")</f>
        <v>1017.0000000000002</v>
      </c>
      <c r="Z225" s="37"/>
      <c r="AA225" s="792"/>
      <c r="AB225" s="792"/>
      <c r="AC225" s="792"/>
    </row>
    <row r="226" spans="1:68" ht="14.25" customHeight="1" x14ac:dyDescent="0.25">
      <c r="A226" s="811" t="s">
        <v>73</v>
      </c>
      <c r="B226" s="809"/>
      <c r="C226" s="809"/>
      <c r="D226" s="809"/>
      <c r="E226" s="809"/>
      <c r="F226" s="809"/>
      <c r="G226" s="809"/>
      <c r="H226" s="809"/>
      <c r="I226" s="809"/>
      <c r="J226" s="809"/>
      <c r="K226" s="809"/>
      <c r="L226" s="809"/>
      <c r="M226" s="809"/>
      <c r="N226" s="809"/>
      <c r="O226" s="809"/>
      <c r="P226" s="809"/>
      <c r="Q226" s="809"/>
      <c r="R226" s="809"/>
      <c r="S226" s="809"/>
      <c r="T226" s="809"/>
      <c r="U226" s="809"/>
      <c r="V226" s="809"/>
      <c r="W226" s="809"/>
      <c r="X226" s="809"/>
      <c r="Y226" s="809"/>
      <c r="Z226" s="809"/>
      <c r="AA226" s="785"/>
      <c r="AB226" s="785"/>
      <c r="AC226" s="785"/>
    </row>
    <row r="227" spans="1:68" ht="37.5" customHeight="1" x14ac:dyDescent="0.25">
      <c r="A227" s="54" t="s">
        <v>381</v>
      </c>
      <c r="B227" s="54" t="s">
        <v>382</v>
      </c>
      <c r="C227" s="31">
        <v>4301051408</v>
      </c>
      <c r="D227" s="793">
        <v>4680115881594</v>
      </c>
      <c r="E227" s="794"/>
      <c r="F227" s="788">
        <v>1.35</v>
      </c>
      <c r="G227" s="32">
        <v>6</v>
      </c>
      <c r="H227" s="788">
        <v>8.1</v>
      </c>
      <c r="I227" s="788">
        <v>8.6639999999999997</v>
      </c>
      <c r="J227" s="32">
        <v>56</v>
      </c>
      <c r="K227" s="32" t="s">
        <v>116</v>
      </c>
      <c r="L227" s="32"/>
      <c r="M227" s="33" t="s">
        <v>77</v>
      </c>
      <c r="N227" s="33"/>
      <c r="O227" s="32">
        <v>40</v>
      </c>
      <c r="P227" s="11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99"/>
      <c r="R227" s="799"/>
      <c r="S227" s="799"/>
      <c r="T227" s="800"/>
      <c r="U227" s="34"/>
      <c r="V227" s="34"/>
      <c r="W227" s="35" t="s">
        <v>69</v>
      </c>
      <c r="X227" s="789">
        <v>0</v>
      </c>
      <c r="Y227" s="790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384</v>
      </c>
      <c r="B228" s="54" t="s">
        <v>385</v>
      </c>
      <c r="C228" s="31">
        <v>4301051754</v>
      </c>
      <c r="D228" s="793">
        <v>4680115880962</v>
      </c>
      <c r="E228" s="794"/>
      <c r="F228" s="788">
        <v>1.3</v>
      </c>
      <c r="G228" s="32">
        <v>6</v>
      </c>
      <c r="H228" s="788">
        <v>7.8</v>
      </c>
      <c r="I228" s="788">
        <v>8.3640000000000008</v>
      </c>
      <c r="J228" s="32">
        <v>56</v>
      </c>
      <c r="K228" s="32" t="s">
        <v>116</v>
      </c>
      <c r="L228" s="32"/>
      <c r="M228" s="33" t="s">
        <v>68</v>
      </c>
      <c r="N228" s="33"/>
      <c r="O228" s="32">
        <v>40</v>
      </c>
      <c r="P228" s="12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99"/>
      <c r="R228" s="799"/>
      <c r="S228" s="799"/>
      <c r="T228" s="800"/>
      <c r="U228" s="34"/>
      <c r="V228" s="34"/>
      <c r="W228" s="35" t="s">
        <v>69</v>
      </c>
      <c r="X228" s="789">
        <v>0</v>
      </c>
      <c r="Y228" s="790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387</v>
      </c>
      <c r="B229" s="54" t="s">
        <v>388</v>
      </c>
      <c r="C229" s="31">
        <v>4301051411</v>
      </c>
      <c r="D229" s="793">
        <v>4680115881617</v>
      </c>
      <c r="E229" s="794"/>
      <c r="F229" s="788">
        <v>1.35</v>
      </c>
      <c r="G229" s="32">
        <v>6</v>
      </c>
      <c r="H229" s="788">
        <v>8.1</v>
      </c>
      <c r="I229" s="788">
        <v>8.6460000000000008</v>
      </c>
      <c r="J229" s="32">
        <v>56</v>
      </c>
      <c r="K229" s="32" t="s">
        <v>116</v>
      </c>
      <c r="L229" s="32"/>
      <c r="M229" s="33" t="s">
        <v>77</v>
      </c>
      <c r="N229" s="33"/>
      <c r="O229" s="32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99"/>
      <c r="R229" s="799"/>
      <c r="S229" s="799"/>
      <c r="T229" s="800"/>
      <c r="U229" s="34"/>
      <c r="V229" s="34"/>
      <c r="W229" s="35" t="s">
        <v>69</v>
      </c>
      <c r="X229" s="789">
        <v>0</v>
      </c>
      <c r="Y229" s="79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390</v>
      </c>
      <c r="B230" s="54" t="s">
        <v>391</v>
      </c>
      <c r="C230" s="31">
        <v>4301051632</v>
      </c>
      <c r="D230" s="793">
        <v>4680115880573</v>
      </c>
      <c r="E230" s="794"/>
      <c r="F230" s="788">
        <v>1.45</v>
      </c>
      <c r="G230" s="32">
        <v>6</v>
      </c>
      <c r="H230" s="788">
        <v>8.6999999999999993</v>
      </c>
      <c r="I230" s="788">
        <v>9.2639999999999993</v>
      </c>
      <c r="J230" s="32">
        <v>56</v>
      </c>
      <c r="K230" s="32" t="s">
        <v>116</v>
      </c>
      <c r="L230" s="32"/>
      <c r="M230" s="33" t="s">
        <v>68</v>
      </c>
      <c r="N230" s="33"/>
      <c r="O230" s="32">
        <v>45</v>
      </c>
      <c r="P230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99"/>
      <c r="R230" s="799"/>
      <c r="S230" s="799"/>
      <c r="T230" s="800"/>
      <c r="U230" s="34"/>
      <c r="V230" s="34"/>
      <c r="W230" s="35" t="s">
        <v>69</v>
      </c>
      <c r="X230" s="789">
        <v>400</v>
      </c>
      <c r="Y230" s="790">
        <f t="shared" si="46"/>
        <v>400.2</v>
      </c>
      <c r="Z230" s="36">
        <f>IFERROR(IF(Y230=0,"",ROUNDUP(Y230/H230,0)*0.02175),"")</f>
        <v>1.0004999999999999</v>
      </c>
      <c r="AA230" s="56"/>
      <c r="AB230" s="57"/>
      <c r="AC230" s="297" t="s">
        <v>392</v>
      </c>
      <c r="AG230" s="64"/>
      <c r="AJ230" s="68"/>
      <c r="AK230" s="68">
        <v>0</v>
      </c>
      <c r="BB230" s="298" t="s">
        <v>1</v>
      </c>
      <c r="BM230" s="64">
        <f t="shared" si="47"/>
        <v>425.93103448275866</v>
      </c>
      <c r="BN230" s="64">
        <f t="shared" si="48"/>
        <v>426.14400000000001</v>
      </c>
      <c r="BO230" s="64">
        <f t="shared" si="49"/>
        <v>0.82101806239737274</v>
      </c>
      <c r="BP230" s="64">
        <f t="shared" si="50"/>
        <v>0.8214285714285714</v>
      </c>
    </row>
    <row r="231" spans="1:68" ht="37.5" customHeight="1" x14ac:dyDescent="0.25">
      <c r="A231" s="54" t="s">
        <v>393</v>
      </c>
      <c r="B231" s="54" t="s">
        <v>394</v>
      </c>
      <c r="C231" s="31">
        <v>4301051407</v>
      </c>
      <c r="D231" s="793">
        <v>4680115882195</v>
      </c>
      <c r="E231" s="794"/>
      <c r="F231" s="788">
        <v>0.4</v>
      </c>
      <c r="G231" s="32">
        <v>6</v>
      </c>
      <c r="H231" s="788">
        <v>2.4</v>
      </c>
      <c r="I231" s="788">
        <v>2.67</v>
      </c>
      <c r="J231" s="32">
        <v>182</v>
      </c>
      <c r="K231" s="32" t="s">
        <v>76</v>
      </c>
      <c r="L231" s="32"/>
      <c r="M231" s="33" t="s">
        <v>77</v>
      </c>
      <c r="N231" s="33"/>
      <c r="O231" s="32">
        <v>40</v>
      </c>
      <c r="P231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99"/>
      <c r="R231" s="799"/>
      <c r="S231" s="799"/>
      <c r="T231" s="800"/>
      <c r="U231" s="34"/>
      <c r="V231" s="34"/>
      <c r="W231" s="35" t="s">
        <v>69</v>
      </c>
      <c r="X231" s="789">
        <v>560</v>
      </c>
      <c r="Y231" s="790">
        <f t="shared" si="46"/>
        <v>561.6</v>
      </c>
      <c r="Z231" s="36">
        <f t="shared" ref="Z231:Z237" si="51">IFERROR(IF(Y231=0,"",ROUNDUP(Y231/H231,0)*0.00651),"")</f>
        <v>1.5233400000000001</v>
      </c>
      <c r="AA231" s="56"/>
      <c r="AB231" s="57"/>
      <c r="AC231" s="299" t="s">
        <v>383</v>
      </c>
      <c r="AG231" s="64"/>
      <c r="AJ231" s="68"/>
      <c r="AK231" s="68">
        <v>0</v>
      </c>
      <c r="BB231" s="300" t="s">
        <v>1</v>
      </c>
      <c r="BM231" s="64">
        <f t="shared" si="47"/>
        <v>623</v>
      </c>
      <c r="BN231" s="64">
        <f t="shared" si="48"/>
        <v>624.78</v>
      </c>
      <c r="BO231" s="64">
        <f t="shared" si="49"/>
        <v>1.2820512820512822</v>
      </c>
      <c r="BP231" s="64">
        <f t="shared" si="50"/>
        <v>1.285714285714286</v>
      </c>
    </row>
    <row r="232" spans="1:68" ht="37.5" customHeight="1" x14ac:dyDescent="0.25">
      <c r="A232" s="54" t="s">
        <v>395</v>
      </c>
      <c r="B232" s="54" t="s">
        <v>396</v>
      </c>
      <c r="C232" s="31">
        <v>4301051752</v>
      </c>
      <c r="D232" s="793">
        <v>4680115882607</v>
      </c>
      <c r="E232" s="794"/>
      <c r="F232" s="788">
        <v>0.3</v>
      </c>
      <c r="G232" s="32">
        <v>6</v>
      </c>
      <c r="H232" s="788">
        <v>1.8</v>
      </c>
      <c r="I232" s="788">
        <v>2.052</v>
      </c>
      <c r="J232" s="32">
        <v>182</v>
      </c>
      <c r="K232" s="32" t="s">
        <v>76</v>
      </c>
      <c r="L232" s="32"/>
      <c r="M232" s="33" t="s">
        <v>162</v>
      </c>
      <c r="N232" s="33"/>
      <c r="O232" s="32">
        <v>45</v>
      </c>
      <c r="P232" s="10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99"/>
      <c r="R232" s="799"/>
      <c r="S232" s="799"/>
      <c r="T232" s="800"/>
      <c r="U232" s="34"/>
      <c r="V232" s="34"/>
      <c r="W232" s="35" t="s">
        <v>69</v>
      </c>
      <c r="X232" s="789">
        <v>0</v>
      </c>
      <c r="Y232" s="790">
        <f t="shared" si="46"/>
        <v>0</v>
      </c>
      <c r="Z232" s="36" t="str">
        <f t="shared" si="51"/>
        <v/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4301051630</v>
      </c>
      <c r="D233" s="793">
        <v>4680115880092</v>
      </c>
      <c r="E233" s="794"/>
      <c r="F233" s="788">
        <v>0.4</v>
      </c>
      <c r="G233" s="32">
        <v>6</v>
      </c>
      <c r="H233" s="788">
        <v>2.4</v>
      </c>
      <c r="I233" s="78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99"/>
      <c r="R233" s="799"/>
      <c r="S233" s="799"/>
      <c r="T233" s="800"/>
      <c r="U233" s="34"/>
      <c r="V233" s="34"/>
      <c r="W233" s="35" t="s">
        <v>69</v>
      </c>
      <c r="X233" s="789">
        <v>800</v>
      </c>
      <c r="Y233" s="790">
        <f t="shared" si="46"/>
        <v>801.6</v>
      </c>
      <c r="Z233" s="36">
        <f t="shared" si="51"/>
        <v>2.1743399999999999</v>
      </c>
      <c r="AA233" s="56"/>
      <c r="AB233" s="57"/>
      <c r="AC233" s="303" t="s">
        <v>400</v>
      </c>
      <c r="AG233" s="64"/>
      <c r="AJ233" s="68"/>
      <c r="AK233" s="68">
        <v>0</v>
      </c>
      <c r="BB233" s="304" t="s">
        <v>1</v>
      </c>
      <c r="BM233" s="64">
        <f t="shared" si="47"/>
        <v>884</v>
      </c>
      <c r="BN233" s="64">
        <f t="shared" si="48"/>
        <v>885.76800000000014</v>
      </c>
      <c r="BO233" s="64">
        <f t="shared" si="49"/>
        <v>1.8315018315018319</v>
      </c>
      <c r="BP233" s="64">
        <f t="shared" si="50"/>
        <v>1.8351648351648353</v>
      </c>
    </row>
    <row r="234" spans="1:68" ht="27" customHeight="1" x14ac:dyDescent="0.25">
      <c r="A234" s="54" t="s">
        <v>401</v>
      </c>
      <c r="B234" s="54" t="s">
        <v>402</v>
      </c>
      <c r="C234" s="31">
        <v>4301051631</v>
      </c>
      <c r="D234" s="793">
        <v>4680115880221</v>
      </c>
      <c r="E234" s="794"/>
      <c r="F234" s="788">
        <v>0.4</v>
      </c>
      <c r="G234" s="32">
        <v>6</v>
      </c>
      <c r="H234" s="788">
        <v>2.4</v>
      </c>
      <c r="I234" s="788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99"/>
      <c r="R234" s="799"/>
      <c r="S234" s="799"/>
      <c r="T234" s="800"/>
      <c r="U234" s="34"/>
      <c r="V234" s="34"/>
      <c r="W234" s="35" t="s">
        <v>69</v>
      </c>
      <c r="X234" s="789">
        <v>0</v>
      </c>
      <c r="Y234" s="790">
        <f t="shared" si="46"/>
        <v>0</v>
      </c>
      <c r="Z234" s="36" t="str">
        <f t="shared" si="51"/>
        <v/>
      </c>
      <c r="AA234" s="56"/>
      <c r="AB234" s="57"/>
      <c r="AC234" s="305" t="s">
        <v>392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4301051749</v>
      </c>
      <c r="D235" s="793">
        <v>4680115882942</v>
      </c>
      <c r="E235" s="794"/>
      <c r="F235" s="788">
        <v>0.3</v>
      </c>
      <c r="G235" s="32">
        <v>6</v>
      </c>
      <c r="H235" s="788">
        <v>1.8</v>
      </c>
      <c r="I235" s="788">
        <v>2.052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99"/>
      <c r="R235" s="799"/>
      <c r="S235" s="799"/>
      <c r="T235" s="800"/>
      <c r="U235" s="34"/>
      <c r="V235" s="34"/>
      <c r="W235" s="35" t="s">
        <v>69</v>
      </c>
      <c r="X235" s="789">
        <v>0</v>
      </c>
      <c r="Y235" s="790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4301051753</v>
      </c>
      <c r="D236" s="793">
        <v>4680115880504</v>
      </c>
      <c r="E236" s="794"/>
      <c r="F236" s="788">
        <v>0.4</v>
      </c>
      <c r="G236" s="32">
        <v>6</v>
      </c>
      <c r="H236" s="788">
        <v>2.4</v>
      </c>
      <c r="I236" s="788">
        <v>2.6520000000000001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99"/>
      <c r="R236" s="799"/>
      <c r="S236" s="799"/>
      <c r="T236" s="800"/>
      <c r="U236" s="34"/>
      <c r="V236" s="34"/>
      <c r="W236" s="35" t="s">
        <v>69</v>
      </c>
      <c r="X236" s="789">
        <v>280</v>
      </c>
      <c r="Y236" s="790">
        <f t="shared" si="46"/>
        <v>280.8</v>
      </c>
      <c r="Z236" s="36">
        <f t="shared" si="51"/>
        <v>0.76167000000000007</v>
      </c>
      <c r="AA236" s="56"/>
      <c r="AB236" s="57"/>
      <c r="AC236" s="309" t="s">
        <v>386</v>
      </c>
      <c r="AG236" s="64"/>
      <c r="AJ236" s="68"/>
      <c r="AK236" s="68">
        <v>0</v>
      </c>
      <c r="BB236" s="310" t="s">
        <v>1</v>
      </c>
      <c r="BM236" s="64">
        <f t="shared" si="47"/>
        <v>309.40000000000003</v>
      </c>
      <c r="BN236" s="64">
        <f t="shared" si="48"/>
        <v>310.28400000000005</v>
      </c>
      <c r="BO236" s="64">
        <f t="shared" si="49"/>
        <v>0.64102564102564108</v>
      </c>
      <c r="BP236" s="64">
        <f t="shared" si="50"/>
        <v>0.64285714285714302</v>
      </c>
    </row>
    <row r="237" spans="1:68" ht="27" customHeight="1" x14ac:dyDescent="0.25">
      <c r="A237" s="54" t="s">
        <v>407</v>
      </c>
      <c r="B237" s="54" t="s">
        <v>408</v>
      </c>
      <c r="C237" s="31">
        <v>4301051410</v>
      </c>
      <c r="D237" s="793">
        <v>4680115882164</v>
      </c>
      <c r="E237" s="794"/>
      <c r="F237" s="788">
        <v>0.4</v>
      </c>
      <c r="G237" s="32">
        <v>6</v>
      </c>
      <c r="H237" s="788">
        <v>2.4</v>
      </c>
      <c r="I237" s="788">
        <v>2.6579999999999999</v>
      </c>
      <c r="J237" s="32">
        <v>182</v>
      </c>
      <c r="K237" s="32" t="s">
        <v>76</v>
      </c>
      <c r="L237" s="32"/>
      <c r="M237" s="33" t="s">
        <v>77</v>
      </c>
      <c r="N237" s="33"/>
      <c r="O237" s="32">
        <v>40</v>
      </c>
      <c r="P237" s="8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99"/>
      <c r="R237" s="799"/>
      <c r="S237" s="799"/>
      <c r="T237" s="800"/>
      <c r="U237" s="34"/>
      <c r="V237" s="34"/>
      <c r="W237" s="35" t="s">
        <v>69</v>
      </c>
      <c r="X237" s="789">
        <v>400</v>
      </c>
      <c r="Y237" s="790">
        <f t="shared" si="46"/>
        <v>400.8</v>
      </c>
      <c r="Z237" s="36">
        <f t="shared" si="51"/>
        <v>1.08717</v>
      </c>
      <c r="AA237" s="56"/>
      <c r="AB237" s="57"/>
      <c r="AC237" s="311" t="s">
        <v>409</v>
      </c>
      <c r="AG237" s="64"/>
      <c r="AJ237" s="68"/>
      <c r="AK237" s="68">
        <v>0</v>
      </c>
      <c r="BB237" s="312" t="s">
        <v>1</v>
      </c>
      <c r="BM237" s="64">
        <f t="shared" si="47"/>
        <v>443.00000000000006</v>
      </c>
      <c r="BN237" s="64">
        <f t="shared" si="48"/>
        <v>443.88599999999997</v>
      </c>
      <c r="BO237" s="64">
        <f t="shared" si="49"/>
        <v>0.91575091575091594</v>
      </c>
      <c r="BP237" s="64">
        <f t="shared" si="50"/>
        <v>0.91758241758241765</v>
      </c>
    </row>
    <row r="238" spans="1:68" x14ac:dyDescent="0.2">
      <c r="A238" s="808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795" t="s">
        <v>71</v>
      </c>
      <c r="Q238" s="796"/>
      <c r="R238" s="796"/>
      <c r="S238" s="796"/>
      <c r="T238" s="796"/>
      <c r="U238" s="796"/>
      <c r="V238" s="797"/>
      <c r="W238" s="37" t="s">
        <v>72</v>
      </c>
      <c r="X238" s="79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895.97701149425279</v>
      </c>
      <c r="Y238" s="79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898</v>
      </c>
      <c r="Z238" s="79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6.5470199999999998</v>
      </c>
      <c r="AA238" s="792"/>
      <c r="AB238" s="792"/>
      <c r="AC238" s="792"/>
    </row>
    <row r="239" spans="1:68" x14ac:dyDescent="0.2">
      <c r="A239" s="809"/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10"/>
      <c r="P239" s="795" t="s">
        <v>71</v>
      </c>
      <c r="Q239" s="796"/>
      <c r="R239" s="796"/>
      <c r="S239" s="796"/>
      <c r="T239" s="796"/>
      <c r="U239" s="796"/>
      <c r="V239" s="797"/>
      <c r="W239" s="37" t="s">
        <v>69</v>
      </c>
      <c r="X239" s="791">
        <f>IFERROR(SUM(X227:X237),"0")</f>
        <v>2440</v>
      </c>
      <c r="Y239" s="791">
        <f>IFERROR(SUM(Y227:Y237),"0")</f>
        <v>2445</v>
      </c>
      <c r="Z239" s="37"/>
      <c r="AA239" s="792"/>
      <c r="AB239" s="792"/>
      <c r="AC239" s="792"/>
    </row>
    <row r="240" spans="1:68" ht="14.25" customHeight="1" x14ac:dyDescent="0.25">
      <c r="A240" s="811" t="s">
        <v>208</v>
      </c>
      <c r="B240" s="809"/>
      <c r="C240" s="809"/>
      <c r="D240" s="809"/>
      <c r="E240" s="809"/>
      <c r="F240" s="809"/>
      <c r="G240" s="809"/>
      <c r="H240" s="809"/>
      <c r="I240" s="809"/>
      <c r="J240" s="809"/>
      <c r="K240" s="809"/>
      <c r="L240" s="809"/>
      <c r="M240" s="809"/>
      <c r="N240" s="809"/>
      <c r="O240" s="809"/>
      <c r="P240" s="809"/>
      <c r="Q240" s="809"/>
      <c r="R240" s="809"/>
      <c r="S240" s="809"/>
      <c r="T240" s="809"/>
      <c r="U240" s="809"/>
      <c r="V240" s="809"/>
      <c r="W240" s="809"/>
      <c r="X240" s="809"/>
      <c r="Y240" s="809"/>
      <c r="Z240" s="809"/>
      <c r="AA240" s="785"/>
      <c r="AB240" s="785"/>
      <c r="AC240" s="785"/>
    </row>
    <row r="241" spans="1:68" ht="16.5" customHeight="1" x14ac:dyDescent="0.25">
      <c r="A241" s="54" t="s">
        <v>410</v>
      </c>
      <c r="B241" s="54" t="s">
        <v>411</v>
      </c>
      <c r="C241" s="31">
        <v>4301060404</v>
      </c>
      <c r="D241" s="793">
        <v>4680115882874</v>
      </c>
      <c r="E241" s="794"/>
      <c r="F241" s="788">
        <v>0.8</v>
      </c>
      <c r="G241" s="32">
        <v>4</v>
      </c>
      <c r="H241" s="788">
        <v>3.2</v>
      </c>
      <c r="I241" s="788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9"/>
      <c r="R241" s="799"/>
      <c r="S241" s="799"/>
      <c r="T241" s="800"/>
      <c r="U241" s="34"/>
      <c r="V241" s="34"/>
      <c r="W241" s="35" t="s">
        <v>69</v>
      </c>
      <c r="X241" s="789">
        <v>0</v>
      </c>
      <c r="Y241" s="790">
        <f t="shared" ref="Y241:Y246" si="52"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ref="BM241:BM246" si="53">IFERROR(X241*I241/H241,"0")</f>
        <v>0</v>
      </c>
      <c r="BN241" s="64">
        <f t="shared" ref="BN241:BN246" si="54">IFERROR(Y241*I241/H241,"0")</f>
        <v>0</v>
      </c>
      <c r="BO241" s="64">
        <f t="shared" ref="BO241:BO246" si="55">IFERROR(1/J241*(X241/H241),"0")</f>
        <v>0</v>
      </c>
      <c r="BP241" s="64">
        <f t="shared" ref="BP241:BP246" si="56">IFERROR(1/J241*(Y241/H241),"0")</f>
        <v>0</v>
      </c>
    </row>
    <row r="242" spans="1:68" ht="16.5" customHeight="1" x14ac:dyDescent="0.25">
      <c r="A242" s="54" t="s">
        <v>410</v>
      </c>
      <c r="B242" s="54" t="s">
        <v>413</v>
      </c>
      <c r="C242" s="31">
        <v>4301060360</v>
      </c>
      <c r="D242" s="793">
        <v>4680115882874</v>
      </c>
      <c r="E242" s="794"/>
      <c r="F242" s="788">
        <v>0.8</v>
      </c>
      <c r="G242" s="32">
        <v>4</v>
      </c>
      <c r="H242" s="788">
        <v>3.2</v>
      </c>
      <c r="I242" s="78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9"/>
      <c r="R242" s="799"/>
      <c r="S242" s="799"/>
      <c r="T242" s="800"/>
      <c r="U242" s="34"/>
      <c r="V242" s="34"/>
      <c r="W242" s="35" t="s">
        <v>69</v>
      </c>
      <c r="X242" s="789">
        <v>0</v>
      </c>
      <c r="Y242" s="79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16.5" customHeight="1" x14ac:dyDescent="0.25">
      <c r="A243" s="54" t="s">
        <v>410</v>
      </c>
      <c r="B243" s="54" t="s">
        <v>415</v>
      </c>
      <c r="C243" s="31">
        <v>4301060460</v>
      </c>
      <c r="D243" s="793">
        <v>4680115882874</v>
      </c>
      <c r="E243" s="794"/>
      <c r="F243" s="788">
        <v>0.8</v>
      </c>
      <c r="G243" s="32">
        <v>4</v>
      </c>
      <c r="H243" s="788">
        <v>3.2</v>
      </c>
      <c r="I243" s="788">
        <v>3.4660000000000002</v>
      </c>
      <c r="J243" s="32">
        <v>132</v>
      </c>
      <c r="K243" s="32" t="s">
        <v>126</v>
      </c>
      <c r="L243" s="32"/>
      <c r="M243" s="33" t="s">
        <v>162</v>
      </c>
      <c r="N243" s="33"/>
      <c r="O243" s="32">
        <v>30</v>
      </c>
      <c r="P243" s="1216" t="s">
        <v>416</v>
      </c>
      <c r="Q243" s="799"/>
      <c r="R243" s="799"/>
      <c r="S243" s="799"/>
      <c r="T243" s="800"/>
      <c r="U243" s="34"/>
      <c r="V243" s="34"/>
      <c r="W243" s="35" t="s">
        <v>69</v>
      </c>
      <c r="X243" s="789">
        <v>0</v>
      </c>
      <c r="Y243" s="79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4301060359</v>
      </c>
      <c r="D244" s="793">
        <v>4680115884434</v>
      </c>
      <c r="E244" s="794"/>
      <c r="F244" s="788">
        <v>0.8</v>
      </c>
      <c r="G244" s="32">
        <v>4</v>
      </c>
      <c r="H244" s="788">
        <v>3.2</v>
      </c>
      <c r="I244" s="788">
        <v>3.4660000000000002</v>
      </c>
      <c r="J244" s="32">
        <v>132</v>
      </c>
      <c r="K244" s="32" t="s">
        <v>126</v>
      </c>
      <c r="L244" s="32"/>
      <c r="M244" s="33" t="s">
        <v>68</v>
      </c>
      <c r="N244" s="33"/>
      <c r="O244" s="32">
        <v>30</v>
      </c>
      <c r="P244" s="7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99"/>
      <c r="R244" s="799"/>
      <c r="S244" s="799"/>
      <c r="T244" s="800"/>
      <c r="U244" s="34"/>
      <c r="V244" s="34"/>
      <c r="W244" s="35" t="s">
        <v>69</v>
      </c>
      <c r="X244" s="789">
        <v>0</v>
      </c>
      <c r="Y244" s="790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421</v>
      </c>
      <c r="B245" s="54" t="s">
        <v>422</v>
      </c>
      <c r="C245" s="31">
        <v>4301060375</v>
      </c>
      <c r="D245" s="793">
        <v>4680115880818</v>
      </c>
      <c r="E245" s="794"/>
      <c r="F245" s="788">
        <v>0.4</v>
      </c>
      <c r="G245" s="32">
        <v>6</v>
      </c>
      <c r="H245" s="788">
        <v>2.4</v>
      </c>
      <c r="I245" s="788">
        <v>2.6520000000000001</v>
      </c>
      <c r="J245" s="32">
        <v>182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99"/>
      <c r="R245" s="799"/>
      <c r="S245" s="799"/>
      <c r="T245" s="800"/>
      <c r="U245" s="34"/>
      <c r="V245" s="34"/>
      <c r="W245" s="35" t="s">
        <v>69</v>
      </c>
      <c r="X245" s="789">
        <v>80</v>
      </c>
      <c r="Y245" s="790">
        <f t="shared" si="52"/>
        <v>81.599999999999994</v>
      </c>
      <c r="Z245" s="36">
        <f>IFERROR(IF(Y245=0,"",ROUNDUP(Y245/H245,0)*0.00651),"")</f>
        <v>0.22134000000000001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88.40000000000002</v>
      </c>
      <c r="BN245" s="64">
        <f t="shared" si="54"/>
        <v>90.168000000000006</v>
      </c>
      <c r="BO245" s="64">
        <f t="shared" si="55"/>
        <v>0.18315018315018317</v>
      </c>
      <c r="BP245" s="64">
        <f t="shared" si="56"/>
        <v>0.18681318681318682</v>
      </c>
    </row>
    <row r="246" spans="1:68" ht="37.5" customHeight="1" x14ac:dyDescent="0.25">
      <c r="A246" s="54" t="s">
        <v>424</v>
      </c>
      <c r="B246" s="54" t="s">
        <v>425</v>
      </c>
      <c r="C246" s="31">
        <v>4301060389</v>
      </c>
      <c r="D246" s="793">
        <v>4680115880801</v>
      </c>
      <c r="E246" s="794"/>
      <c r="F246" s="788">
        <v>0.4</v>
      </c>
      <c r="G246" s="32">
        <v>6</v>
      </c>
      <c r="H246" s="788">
        <v>2.4</v>
      </c>
      <c r="I246" s="788">
        <v>2.6520000000000001</v>
      </c>
      <c r="J246" s="32">
        <v>182</v>
      </c>
      <c r="K246" s="32" t="s">
        <v>76</v>
      </c>
      <c r="L246" s="32"/>
      <c r="M246" s="33" t="s">
        <v>77</v>
      </c>
      <c r="N246" s="33"/>
      <c r="O246" s="32">
        <v>40</v>
      </c>
      <c r="P246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799"/>
      <c r="R246" s="799"/>
      <c r="S246" s="799"/>
      <c r="T246" s="800"/>
      <c r="U246" s="34"/>
      <c r="V246" s="34"/>
      <c r="W246" s="35" t="s">
        <v>69</v>
      </c>
      <c r="X246" s="789">
        <v>120</v>
      </c>
      <c r="Y246" s="790">
        <f t="shared" si="52"/>
        <v>120</v>
      </c>
      <c r="Z246" s="36">
        <f>IFERROR(IF(Y246=0,"",ROUNDUP(Y246/H246,0)*0.00651),"")</f>
        <v>0.32550000000000001</v>
      </c>
      <c r="AA246" s="56"/>
      <c r="AB246" s="57"/>
      <c r="AC246" s="323" t="s">
        <v>426</v>
      </c>
      <c r="AG246" s="64"/>
      <c r="AJ246" s="68"/>
      <c r="AK246" s="68">
        <v>0</v>
      </c>
      <c r="BB246" s="324" t="s">
        <v>1</v>
      </c>
      <c r="BM246" s="64">
        <f t="shared" si="53"/>
        <v>132.60000000000002</v>
      </c>
      <c r="BN246" s="64">
        <f t="shared" si="54"/>
        <v>132.60000000000002</v>
      </c>
      <c r="BO246" s="64">
        <f t="shared" si="55"/>
        <v>0.27472527472527475</v>
      </c>
      <c r="BP246" s="64">
        <f t="shared" si="56"/>
        <v>0.27472527472527475</v>
      </c>
    </row>
    <row r="247" spans="1:68" x14ac:dyDescent="0.2">
      <c r="A247" s="808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795" t="s">
        <v>71</v>
      </c>
      <c r="Q247" s="796"/>
      <c r="R247" s="796"/>
      <c r="S247" s="796"/>
      <c r="T247" s="796"/>
      <c r="U247" s="796"/>
      <c r="V247" s="797"/>
      <c r="W247" s="37" t="s">
        <v>72</v>
      </c>
      <c r="X247" s="791">
        <f>IFERROR(X241/H241,"0")+IFERROR(X242/H242,"0")+IFERROR(X243/H243,"0")+IFERROR(X244/H244,"0")+IFERROR(X245/H245,"0")+IFERROR(X246/H246,"0")</f>
        <v>83.333333333333343</v>
      </c>
      <c r="Y247" s="791">
        <f>IFERROR(Y241/H241,"0")+IFERROR(Y242/H242,"0")+IFERROR(Y243/H243,"0")+IFERROR(Y244/H244,"0")+IFERROR(Y245/H245,"0")+IFERROR(Y246/H246,"0")</f>
        <v>84</v>
      </c>
      <c r="Z247" s="791">
        <f>IFERROR(IF(Z241="",0,Z241),"0")+IFERROR(IF(Z242="",0,Z242),"0")+IFERROR(IF(Z243="",0,Z243),"0")+IFERROR(IF(Z244="",0,Z244),"0")+IFERROR(IF(Z245="",0,Z245),"0")+IFERROR(IF(Z246="",0,Z246),"0")</f>
        <v>0.54683999999999999</v>
      </c>
      <c r="AA247" s="792"/>
      <c r="AB247" s="792"/>
      <c r="AC247" s="792"/>
    </row>
    <row r="248" spans="1:68" x14ac:dyDescent="0.2">
      <c r="A248" s="809"/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10"/>
      <c r="P248" s="795" t="s">
        <v>71</v>
      </c>
      <c r="Q248" s="796"/>
      <c r="R248" s="796"/>
      <c r="S248" s="796"/>
      <c r="T248" s="796"/>
      <c r="U248" s="796"/>
      <c r="V248" s="797"/>
      <c r="W248" s="37" t="s">
        <v>69</v>
      </c>
      <c r="X248" s="791">
        <f>IFERROR(SUM(X241:X246),"0")</f>
        <v>200</v>
      </c>
      <c r="Y248" s="791">
        <f>IFERROR(SUM(Y241:Y246),"0")</f>
        <v>201.6</v>
      </c>
      <c r="Z248" s="37"/>
      <c r="AA248" s="792"/>
      <c r="AB248" s="792"/>
      <c r="AC248" s="792"/>
    </row>
    <row r="249" spans="1:68" ht="16.5" customHeight="1" x14ac:dyDescent="0.25">
      <c r="A249" s="839" t="s">
        <v>427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84"/>
      <c r="AB249" s="784"/>
      <c r="AC249" s="784"/>
    </row>
    <row r="250" spans="1:68" ht="14.25" customHeight="1" x14ac:dyDescent="0.25">
      <c r="A250" s="811" t="s">
        <v>113</v>
      </c>
      <c r="B250" s="809"/>
      <c r="C250" s="809"/>
      <c r="D250" s="809"/>
      <c r="E250" s="809"/>
      <c r="F250" s="809"/>
      <c r="G250" s="809"/>
      <c r="H250" s="809"/>
      <c r="I250" s="809"/>
      <c r="J250" s="809"/>
      <c r="K250" s="809"/>
      <c r="L250" s="809"/>
      <c r="M250" s="809"/>
      <c r="N250" s="809"/>
      <c r="O250" s="809"/>
      <c r="P250" s="809"/>
      <c r="Q250" s="809"/>
      <c r="R250" s="809"/>
      <c r="S250" s="809"/>
      <c r="T250" s="809"/>
      <c r="U250" s="809"/>
      <c r="V250" s="809"/>
      <c r="W250" s="809"/>
      <c r="X250" s="809"/>
      <c r="Y250" s="809"/>
      <c r="Z250" s="809"/>
      <c r="AA250" s="785"/>
      <c r="AB250" s="785"/>
      <c r="AC250" s="785"/>
    </row>
    <row r="251" spans="1:68" ht="27" customHeight="1" x14ac:dyDescent="0.25">
      <c r="A251" s="54" t="s">
        <v>428</v>
      </c>
      <c r="B251" s="54" t="s">
        <v>429</v>
      </c>
      <c r="C251" s="31">
        <v>4301011945</v>
      </c>
      <c r="D251" s="793">
        <v>4680115884274</v>
      </c>
      <c r="E251" s="794"/>
      <c r="F251" s="788">
        <v>1.45</v>
      </c>
      <c r="G251" s="32">
        <v>8</v>
      </c>
      <c r="H251" s="788">
        <v>11.6</v>
      </c>
      <c r="I251" s="78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9"/>
      <c r="R251" s="799"/>
      <c r="S251" s="799"/>
      <c r="T251" s="800"/>
      <c r="U251" s="34"/>
      <c r="V251" s="34"/>
      <c r="W251" s="35" t="s">
        <v>69</v>
      </c>
      <c r="X251" s="789">
        <v>0</v>
      </c>
      <c r="Y251" s="790">
        <f t="shared" ref="Y251:Y258" si="5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ref="BM251:BM258" si="58">IFERROR(X251*I251/H251,"0")</f>
        <v>0</v>
      </c>
      <c r="BN251" s="64">
        <f t="shared" ref="BN251:BN258" si="59">IFERROR(Y251*I251/H251,"0")</f>
        <v>0</v>
      </c>
      <c r="BO251" s="64">
        <f t="shared" ref="BO251:BO258" si="60">IFERROR(1/J251*(X251/H251),"0")</f>
        <v>0</v>
      </c>
      <c r="BP251" s="64">
        <f t="shared" ref="BP251:BP258" si="61">IFERROR(1/J251*(Y251/H251),"0")</f>
        <v>0</v>
      </c>
    </row>
    <row r="252" spans="1:68" ht="27" customHeight="1" x14ac:dyDescent="0.25">
      <c r="A252" s="54" t="s">
        <v>428</v>
      </c>
      <c r="B252" s="54" t="s">
        <v>431</v>
      </c>
      <c r="C252" s="31">
        <v>4301011717</v>
      </c>
      <c r="D252" s="793">
        <v>4680115884274</v>
      </c>
      <c r="E252" s="794"/>
      <c r="F252" s="788">
        <v>1.45</v>
      </c>
      <c r="G252" s="32">
        <v>8</v>
      </c>
      <c r="H252" s="788">
        <v>11.6</v>
      </c>
      <c r="I252" s="78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9"/>
      <c r="R252" s="799"/>
      <c r="S252" s="799"/>
      <c r="T252" s="800"/>
      <c r="U252" s="34"/>
      <c r="V252" s="34"/>
      <c r="W252" s="35" t="s">
        <v>69</v>
      </c>
      <c r="X252" s="789">
        <v>0</v>
      </c>
      <c r="Y252" s="790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4301011719</v>
      </c>
      <c r="D253" s="793">
        <v>4680115884298</v>
      </c>
      <c r="E253" s="794"/>
      <c r="F253" s="788">
        <v>1.45</v>
      </c>
      <c r="G253" s="32">
        <v>8</v>
      </c>
      <c r="H253" s="788">
        <v>11.6</v>
      </c>
      <c r="I253" s="788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99"/>
      <c r="R253" s="799"/>
      <c r="S253" s="799"/>
      <c r="T253" s="800"/>
      <c r="U253" s="34"/>
      <c r="V253" s="34"/>
      <c r="W253" s="35" t="s">
        <v>69</v>
      </c>
      <c r="X253" s="789">
        <v>0</v>
      </c>
      <c r="Y253" s="790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437</v>
      </c>
      <c r="C254" s="31">
        <v>4301011944</v>
      </c>
      <c r="D254" s="793">
        <v>4680115884250</v>
      </c>
      <c r="E254" s="794"/>
      <c r="F254" s="788">
        <v>1.45</v>
      </c>
      <c r="G254" s="32">
        <v>8</v>
      </c>
      <c r="H254" s="788">
        <v>11.6</v>
      </c>
      <c r="I254" s="78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9"/>
      <c r="R254" s="799"/>
      <c r="S254" s="799"/>
      <c r="T254" s="800"/>
      <c r="U254" s="34"/>
      <c r="V254" s="34"/>
      <c r="W254" s="35" t="s">
        <v>69</v>
      </c>
      <c r="X254" s="789">
        <v>0</v>
      </c>
      <c r="Y254" s="79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436</v>
      </c>
      <c r="B255" s="54" t="s">
        <v>438</v>
      </c>
      <c r="C255" s="31">
        <v>4301011733</v>
      </c>
      <c r="D255" s="793">
        <v>4680115884250</v>
      </c>
      <c r="E255" s="794"/>
      <c r="F255" s="788">
        <v>1.45</v>
      </c>
      <c r="G255" s="32">
        <v>8</v>
      </c>
      <c r="H255" s="788">
        <v>11.6</v>
      </c>
      <c r="I255" s="788">
        <v>12.08</v>
      </c>
      <c r="J255" s="32">
        <v>56</v>
      </c>
      <c r="K255" s="32" t="s">
        <v>116</v>
      </c>
      <c r="L255" s="32"/>
      <c r="M255" s="33" t="s">
        <v>77</v>
      </c>
      <c r="N255" s="33"/>
      <c r="O255" s="32">
        <v>55</v>
      </c>
      <c r="P255" s="9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9"/>
      <c r="R255" s="799"/>
      <c r="S255" s="799"/>
      <c r="T255" s="800"/>
      <c r="U255" s="34"/>
      <c r="V255" s="34"/>
      <c r="W255" s="35" t="s">
        <v>69</v>
      </c>
      <c r="X255" s="789">
        <v>0</v>
      </c>
      <c r="Y255" s="790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439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4301011718</v>
      </c>
      <c r="D256" s="793">
        <v>4680115884281</v>
      </c>
      <c r="E256" s="794"/>
      <c r="F256" s="788">
        <v>0.4</v>
      </c>
      <c r="G256" s="32">
        <v>10</v>
      </c>
      <c r="H256" s="788">
        <v>4</v>
      </c>
      <c r="I256" s="788">
        <v>4.21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99"/>
      <c r="R256" s="799"/>
      <c r="S256" s="799"/>
      <c r="T256" s="800"/>
      <c r="U256" s="34"/>
      <c r="V256" s="34"/>
      <c r="W256" s="35" t="s">
        <v>69</v>
      </c>
      <c r="X256" s="789">
        <v>0</v>
      </c>
      <c r="Y256" s="79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4301011720</v>
      </c>
      <c r="D257" s="793">
        <v>4680115884199</v>
      </c>
      <c r="E257" s="794"/>
      <c r="F257" s="788">
        <v>0.37</v>
      </c>
      <c r="G257" s="32">
        <v>10</v>
      </c>
      <c r="H257" s="788">
        <v>3.7</v>
      </c>
      <c r="I257" s="788">
        <v>3.91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99"/>
      <c r="R257" s="799"/>
      <c r="S257" s="799"/>
      <c r="T257" s="800"/>
      <c r="U257" s="34"/>
      <c r="V257" s="34"/>
      <c r="W257" s="35" t="s">
        <v>69</v>
      </c>
      <c r="X257" s="789">
        <v>0</v>
      </c>
      <c r="Y257" s="79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435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444</v>
      </c>
      <c r="B258" s="54" t="s">
        <v>445</v>
      </c>
      <c r="C258" s="31">
        <v>4301011716</v>
      </c>
      <c r="D258" s="793">
        <v>4680115884267</v>
      </c>
      <c r="E258" s="794"/>
      <c r="F258" s="788">
        <v>0.4</v>
      </c>
      <c r="G258" s="32">
        <v>10</v>
      </c>
      <c r="H258" s="788">
        <v>4</v>
      </c>
      <c r="I258" s="788">
        <v>4.21</v>
      </c>
      <c r="J258" s="32">
        <v>132</v>
      </c>
      <c r="K258" s="32" t="s">
        <v>126</v>
      </c>
      <c r="L258" s="32"/>
      <c r="M258" s="33" t="s">
        <v>117</v>
      </c>
      <c r="N258" s="33"/>
      <c r="O258" s="32">
        <v>55</v>
      </c>
      <c r="P258" s="9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99"/>
      <c r="R258" s="799"/>
      <c r="S258" s="799"/>
      <c r="T258" s="800"/>
      <c r="U258" s="34"/>
      <c r="V258" s="34"/>
      <c r="W258" s="35" t="s">
        <v>69</v>
      </c>
      <c r="X258" s="789">
        <v>0</v>
      </c>
      <c r="Y258" s="790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439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x14ac:dyDescent="0.2">
      <c r="A259" s="808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795" t="s">
        <v>71</v>
      </c>
      <c r="Q259" s="796"/>
      <c r="R259" s="796"/>
      <c r="S259" s="796"/>
      <c r="T259" s="796"/>
      <c r="U259" s="796"/>
      <c r="V259" s="797"/>
      <c r="W259" s="37" t="s">
        <v>72</v>
      </c>
      <c r="X259" s="791">
        <f>IFERROR(X251/H251,"0")+IFERROR(X252/H252,"0")+IFERROR(X253/H253,"0")+IFERROR(X254/H254,"0")+IFERROR(X255/H255,"0")+IFERROR(X256/H256,"0")+IFERROR(X257/H257,"0")+IFERROR(X258/H258,"0")</f>
        <v>0</v>
      </c>
      <c r="Y259" s="791">
        <f>IFERROR(Y251/H251,"0")+IFERROR(Y252/H252,"0")+IFERROR(Y253/H253,"0")+IFERROR(Y254/H254,"0")+IFERROR(Y255/H255,"0")+IFERROR(Y256/H256,"0")+IFERROR(Y257/H257,"0")+IFERROR(Y258/H258,"0")</f>
        <v>0</v>
      </c>
      <c r="Z259" s="79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92"/>
      <c r="AB259" s="792"/>
      <c r="AC259" s="792"/>
    </row>
    <row r="260" spans="1:68" x14ac:dyDescent="0.2">
      <c r="A260" s="809"/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10"/>
      <c r="P260" s="795" t="s">
        <v>71</v>
      </c>
      <c r="Q260" s="796"/>
      <c r="R260" s="796"/>
      <c r="S260" s="796"/>
      <c r="T260" s="796"/>
      <c r="U260" s="796"/>
      <c r="V260" s="797"/>
      <c r="W260" s="37" t="s">
        <v>69</v>
      </c>
      <c r="X260" s="791">
        <f>IFERROR(SUM(X251:X258),"0")</f>
        <v>0</v>
      </c>
      <c r="Y260" s="791">
        <f>IFERROR(SUM(Y251:Y258),"0")</f>
        <v>0</v>
      </c>
      <c r="Z260" s="37"/>
      <c r="AA260" s="792"/>
      <c r="AB260" s="792"/>
      <c r="AC260" s="792"/>
    </row>
    <row r="261" spans="1:68" ht="16.5" customHeight="1" x14ac:dyDescent="0.25">
      <c r="A261" s="839" t="s">
        <v>446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84"/>
      <c r="AB261" s="784"/>
      <c r="AC261" s="784"/>
    </row>
    <row r="262" spans="1:68" ht="14.25" customHeight="1" x14ac:dyDescent="0.25">
      <c r="A262" s="811" t="s">
        <v>113</v>
      </c>
      <c r="B262" s="809"/>
      <c r="C262" s="809"/>
      <c r="D262" s="809"/>
      <c r="E262" s="809"/>
      <c r="F262" s="809"/>
      <c r="G262" s="809"/>
      <c r="H262" s="809"/>
      <c r="I262" s="809"/>
      <c r="J262" s="809"/>
      <c r="K262" s="809"/>
      <c r="L262" s="809"/>
      <c r="M262" s="809"/>
      <c r="N262" s="809"/>
      <c r="O262" s="809"/>
      <c r="P262" s="809"/>
      <c r="Q262" s="809"/>
      <c r="R262" s="809"/>
      <c r="S262" s="809"/>
      <c r="T262" s="809"/>
      <c r="U262" s="809"/>
      <c r="V262" s="809"/>
      <c r="W262" s="809"/>
      <c r="X262" s="809"/>
      <c r="Y262" s="809"/>
      <c r="Z262" s="809"/>
      <c r="AA262" s="785"/>
      <c r="AB262" s="785"/>
      <c r="AC262" s="785"/>
    </row>
    <row r="263" spans="1:68" ht="27" customHeight="1" x14ac:dyDescent="0.25">
      <c r="A263" s="54" t="s">
        <v>447</v>
      </c>
      <c r="B263" s="54" t="s">
        <v>448</v>
      </c>
      <c r="C263" s="31">
        <v>4301011942</v>
      </c>
      <c r="D263" s="793">
        <v>4680115884137</v>
      </c>
      <c r="E263" s="794"/>
      <c r="F263" s="788">
        <v>1.45</v>
      </c>
      <c r="G263" s="32">
        <v>8</v>
      </c>
      <c r="H263" s="788">
        <v>11.6</v>
      </c>
      <c r="I263" s="78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9"/>
      <c r="R263" s="799"/>
      <c r="S263" s="799"/>
      <c r="T263" s="800"/>
      <c r="U263" s="34"/>
      <c r="V263" s="34"/>
      <c r="W263" s="35" t="s">
        <v>69</v>
      </c>
      <c r="X263" s="789">
        <v>0</v>
      </c>
      <c r="Y263" s="790">
        <f t="shared" ref="Y263:Y271" si="6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ref="BM263:BM271" si="63">IFERROR(X263*I263/H263,"0")</f>
        <v>0</v>
      </c>
      <c r="BN263" s="64">
        <f t="shared" ref="BN263:BN271" si="64">IFERROR(Y263*I263/H263,"0")</f>
        <v>0</v>
      </c>
      <c r="BO263" s="64">
        <f t="shared" ref="BO263:BO271" si="65">IFERROR(1/J263*(X263/H263),"0")</f>
        <v>0</v>
      </c>
      <c r="BP263" s="64">
        <f t="shared" ref="BP263:BP271" si="66">IFERROR(1/J263*(Y263/H263),"0")</f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4301011826</v>
      </c>
      <c r="D264" s="793">
        <v>4680115884137</v>
      </c>
      <c r="E264" s="794"/>
      <c r="F264" s="788">
        <v>1.45</v>
      </c>
      <c r="G264" s="32">
        <v>8</v>
      </c>
      <c r="H264" s="788">
        <v>11.6</v>
      </c>
      <c r="I264" s="78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9"/>
      <c r="R264" s="799"/>
      <c r="S264" s="799"/>
      <c r="T264" s="800"/>
      <c r="U264" s="34"/>
      <c r="V264" s="34"/>
      <c r="W264" s="35" t="s">
        <v>69</v>
      </c>
      <c r="X264" s="789">
        <v>30</v>
      </c>
      <c r="Y264" s="790">
        <f t="shared" si="62"/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31.241379310344826</v>
      </c>
      <c r="BN264" s="64">
        <f t="shared" si="64"/>
        <v>36.239999999999995</v>
      </c>
      <c r="BO264" s="64">
        <f t="shared" si="65"/>
        <v>4.6182266009852216E-2</v>
      </c>
      <c r="BP264" s="64">
        <f t="shared" si="66"/>
        <v>5.3571428571428568E-2</v>
      </c>
    </row>
    <row r="265" spans="1:68" ht="27" customHeight="1" x14ac:dyDescent="0.25">
      <c r="A265" s="54" t="s">
        <v>451</v>
      </c>
      <c r="B265" s="54" t="s">
        <v>452</v>
      </c>
      <c r="C265" s="31">
        <v>4301011724</v>
      </c>
      <c r="D265" s="793">
        <v>4680115884236</v>
      </c>
      <c r="E265" s="794"/>
      <c r="F265" s="788">
        <v>1.45</v>
      </c>
      <c r="G265" s="32">
        <v>8</v>
      </c>
      <c r="H265" s="788">
        <v>11.6</v>
      </c>
      <c r="I265" s="788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99"/>
      <c r="R265" s="799"/>
      <c r="S265" s="799"/>
      <c r="T265" s="800"/>
      <c r="U265" s="34"/>
      <c r="V265" s="34"/>
      <c r="W265" s="35" t="s">
        <v>69</v>
      </c>
      <c r="X265" s="789">
        <v>10</v>
      </c>
      <c r="Y265" s="790">
        <f t="shared" si="62"/>
        <v>11.6</v>
      </c>
      <c r="Z265" s="36">
        <f>IFERROR(IF(Y265=0,"",ROUNDUP(Y265/H265,0)*0.02175),"")</f>
        <v>2.1749999999999999E-2</v>
      </c>
      <c r="AA265" s="56"/>
      <c r="AB265" s="57"/>
      <c r="AC265" s="345" t="s">
        <v>453</v>
      </c>
      <c r="AG265" s="64"/>
      <c r="AJ265" s="68"/>
      <c r="AK265" s="68">
        <v>0</v>
      </c>
      <c r="BB265" s="346" t="s">
        <v>1</v>
      </c>
      <c r="BM265" s="64">
        <f t="shared" si="63"/>
        <v>10.413793103448276</v>
      </c>
      <c r="BN265" s="64">
        <f t="shared" si="64"/>
        <v>12.079999999999998</v>
      </c>
      <c r="BO265" s="64">
        <f t="shared" si="65"/>
        <v>1.5394088669950739E-2</v>
      </c>
      <c r="BP265" s="64">
        <f t="shared" si="66"/>
        <v>1.7857142857142856E-2</v>
      </c>
    </row>
    <row r="266" spans="1:68" ht="27" customHeight="1" x14ac:dyDescent="0.25">
      <c r="A266" s="54" t="s">
        <v>454</v>
      </c>
      <c r="B266" s="54" t="s">
        <v>455</v>
      </c>
      <c r="C266" s="31">
        <v>4301011941</v>
      </c>
      <c r="D266" s="793">
        <v>4680115884175</v>
      </c>
      <c r="E266" s="794"/>
      <c r="F266" s="788">
        <v>1.45</v>
      </c>
      <c r="G266" s="32">
        <v>8</v>
      </c>
      <c r="H266" s="788">
        <v>11.6</v>
      </c>
      <c r="I266" s="78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9"/>
      <c r="R266" s="799"/>
      <c r="S266" s="799"/>
      <c r="T266" s="800"/>
      <c r="U266" s="34"/>
      <c r="V266" s="34"/>
      <c r="W266" s="35" t="s">
        <v>69</v>
      </c>
      <c r="X266" s="789">
        <v>0</v>
      </c>
      <c r="Y266" s="79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456</v>
      </c>
      <c r="C267" s="31">
        <v>4301011721</v>
      </c>
      <c r="D267" s="793">
        <v>4680115884175</v>
      </c>
      <c r="E267" s="794"/>
      <c r="F267" s="788">
        <v>1.45</v>
      </c>
      <c r="G267" s="32">
        <v>8</v>
      </c>
      <c r="H267" s="788">
        <v>11.6</v>
      </c>
      <c r="I267" s="788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9"/>
      <c r="R267" s="799"/>
      <c r="S267" s="799"/>
      <c r="T267" s="800"/>
      <c r="U267" s="34"/>
      <c r="V267" s="34"/>
      <c r="W267" s="35" t="s">
        <v>69</v>
      </c>
      <c r="X267" s="789">
        <v>100</v>
      </c>
      <c r="Y267" s="790">
        <f t="shared" si="62"/>
        <v>104.39999999999999</v>
      </c>
      <c r="Z267" s="36">
        <f>IFERROR(IF(Y267=0,"",ROUNDUP(Y267/H267,0)*0.02175),"")</f>
        <v>0.19574999999999998</v>
      </c>
      <c r="AA267" s="56"/>
      <c r="AB267" s="57"/>
      <c r="AC267" s="349" t="s">
        <v>457</v>
      </c>
      <c r="AG267" s="64"/>
      <c r="AJ267" s="68"/>
      <c r="AK267" s="68">
        <v>0</v>
      </c>
      <c r="BB267" s="350" t="s">
        <v>1</v>
      </c>
      <c r="BM267" s="64">
        <f t="shared" si="63"/>
        <v>104.13793103448276</v>
      </c>
      <c r="BN267" s="64">
        <f t="shared" si="64"/>
        <v>108.71999999999998</v>
      </c>
      <c r="BO267" s="64">
        <f t="shared" si="65"/>
        <v>0.1539408866995074</v>
      </c>
      <c r="BP267" s="64">
        <f t="shared" si="66"/>
        <v>0.1607142857142857</v>
      </c>
    </row>
    <row r="268" spans="1:68" ht="27" customHeight="1" x14ac:dyDescent="0.25">
      <c r="A268" s="54" t="s">
        <v>458</v>
      </c>
      <c r="B268" s="54" t="s">
        <v>459</v>
      </c>
      <c r="C268" s="31">
        <v>4301011824</v>
      </c>
      <c r="D268" s="793">
        <v>4680115884144</v>
      </c>
      <c r="E268" s="794"/>
      <c r="F268" s="788">
        <v>0.4</v>
      </c>
      <c r="G268" s="32">
        <v>10</v>
      </c>
      <c r="H268" s="788">
        <v>4</v>
      </c>
      <c r="I268" s="788">
        <v>4.21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99"/>
      <c r="R268" s="799"/>
      <c r="S268" s="799"/>
      <c r="T268" s="800"/>
      <c r="U268" s="34"/>
      <c r="V268" s="34"/>
      <c r="W268" s="35" t="s">
        <v>69</v>
      </c>
      <c r="X268" s="789">
        <v>40</v>
      </c>
      <c r="Y268" s="790">
        <f t="shared" si="62"/>
        <v>40</v>
      </c>
      <c r="Z268" s="36">
        <f>IFERROR(IF(Y268=0,"",ROUNDUP(Y268/H268,0)*0.00902),"")</f>
        <v>9.0200000000000002E-2</v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42.1</v>
      </c>
      <c r="BN268" s="64">
        <f t="shared" si="64"/>
        <v>42.1</v>
      </c>
      <c r="BO268" s="64">
        <f t="shared" si="65"/>
        <v>7.575757575757576E-2</v>
      </c>
      <c r="BP268" s="64">
        <f t="shared" si="66"/>
        <v>7.575757575757576E-2</v>
      </c>
    </row>
    <row r="269" spans="1:68" ht="27" customHeight="1" x14ac:dyDescent="0.25">
      <c r="A269" s="54" t="s">
        <v>460</v>
      </c>
      <c r="B269" s="54" t="s">
        <v>461</v>
      </c>
      <c r="C269" s="31">
        <v>4301011963</v>
      </c>
      <c r="D269" s="793">
        <v>4680115885288</v>
      </c>
      <c r="E269" s="794"/>
      <c r="F269" s="788">
        <v>0.37</v>
      </c>
      <c r="G269" s="32">
        <v>10</v>
      </c>
      <c r="H269" s="788">
        <v>3.7</v>
      </c>
      <c r="I269" s="788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99"/>
      <c r="R269" s="799"/>
      <c r="S269" s="799"/>
      <c r="T269" s="800"/>
      <c r="U269" s="34"/>
      <c r="V269" s="34"/>
      <c r="W269" s="35" t="s">
        <v>69</v>
      </c>
      <c r="X269" s="789">
        <v>0</v>
      </c>
      <c r="Y269" s="79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4301011726</v>
      </c>
      <c r="D270" s="793">
        <v>4680115884182</v>
      </c>
      <c r="E270" s="794"/>
      <c r="F270" s="788">
        <v>0.37</v>
      </c>
      <c r="G270" s="32">
        <v>10</v>
      </c>
      <c r="H270" s="788">
        <v>3.7</v>
      </c>
      <c r="I270" s="788">
        <v>3.91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99"/>
      <c r="R270" s="799"/>
      <c r="S270" s="799"/>
      <c r="T270" s="800"/>
      <c r="U270" s="34"/>
      <c r="V270" s="34"/>
      <c r="W270" s="35" t="s">
        <v>69</v>
      </c>
      <c r="X270" s="789">
        <v>0</v>
      </c>
      <c r="Y270" s="79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465</v>
      </c>
      <c r="B271" s="54" t="s">
        <v>466</v>
      </c>
      <c r="C271" s="31">
        <v>4301011722</v>
      </c>
      <c r="D271" s="793">
        <v>4680115884205</v>
      </c>
      <c r="E271" s="794"/>
      <c r="F271" s="788">
        <v>0.4</v>
      </c>
      <c r="G271" s="32">
        <v>10</v>
      </c>
      <c r="H271" s="788">
        <v>4</v>
      </c>
      <c r="I271" s="788">
        <v>4.21</v>
      </c>
      <c r="J271" s="32">
        <v>132</v>
      </c>
      <c r="K271" s="32" t="s">
        <v>126</v>
      </c>
      <c r="L271" s="32"/>
      <c r="M271" s="33" t="s">
        <v>117</v>
      </c>
      <c r="N271" s="33"/>
      <c r="O271" s="32">
        <v>55</v>
      </c>
      <c r="P271" s="8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99"/>
      <c r="R271" s="799"/>
      <c r="S271" s="799"/>
      <c r="T271" s="800"/>
      <c r="U271" s="34"/>
      <c r="V271" s="34"/>
      <c r="W271" s="35" t="s">
        <v>69</v>
      </c>
      <c r="X271" s="789">
        <v>60</v>
      </c>
      <c r="Y271" s="790">
        <f t="shared" si="62"/>
        <v>60</v>
      </c>
      <c r="Z271" s="36">
        <f>IFERROR(IF(Y271=0,"",ROUNDUP(Y271/H271,0)*0.00902),"")</f>
        <v>0.1353</v>
      </c>
      <c r="AA271" s="56"/>
      <c r="AB271" s="57"/>
      <c r="AC271" s="357" t="s">
        <v>457</v>
      </c>
      <c r="AG271" s="64"/>
      <c r="AJ271" s="68"/>
      <c r="AK271" s="68">
        <v>0</v>
      </c>
      <c r="BB271" s="358" t="s">
        <v>1</v>
      </c>
      <c r="BM271" s="64">
        <f t="shared" si="63"/>
        <v>63.15</v>
      </c>
      <c r="BN271" s="64">
        <f t="shared" si="64"/>
        <v>63.15</v>
      </c>
      <c r="BO271" s="64">
        <f t="shared" si="65"/>
        <v>0.11363636363636365</v>
      </c>
      <c r="BP271" s="64">
        <f t="shared" si="66"/>
        <v>0.11363636363636365</v>
      </c>
    </row>
    <row r="272" spans="1:68" x14ac:dyDescent="0.2">
      <c r="A272" s="808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795" t="s">
        <v>71</v>
      </c>
      <c r="Q272" s="796"/>
      <c r="R272" s="796"/>
      <c r="S272" s="796"/>
      <c r="T272" s="796"/>
      <c r="U272" s="796"/>
      <c r="V272" s="797"/>
      <c r="W272" s="37" t="s">
        <v>72</v>
      </c>
      <c r="X272" s="791">
        <f>IFERROR(X263/H263,"0")+IFERROR(X264/H264,"0")+IFERROR(X265/H265,"0")+IFERROR(X266/H266,"0")+IFERROR(X267/H267,"0")+IFERROR(X268/H268,"0")+IFERROR(X269/H269,"0")+IFERROR(X270/H270,"0")+IFERROR(X271/H271,"0")</f>
        <v>37.068965517241381</v>
      </c>
      <c r="Y272" s="791">
        <f>IFERROR(Y263/H263,"0")+IFERROR(Y264/H264,"0")+IFERROR(Y265/H265,"0")+IFERROR(Y266/H266,"0")+IFERROR(Y267/H267,"0")+IFERROR(Y268/H268,"0")+IFERROR(Y269/H269,"0")+IFERROR(Y270/H270,"0")+IFERROR(Y271/H271,"0")</f>
        <v>38</v>
      </c>
      <c r="Z272" s="79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0.50824999999999998</v>
      </c>
      <c r="AA272" s="792"/>
      <c r="AB272" s="792"/>
      <c r="AC272" s="792"/>
    </row>
    <row r="273" spans="1:68" x14ac:dyDescent="0.2">
      <c r="A273" s="809"/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10"/>
      <c r="P273" s="795" t="s">
        <v>71</v>
      </c>
      <c r="Q273" s="796"/>
      <c r="R273" s="796"/>
      <c r="S273" s="796"/>
      <c r="T273" s="796"/>
      <c r="U273" s="796"/>
      <c r="V273" s="797"/>
      <c r="W273" s="37" t="s">
        <v>69</v>
      </c>
      <c r="X273" s="791">
        <f>IFERROR(SUM(X263:X271),"0")</f>
        <v>240</v>
      </c>
      <c r="Y273" s="791">
        <f>IFERROR(SUM(Y263:Y271),"0")</f>
        <v>250.79999999999998</v>
      </c>
      <c r="Z273" s="37"/>
      <c r="AA273" s="792"/>
      <c r="AB273" s="792"/>
      <c r="AC273" s="792"/>
    </row>
    <row r="274" spans="1:68" ht="14.25" customHeight="1" x14ac:dyDescent="0.25">
      <c r="A274" s="811" t="s">
        <v>166</v>
      </c>
      <c r="B274" s="809"/>
      <c r="C274" s="809"/>
      <c r="D274" s="809"/>
      <c r="E274" s="809"/>
      <c r="F274" s="809"/>
      <c r="G274" s="809"/>
      <c r="H274" s="809"/>
      <c r="I274" s="809"/>
      <c r="J274" s="809"/>
      <c r="K274" s="809"/>
      <c r="L274" s="809"/>
      <c r="M274" s="809"/>
      <c r="N274" s="809"/>
      <c r="O274" s="809"/>
      <c r="P274" s="809"/>
      <c r="Q274" s="809"/>
      <c r="R274" s="809"/>
      <c r="S274" s="809"/>
      <c r="T274" s="809"/>
      <c r="U274" s="809"/>
      <c r="V274" s="809"/>
      <c r="W274" s="809"/>
      <c r="X274" s="809"/>
      <c r="Y274" s="809"/>
      <c r="Z274" s="809"/>
      <c r="AA274" s="785"/>
      <c r="AB274" s="785"/>
      <c r="AC274" s="785"/>
    </row>
    <row r="275" spans="1:68" ht="27" customHeight="1" x14ac:dyDescent="0.25">
      <c r="A275" s="54" t="s">
        <v>467</v>
      </c>
      <c r="B275" s="54" t="s">
        <v>468</v>
      </c>
      <c r="C275" s="31">
        <v>4301020340</v>
      </c>
      <c r="D275" s="793">
        <v>4680115885721</v>
      </c>
      <c r="E275" s="794"/>
      <c r="F275" s="788">
        <v>0.33</v>
      </c>
      <c r="G275" s="32">
        <v>6</v>
      </c>
      <c r="H275" s="788">
        <v>1.98</v>
      </c>
      <c r="I275" s="788">
        <v>2.08</v>
      </c>
      <c r="J275" s="32">
        <v>234</v>
      </c>
      <c r="K275" s="32" t="s">
        <v>67</v>
      </c>
      <c r="L275" s="32"/>
      <c r="M275" s="33" t="s">
        <v>77</v>
      </c>
      <c r="N275" s="33"/>
      <c r="O275" s="32">
        <v>50</v>
      </c>
      <c r="P275" s="8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799"/>
      <c r="R275" s="799"/>
      <c r="S275" s="799"/>
      <c r="T275" s="800"/>
      <c r="U275" s="34"/>
      <c r="V275" s="34"/>
      <c r="W275" s="35" t="s">
        <v>69</v>
      </c>
      <c r="X275" s="789">
        <v>0</v>
      </c>
      <c r="Y275" s="79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469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808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795" t="s">
        <v>71</v>
      </c>
      <c r="Q276" s="796"/>
      <c r="R276" s="796"/>
      <c r="S276" s="796"/>
      <c r="T276" s="796"/>
      <c r="U276" s="796"/>
      <c r="V276" s="797"/>
      <c r="W276" s="37" t="s">
        <v>72</v>
      </c>
      <c r="X276" s="791">
        <f>IFERROR(X275/H275,"0")</f>
        <v>0</v>
      </c>
      <c r="Y276" s="791">
        <f>IFERROR(Y275/H275,"0")</f>
        <v>0</v>
      </c>
      <c r="Z276" s="791">
        <f>IFERROR(IF(Z275="",0,Z275),"0")</f>
        <v>0</v>
      </c>
      <c r="AA276" s="792"/>
      <c r="AB276" s="792"/>
      <c r="AC276" s="792"/>
    </row>
    <row r="277" spans="1:68" x14ac:dyDescent="0.2">
      <c r="A277" s="809"/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10"/>
      <c r="P277" s="795" t="s">
        <v>71</v>
      </c>
      <c r="Q277" s="796"/>
      <c r="R277" s="796"/>
      <c r="S277" s="796"/>
      <c r="T277" s="796"/>
      <c r="U277" s="796"/>
      <c r="V277" s="797"/>
      <c r="W277" s="37" t="s">
        <v>69</v>
      </c>
      <c r="X277" s="791">
        <f>IFERROR(SUM(X275:X275),"0")</f>
        <v>0</v>
      </c>
      <c r="Y277" s="791">
        <f>IFERROR(SUM(Y275:Y275),"0")</f>
        <v>0</v>
      </c>
      <c r="Z277" s="37"/>
      <c r="AA277" s="792"/>
      <c r="AB277" s="792"/>
      <c r="AC277" s="792"/>
    </row>
    <row r="278" spans="1:68" ht="16.5" customHeight="1" x14ac:dyDescent="0.25">
      <c r="A278" s="839" t="s">
        <v>470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84"/>
      <c r="AB278" s="784"/>
      <c r="AC278" s="784"/>
    </row>
    <row r="279" spans="1:68" ht="14.25" customHeight="1" x14ac:dyDescent="0.25">
      <c r="A279" s="811" t="s">
        <v>113</v>
      </c>
      <c r="B279" s="809"/>
      <c r="C279" s="809"/>
      <c r="D279" s="809"/>
      <c r="E279" s="809"/>
      <c r="F279" s="809"/>
      <c r="G279" s="809"/>
      <c r="H279" s="809"/>
      <c r="I279" s="809"/>
      <c r="J279" s="809"/>
      <c r="K279" s="809"/>
      <c r="L279" s="809"/>
      <c r="M279" s="809"/>
      <c r="N279" s="809"/>
      <c r="O279" s="809"/>
      <c r="P279" s="809"/>
      <c r="Q279" s="809"/>
      <c r="R279" s="809"/>
      <c r="S279" s="809"/>
      <c r="T279" s="809"/>
      <c r="U279" s="809"/>
      <c r="V279" s="809"/>
      <c r="W279" s="809"/>
      <c r="X279" s="809"/>
      <c r="Y279" s="809"/>
      <c r="Z279" s="809"/>
      <c r="AA279" s="785"/>
      <c r="AB279" s="785"/>
      <c r="AC279" s="785"/>
    </row>
    <row r="280" spans="1:68" ht="27" customHeight="1" x14ac:dyDescent="0.25">
      <c r="A280" s="54" t="s">
        <v>471</v>
      </c>
      <c r="B280" s="54" t="s">
        <v>472</v>
      </c>
      <c r="C280" s="31">
        <v>4301011322</v>
      </c>
      <c r="D280" s="793">
        <v>4607091387452</v>
      </c>
      <c r="E280" s="794"/>
      <c r="F280" s="788">
        <v>1.35</v>
      </c>
      <c r="G280" s="32">
        <v>8</v>
      </c>
      <c r="H280" s="788">
        <v>10.8</v>
      </c>
      <c r="I280" s="788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9"/>
      <c r="R280" s="799"/>
      <c r="S280" s="799"/>
      <c r="T280" s="800"/>
      <c r="U280" s="34"/>
      <c r="V280" s="34"/>
      <c r="W280" s="35" t="s">
        <v>69</v>
      </c>
      <c r="X280" s="789">
        <v>0</v>
      </c>
      <c r="Y280" s="790">
        <f t="shared" ref="Y280:Y289" si="6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ref="BM280:BM289" si="68">IFERROR(X280*I280/H280,"0")</f>
        <v>0</v>
      </c>
      <c r="BN280" s="64">
        <f t="shared" ref="BN280:BN289" si="69">IFERROR(Y280*I280/H280,"0")</f>
        <v>0</v>
      </c>
      <c r="BO280" s="64">
        <f t="shared" ref="BO280:BO289" si="70">IFERROR(1/J280*(X280/H280),"0")</f>
        <v>0</v>
      </c>
      <c r="BP280" s="64">
        <f t="shared" ref="BP280:BP289" si="71">IFERROR(1/J280*(Y280/H280),"0")</f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4301011855</v>
      </c>
      <c r="D281" s="793">
        <v>4680115885837</v>
      </c>
      <c r="E281" s="794"/>
      <c r="F281" s="788">
        <v>1.35</v>
      </c>
      <c r="G281" s="32">
        <v>8</v>
      </c>
      <c r="H281" s="788">
        <v>10.8</v>
      </c>
      <c r="I281" s="788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9"/>
      <c r="R281" s="799"/>
      <c r="S281" s="799"/>
      <c r="T281" s="800"/>
      <c r="U281" s="34"/>
      <c r="V281" s="34"/>
      <c r="W281" s="35" t="s">
        <v>69</v>
      </c>
      <c r="X281" s="789">
        <v>0</v>
      </c>
      <c r="Y281" s="790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478</v>
      </c>
      <c r="C282" s="31">
        <v>4301011910</v>
      </c>
      <c r="D282" s="793">
        <v>4680115885806</v>
      </c>
      <c r="E282" s="794"/>
      <c r="F282" s="788">
        <v>1.35</v>
      </c>
      <c r="G282" s="32">
        <v>8</v>
      </c>
      <c r="H282" s="788">
        <v>10.8</v>
      </c>
      <c r="I282" s="788">
        <v>11.28</v>
      </c>
      <c r="J282" s="32">
        <v>48</v>
      </c>
      <c r="K282" s="32" t="s">
        <v>116</v>
      </c>
      <c r="L282" s="32"/>
      <c r="M282" s="33" t="s">
        <v>147</v>
      </c>
      <c r="N282" s="33"/>
      <c r="O282" s="32">
        <v>55</v>
      </c>
      <c r="P282" s="11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9"/>
      <c r="R282" s="799"/>
      <c r="S282" s="799"/>
      <c r="T282" s="800"/>
      <c r="U282" s="34"/>
      <c r="V282" s="34"/>
      <c r="W282" s="35" t="s">
        <v>69</v>
      </c>
      <c r="X282" s="789">
        <v>0</v>
      </c>
      <c r="Y282" s="790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477</v>
      </c>
      <c r="B283" s="54" t="s">
        <v>480</v>
      </c>
      <c r="C283" s="31">
        <v>4301011850</v>
      </c>
      <c r="D283" s="793">
        <v>4680115885806</v>
      </c>
      <c r="E283" s="794"/>
      <c r="F283" s="788">
        <v>1.35</v>
      </c>
      <c r="G283" s="32">
        <v>8</v>
      </c>
      <c r="H283" s="788">
        <v>10.8</v>
      </c>
      <c r="I283" s="788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9"/>
      <c r="R283" s="799"/>
      <c r="S283" s="799"/>
      <c r="T283" s="800"/>
      <c r="U283" s="34"/>
      <c r="V283" s="34"/>
      <c r="W283" s="35" t="s">
        <v>69</v>
      </c>
      <c r="X283" s="789">
        <v>0</v>
      </c>
      <c r="Y283" s="790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4301011313</v>
      </c>
      <c r="D284" s="793">
        <v>4607091385984</v>
      </c>
      <c r="E284" s="794"/>
      <c r="F284" s="788">
        <v>1.35</v>
      </c>
      <c r="G284" s="32">
        <v>8</v>
      </c>
      <c r="H284" s="788">
        <v>10.8</v>
      </c>
      <c r="I284" s="788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9"/>
      <c r="R284" s="799"/>
      <c r="S284" s="799"/>
      <c r="T284" s="800"/>
      <c r="U284" s="34"/>
      <c r="V284" s="34"/>
      <c r="W284" s="35" t="s">
        <v>69</v>
      </c>
      <c r="X284" s="789">
        <v>0</v>
      </c>
      <c r="Y284" s="790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485</v>
      </c>
      <c r="B285" s="54" t="s">
        <v>486</v>
      </c>
      <c r="C285" s="31">
        <v>4301011853</v>
      </c>
      <c r="D285" s="793">
        <v>4680115885851</v>
      </c>
      <c r="E285" s="794"/>
      <c r="F285" s="788">
        <v>1.35</v>
      </c>
      <c r="G285" s="32">
        <v>8</v>
      </c>
      <c r="H285" s="788">
        <v>10.8</v>
      </c>
      <c r="I285" s="788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9"/>
      <c r="R285" s="799"/>
      <c r="S285" s="799"/>
      <c r="T285" s="800"/>
      <c r="U285" s="34"/>
      <c r="V285" s="34"/>
      <c r="W285" s="35" t="s">
        <v>69</v>
      </c>
      <c r="X285" s="789">
        <v>0</v>
      </c>
      <c r="Y285" s="790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487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488</v>
      </c>
      <c r="B286" s="54" t="s">
        <v>489</v>
      </c>
      <c r="C286" s="31">
        <v>4301011319</v>
      </c>
      <c r="D286" s="793">
        <v>4607091387469</v>
      </c>
      <c r="E286" s="794"/>
      <c r="F286" s="788">
        <v>0.5</v>
      </c>
      <c r="G286" s="32">
        <v>10</v>
      </c>
      <c r="H286" s="788">
        <v>5</v>
      </c>
      <c r="I286" s="788">
        <v>5.21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9"/>
      <c r="R286" s="799"/>
      <c r="S286" s="799"/>
      <c r="T286" s="800"/>
      <c r="U286" s="34"/>
      <c r="V286" s="34"/>
      <c r="W286" s="35" t="s">
        <v>69</v>
      </c>
      <c r="X286" s="789">
        <v>0</v>
      </c>
      <c r="Y286" s="79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473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4301011852</v>
      </c>
      <c r="D287" s="793">
        <v>4680115885844</v>
      </c>
      <c r="E287" s="794"/>
      <c r="F287" s="788">
        <v>0.4</v>
      </c>
      <c r="G287" s="32">
        <v>10</v>
      </c>
      <c r="H287" s="788">
        <v>4</v>
      </c>
      <c r="I287" s="788">
        <v>4.21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9"/>
      <c r="R287" s="799"/>
      <c r="S287" s="799"/>
      <c r="T287" s="800"/>
      <c r="U287" s="34"/>
      <c r="V287" s="34"/>
      <c r="W287" s="35" t="s">
        <v>69</v>
      </c>
      <c r="X287" s="789">
        <v>0</v>
      </c>
      <c r="Y287" s="79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4301011316</v>
      </c>
      <c r="D288" s="793">
        <v>4607091387438</v>
      </c>
      <c r="E288" s="794"/>
      <c r="F288" s="788">
        <v>0.5</v>
      </c>
      <c r="G288" s="32">
        <v>10</v>
      </c>
      <c r="H288" s="788">
        <v>5</v>
      </c>
      <c r="I288" s="788">
        <v>5.21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9"/>
      <c r="R288" s="799"/>
      <c r="S288" s="799"/>
      <c r="T288" s="800"/>
      <c r="U288" s="34"/>
      <c r="V288" s="34"/>
      <c r="W288" s="35" t="s">
        <v>69</v>
      </c>
      <c r="X288" s="789">
        <v>0</v>
      </c>
      <c r="Y288" s="790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496</v>
      </c>
      <c r="B289" s="54" t="s">
        <v>497</v>
      </c>
      <c r="C289" s="31">
        <v>4301011851</v>
      </c>
      <c r="D289" s="793">
        <v>4680115885820</v>
      </c>
      <c r="E289" s="794"/>
      <c r="F289" s="788">
        <v>0.4</v>
      </c>
      <c r="G289" s="32">
        <v>10</v>
      </c>
      <c r="H289" s="788">
        <v>4</v>
      </c>
      <c r="I289" s="788">
        <v>4.21</v>
      </c>
      <c r="J289" s="32">
        <v>132</v>
      </c>
      <c r="K289" s="32" t="s">
        <v>126</v>
      </c>
      <c r="L289" s="32"/>
      <c r="M289" s="33" t="s">
        <v>117</v>
      </c>
      <c r="N289" s="33"/>
      <c r="O289" s="32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9"/>
      <c r="R289" s="799"/>
      <c r="S289" s="799"/>
      <c r="T289" s="800"/>
      <c r="U289" s="34"/>
      <c r="V289" s="34"/>
      <c r="W289" s="35" t="s">
        <v>69</v>
      </c>
      <c r="X289" s="789">
        <v>0</v>
      </c>
      <c r="Y289" s="790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x14ac:dyDescent="0.2">
      <c r="A290" s="808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795" t="s">
        <v>71</v>
      </c>
      <c r="Q290" s="796"/>
      <c r="R290" s="796"/>
      <c r="S290" s="796"/>
      <c r="T290" s="796"/>
      <c r="U290" s="796"/>
      <c r="V290" s="797"/>
      <c r="W290" s="37" t="s">
        <v>72</v>
      </c>
      <c r="X290" s="79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9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9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92"/>
      <c r="AB290" s="792"/>
      <c r="AC290" s="792"/>
    </row>
    <row r="291" spans="1:68" x14ac:dyDescent="0.2">
      <c r="A291" s="809"/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10"/>
      <c r="P291" s="795" t="s">
        <v>71</v>
      </c>
      <c r="Q291" s="796"/>
      <c r="R291" s="796"/>
      <c r="S291" s="796"/>
      <c r="T291" s="796"/>
      <c r="U291" s="796"/>
      <c r="V291" s="797"/>
      <c r="W291" s="37" t="s">
        <v>69</v>
      </c>
      <c r="X291" s="791">
        <f>IFERROR(SUM(X280:X289),"0")</f>
        <v>0</v>
      </c>
      <c r="Y291" s="791">
        <f>IFERROR(SUM(Y280:Y289),"0")</f>
        <v>0</v>
      </c>
      <c r="Z291" s="37"/>
      <c r="AA291" s="792"/>
      <c r="AB291" s="792"/>
      <c r="AC291" s="792"/>
    </row>
    <row r="292" spans="1:68" ht="16.5" customHeight="1" x14ac:dyDescent="0.25">
      <c r="A292" s="839" t="s">
        <v>499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84"/>
      <c r="AB292" s="784"/>
      <c r="AC292" s="784"/>
    </row>
    <row r="293" spans="1:68" ht="14.25" customHeight="1" x14ac:dyDescent="0.25">
      <c r="A293" s="811" t="s">
        <v>113</v>
      </c>
      <c r="B293" s="809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  <c r="U293" s="809"/>
      <c r="V293" s="809"/>
      <c r="W293" s="809"/>
      <c r="X293" s="809"/>
      <c r="Y293" s="809"/>
      <c r="Z293" s="809"/>
      <c r="AA293" s="785"/>
      <c r="AB293" s="785"/>
      <c r="AC293" s="785"/>
    </row>
    <row r="294" spans="1:68" ht="27" customHeight="1" x14ac:dyDescent="0.25">
      <c r="A294" s="54" t="s">
        <v>500</v>
      </c>
      <c r="B294" s="54" t="s">
        <v>501</v>
      </c>
      <c r="C294" s="31">
        <v>4301011876</v>
      </c>
      <c r="D294" s="793">
        <v>4680115885707</v>
      </c>
      <c r="E294" s="794"/>
      <c r="F294" s="788">
        <v>0.9</v>
      </c>
      <c r="G294" s="32">
        <v>10</v>
      </c>
      <c r="H294" s="788">
        <v>9</v>
      </c>
      <c r="I294" s="788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2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99"/>
      <c r="R294" s="799"/>
      <c r="S294" s="799"/>
      <c r="T294" s="800"/>
      <c r="U294" s="34"/>
      <c r="V294" s="34"/>
      <c r="W294" s="35" t="s">
        <v>69</v>
      </c>
      <c r="X294" s="789">
        <v>0</v>
      </c>
      <c r="Y294" s="79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439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808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795" t="s">
        <v>71</v>
      </c>
      <c r="Q295" s="796"/>
      <c r="R295" s="796"/>
      <c r="S295" s="796"/>
      <c r="T295" s="796"/>
      <c r="U295" s="796"/>
      <c r="V295" s="797"/>
      <c r="W295" s="37" t="s">
        <v>72</v>
      </c>
      <c r="X295" s="791">
        <f>IFERROR(X294/H294,"0")</f>
        <v>0</v>
      </c>
      <c r="Y295" s="791">
        <f>IFERROR(Y294/H294,"0")</f>
        <v>0</v>
      </c>
      <c r="Z295" s="791">
        <f>IFERROR(IF(Z294="",0,Z294),"0")</f>
        <v>0</v>
      </c>
      <c r="AA295" s="792"/>
      <c r="AB295" s="792"/>
      <c r="AC295" s="792"/>
    </row>
    <row r="296" spans="1:68" x14ac:dyDescent="0.2">
      <c r="A296" s="809"/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10"/>
      <c r="P296" s="795" t="s">
        <v>71</v>
      </c>
      <c r="Q296" s="796"/>
      <c r="R296" s="796"/>
      <c r="S296" s="796"/>
      <c r="T296" s="796"/>
      <c r="U296" s="796"/>
      <c r="V296" s="797"/>
      <c r="W296" s="37" t="s">
        <v>69</v>
      </c>
      <c r="X296" s="791">
        <f>IFERROR(SUM(X294:X294),"0")</f>
        <v>0</v>
      </c>
      <c r="Y296" s="791">
        <f>IFERROR(SUM(Y294:Y294),"0")</f>
        <v>0</v>
      </c>
      <c r="Z296" s="37"/>
      <c r="AA296" s="792"/>
      <c r="AB296" s="792"/>
      <c r="AC296" s="792"/>
    </row>
    <row r="297" spans="1:68" ht="16.5" customHeight="1" x14ac:dyDescent="0.25">
      <c r="A297" s="839" t="s">
        <v>502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84"/>
      <c r="AB297" s="784"/>
      <c r="AC297" s="784"/>
    </row>
    <row r="298" spans="1:68" ht="14.25" customHeight="1" x14ac:dyDescent="0.25">
      <c r="A298" s="811" t="s">
        <v>113</v>
      </c>
      <c r="B298" s="809"/>
      <c r="C298" s="809"/>
      <c r="D298" s="809"/>
      <c r="E298" s="809"/>
      <c r="F298" s="809"/>
      <c r="G298" s="809"/>
      <c r="H298" s="809"/>
      <c r="I298" s="809"/>
      <c r="J298" s="809"/>
      <c r="K298" s="809"/>
      <c r="L298" s="809"/>
      <c r="M298" s="809"/>
      <c r="N298" s="809"/>
      <c r="O298" s="809"/>
      <c r="P298" s="809"/>
      <c r="Q298" s="809"/>
      <c r="R298" s="809"/>
      <c r="S298" s="809"/>
      <c r="T298" s="809"/>
      <c r="U298" s="809"/>
      <c r="V298" s="809"/>
      <c r="W298" s="809"/>
      <c r="X298" s="809"/>
      <c r="Y298" s="809"/>
      <c r="Z298" s="809"/>
      <c r="AA298" s="785"/>
      <c r="AB298" s="785"/>
      <c r="AC298" s="785"/>
    </row>
    <row r="299" spans="1:68" ht="27" customHeight="1" x14ac:dyDescent="0.25">
      <c r="A299" s="54" t="s">
        <v>503</v>
      </c>
      <c r="B299" s="54" t="s">
        <v>504</v>
      </c>
      <c r="C299" s="31">
        <v>4301011223</v>
      </c>
      <c r="D299" s="793">
        <v>4607091383423</v>
      </c>
      <c r="E299" s="794"/>
      <c r="F299" s="788">
        <v>1.35</v>
      </c>
      <c r="G299" s="32">
        <v>8</v>
      </c>
      <c r="H299" s="788">
        <v>10.8</v>
      </c>
      <c r="I299" s="788">
        <v>11.375999999999999</v>
      </c>
      <c r="J299" s="32">
        <v>56</v>
      </c>
      <c r="K299" s="32" t="s">
        <v>116</v>
      </c>
      <c r="L299" s="32"/>
      <c r="M299" s="33" t="s">
        <v>77</v>
      </c>
      <c r="N299" s="33"/>
      <c r="O299" s="32">
        <v>35</v>
      </c>
      <c r="P299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99"/>
      <c r="R299" s="799"/>
      <c r="S299" s="799"/>
      <c r="T299" s="800"/>
      <c r="U299" s="34"/>
      <c r="V299" s="34"/>
      <c r="W299" s="35" t="s">
        <v>69</v>
      </c>
      <c r="X299" s="789">
        <v>0</v>
      </c>
      <c r="Y299" s="79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4301011879</v>
      </c>
      <c r="D300" s="793">
        <v>4680115885691</v>
      </c>
      <c r="E300" s="794"/>
      <c r="F300" s="788">
        <v>1.35</v>
      </c>
      <c r="G300" s="32">
        <v>8</v>
      </c>
      <c r="H300" s="788">
        <v>10.8</v>
      </c>
      <c r="I300" s="788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30</v>
      </c>
      <c r="P300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99"/>
      <c r="R300" s="799"/>
      <c r="S300" s="799"/>
      <c r="T300" s="800"/>
      <c r="U300" s="34"/>
      <c r="V300" s="34"/>
      <c r="W300" s="35" t="s">
        <v>69</v>
      </c>
      <c r="X300" s="789">
        <v>0</v>
      </c>
      <c r="Y300" s="790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508</v>
      </c>
      <c r="B301" s="54" t="s">
        <v>509</v>
      </c>
      <c r="C301" s="31">
        <v>4301011878</v>
      </c>
      <c r="D301" s="793">
        <v>4680115885660</v>
      </c>
      <c r="E301" s="794"/>
      <c r="F301" s="788">
        <v>1.35</v>
      </c>
      <c r="G301" s="32">
        <v>8</v>
      </c>
      <c r="H301" s="788">
        <v>10.8</v>
      </c>
      <c r="I301" s="788">
        <v>11.28</v>
      </c>
      <c r="J301" s="32">
        <v>56</v>
      </c>
      <c r="K301" s="32" t="s">
        <v>116</v>
      </c>
      <c r="L301" s="32"/>
      <c r="M301" s="33" t="s">
        <v>68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99"/>
      <c r="R301" s="799"/>
      <c r="S301" s="799"/>
      <c r="T301" s="800"/>
      <c r="U301" s="34"/>
      <c r="V301" s="34"/>
      <c r="W301" s="35" t="s">
        <v>69</v>
      </c>
      <c r="X301" s="789">
        <v>0</v>
      </c>
      <c r="Y301" s="790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510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808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795" t="s">
        <v>71</v>
      </c>
      <c r="Q302" s="796"/>
      <c r="R302" s="796"/>
      <c r="S302" s="796"/>
      <c r="T302" s="796"/>
      <c r="U302" s="796"/>
      <c r="V302" s="797"/>
      <c r="W302" s="37" t="s">
        <v>72</v>
      </c>
      <c r="X302" s="791">
        <f>IFERROR(X299/H299,"0")+IFERROR(X300/H300,"0")+IFERROR(X301/H301,"0")</f>
        <v>0</v>
      </c>
      <c r="Y302" s="791">
        <f>IFERROR(Y299/H299,"0")+IFERROR(Y300/H300,"0")+IFERROR(Y301/H301,"0")</f>
        <v>0</v>
      </c>
      <c r="Z302" s="791">
        <f>IFERROR(IF(Z299="",0,Z299),"0")+IFERROR(IF(Z300="",0,Z300),"0")+IFERROR(IF(Z301="",0,Z301),"0")</f>
        <v>0</v>
      </c>
      <c r="AA302" s="792"/>
      <c r="AB302" s="792"/>
      <c r="AC302" s="792"/>
    </row>
    <row r="303" spans="1:68" x14ac:dyDescent="0.2">
      <c r="A303" s="809"/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10"/>
      <c r="P303" s="795" t="s">
        <v>71</v>
      </c>
      <c r="Q303" s="796"/>
      <c r="R303" s="796"/>
      <c r="S303" s="796"/>
      <c r="T303" s="796"/>
      <c r="U303" s="796"/>
      <c r="V303" s="797"/>
      <c r="W303" s="37" t="s">
        <v>69</v>
      </c>
      <c r="X303" s="791">
        <f>IFERROR(SUM(X299:X301),"0")</f>
        <v>0</v>
      </c>
      <c r="Y303" s="791">
        <f>IFERROR(SUM(Y299:Y301),"0")</f>
        <v>0</v>
      </c>
      <c r="Z303" s="37"/>
      <c r="AA303" s="792"/>
      <c r="AB303" s="792"/>
      <c r="AC303" s="792"/>
    </row>
    <row r="304" spans="1:68" ht="16.5" customHeight="1" x14ac:dyDescent="0.25">
      <c r="A304" s="839" t="s">
        <v>511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84"/>
      <c r="AB304" s="784"/>
      <c r="AC304" s="784"/>
    </row>
    <row r="305" spans="1:68" ht="14.25" customHeight="1" x14ac:dyDescent="0.25">
      <c r="A305" s="811" t="s">
        <v>73</v>
      </c>
      <c r="B305" s="809"/>
      <c r="C305" s="809"/>
      <c r="D305" s="809"/>
      <c r="E305" s="809"/>
      <c r="F305" s="809"/>
      <c r="G305" s="809"/>
      <c r="H305" s="809"/>
      <c r="I305" s="809"/>
      <c r="J305" s="809"/>
      <c r="K305" s="809"/>
      <c r="L305" s="809"/>
      <c r="M305" s="809"/>
      <c r="N305" s="809"/>
      <c r="O305" s="809"/>
      <c r="P305" s="809"/>
      <c r="Q305" s="809"/>
      <c r="R305" s="809"/>
      <c r="S305" s="809"/>
      <c r="T305" s="809"/>
      <c r="U305" s="809"/>
      <c r="V305" s="809"/>
      <c r="W305" s="809"/>
      <c r="X305" s="809"/>
      <c r="Y305" s="809"/>
      <c r="Z305" s="809"/>
      <c r="AA305" s="785"/>
      <c r="AB305" s="785"/>
      <c r="AC305" s="785"/>
    </row>
    <row r="306" spans="1:68" ht="37.5" customHeight="1" x14ac:dyDescent="0.25">
      <c r="A306" s="54" t="s">
        <v>512</v>
      </c>
      <c r="B306" s="54" t="s">
        <v>513</v>
      </c>
      <c r="C306" s="31">
        <v>4301051409</v>
      </c>
      <c r="D306" s="793">
        <v>4680115881556</v>
      </c>
      <c r="E306" s="794"/>
      <c r="F306" s="788">
        <v>1</v>
      </c>
      <c r="G306" s="32">
        <v>4</v>
      </c>
      <c r="H306" s="788">
        <v>4</v>
      </c>
      <c r="I306" s="788">
        <v>4.4080000000000004</v>
      </c>
      <c r="J306" s="32">
        <v>104</v>
      </c>
      <c r="K306" s="32" t="s">
        <v>116</v>
      </c>
      <c r="L306" s="32"/>
      <c r="M306" s="33" t="s">
        <v>77</v>
      </c>
      <c r="N306" s="33"/>
      <c r="O306" s="32">
        <v>45</v>
      </c>
      <c r="P306" s="10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99"/>
      <c r="R306" s="799"/>
      <c r="S306" s="799"/>
      <c r="T306" s="800"/>
      <c r="U306" s="34"/>
      <c r="V306" s="34"/>
      <c r="W306" s="35" t="s">
        <v>69</v>
      </c>
      <c r="X306" s="789">
        <v>0</v>
      </c>
      <c r="Y306" s="790">
        <f t="shared" ref="Y306:Y311" si="7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ref="BM306:BM311" si="73">IFERROR(X306*I306/H306,"0")</f>
        <v>0</v>
      </c>
      <c r="BN306" s="64">
        <f t="shared" ref="BN306:BN311" si="74">IFERROR(Y306*I306/H306,"0")</f>
        <v>0</v>
      </c>
      <c r="BO306" s="64">
        <f t="shared" ref="BO306:BO311" si="75">IFERROR(1/J306*(X306/H306),"0")</f>
        <v>0</v>
      </c>
      <c r="BP306" s="64">
        <f t="shared" ref="BP306:BP311" si="76">IFERROR(1/J306*(Y306/H306),"0")</f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4301051506</v>
      </c>
      <c r="D307" s="793">
        <v>4680115881037</v>
      </c>
      <c r="E307" s="794"/>
      <c r="F307" s="788">
        <v>0.84</v>
      </c>
      <c r="G307" s="32">
        <v>4</v>
      </c>
      <c r="H307" s="788">
        <v>3.36</v>
      </c>
      <c r="I307" s="788">
        <v>3.6179999999999999</v>
      </c>
      <c r="J307" s="32">
        <v>132</v>
      </c>
      <c r="K307" s="32" t="s">
        <v>126</v>
      </c>
      <c r="L307" s="32"/>
      <c r="M307" s="33" t="s">
        <v>68</v>
      </c>
      <c r="N307" s="33"/>
      <c r="O307" s="32">
        <v>40</v>
      </c>
      <c r="P307" s="12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99"/>
      <c r="R307" s="799"/>
      <c r="S307" s="799"/>
      <c r="T307" s="800"/>
      <c r="U307" s="34"/>
      <c r="V307" s="34"/>
      <c r="W307" s="35" t="s">
        <v>69</v>
      </c>
      <c r="X307" s="789">
        <v>0</v>
      </c>
      <c r="Y307" s="790">
        <f t="shared" si="72"/>
        <v>0</v>
      </c>
      <c r="Z307" s="36" t="str">
        <f>IFERROR(IF(Y307=0,"",ROUNDUP(Y307/H307,0)*0.00902),"")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4301051893</v>
      </c>
      <c r="D308" s="793">
        <v>4680115886186</v>
      </c>
      <c r="E308" s="794"/>
      <c r="F308" s="788">
        <v>0.3</v>
      </c>
      <c r="G308" s="32">
        <v>6</v>
      </c>
      <c r="H308" s="788">
        <v>1.8</v>
      </c>
      <c r="I308" s="788">
        <v>1.98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45</v>
      </c>
      <c r="P308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799"/>
      <c r="R308" s="799"/>
      <c r="S308" s="799"/>
      <c r="T308" s="800"/>
      <c r="U308" s="34"/>
      <c r="V308" s="34"/>
      <c r="W308" s="35" t="s">
        <v>69</v>
      </c>
      <c r="X308" s="789">
        <v>0</v>
      </c>
      <c r="Y308" s="79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27" customHeight="1" x14ac:dyDescent="0.25">
      <c r="A309" s="54" t="s">
        <v>520</v>
      </c>
      <c r="B309" s="54" t="s">
        <v>521</v>
      </c>
      <c r="C309" s="31">
        <v>4301051487</v>
      </c>
      <c r="D309" s="793">
        <v>4680115881228</v>
      </c>
      <c r="E309" s="794"/>
      <c r="F309" s="788">
        <v>0.4</v>
      </c>
      <c r="G309" s="32">
        <v>6</v>
      </c>
      <c r="H309" s="788">
        <v>2.4</v>
      </c>
      <c r="I309" s="788">
        <v>2.6520000000000001</v>
      </c>
      <c r="J309" s="32">
        <v>182</v>
      </c>
      <c r="K309" s="32" t="s">
        <v>76</v>
      </c>
      <c r="L309" s="32"/>
      <c r="M309" s="33" t="s">
        <v>68</v>
      </c>
      <c r="N309" s="33"/>
      <c r="O309" s="32">
        <v>40</v>
      </c>
      <c r="P309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99"/>
      <c r="R309" s="799"/>
      <c r="S309" s="799"/>
      <c r="T309" s="800"/>
      <c r="U309" s="34"/>
      <c r="V309" s="34"/>
      <c r="W309" s="35" t="s">
        <v>69</v>
      </c>
      <c r="X309" s="789">
        <v>240</v>
      </c>
      <c r="Y309" s="790">
        <f t="shared" si="72"/>
        <v>240</v>
      </c>
      <c r="Z309" s="36">
        <f>IFERROR(IF(Y309=0,"",ROUNDUP(Y309/H309,0)*0.00651),"")</f>
        <v>0.65100000000000002</v>
      </c>
      <c r="AA309" s="56"/>
      <c r="AB309" s="57"/>
      <c r="AC309" s="395" t="s">
        <v>517</v>
      </c>
      <c r="AG309" s="64"/>
      <c r="AJ309" s="68"/>
      <c r="AK309" s="68">
        <v>0</v>
      </c>
      <c r="BB309" s="396" t="s">
        <v>1</v>
      </c>
      <c r="BM309" s="64">
        <f t="shared" si="73"/>
        <v>265.20000000000005</v>
      </c>
      <c r="BN309" s="64">
        <f t="shared" si="74"/>
        <v>265.20000000000005</v>
      </c>
      <c r="BO309" s="64">
        <f t="shared" si="75"/>
        <v>0.5494505494505495</v>
      </c>
      <c r="BP309" s="64">
        <f t="shared" si="76"/>
        <v>0.5494505494505495</v>
      </c>
    </row>
    <row r="310" spans="1:68" ht="37.5" customHeight="1" x14ac:dyDescent="0.25">
      <c r="A310" s="54" t="s">
        <v>522</v>
      </c>
      <c r="B310" s="54" t="s">
        <v>523</v>
      </c>
      <c r="C310" s="31">
        <v>4301051384</v>
      </c>
      <c r="D310" s="793">
        <v>4680115881211</v>
      </c>
      <c r="E310" s="794"/>
      <c r="F310" s="788">
        <v>0.4</v>
      </c>
      <c r="G310" s="32">
        <v>6</v>
      </c>
      <c r="H310" s="788">
        <v>2.4</v>
      </c>
      <c r="I310" s="788">
        <v>2.58</v>
      </c>
      <c r="J310" s="32">
        <v>182</v>
      </c>
      <c r="K310" s="32" t="s">
        <v>76</v>
      </c>
      <c r="L310" s="32" t="s">
        <v>127</v>
      </c>
      <c r="M310" s="33" t="s">
        <v>68</v>
      </c>
      <c r="N310" s="33"/>
      <c r="O310" s="32">
        <v>45</v>
      </c>
      <c r="P310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99"/>
      <c r="R310" s="799"/>
      <c r="S310" s="799"/>
      <c r="T310" s="800"/>
      <c r="U310" s="34"/>
      <c r="V310" s="34"/>
      <c r="W310" s="35" t="s">
        <v>69</v>
      </c>
      <c r="X310" s="789">
        <v>560</v>
      </c>
      <c r="Y310" s="790">
        <f t="shared" si="72"/>
        <v>561.6</v>
      </c>
      <c r="Z310" s="36">
        <f>IFERROR(IF(Y310=0,"",ROUNDUP(Y310/H310,0)*0.00651),"")</f>
        <v>1.5233400000000001</v>
      </c>
      <c r="AA310" s="56"/>
      <c r="AB310" s="57"/>
      <c r="AC310" s="397" t="s">
        <v>514</v>
      </c>
      <c r="AG310" s="64"/>
      <c r="AJ310" s="68" t="s">
        <v>128</v>
      </c>
      <c r="AK310" s="68">
        <v>436.8</v>
      </c>
      <c r="BB310" s="398" t="s">
        <v>1</v>
      </c>
      <c r="BM310" s="64">
        <f t="shared" si="73"/>
        <v>602</v>
      </c>
      <c r="BN310" s="64">
        <f t="shared" si="74"/>
        <v>603.72</v>
      </c>
      <c r="BO310" s="64">
        <f t="shared" si="75"/>
        <v>1.2820512820512822</v>
      </c>
      <c r="BP310" s="64">
        <f t="shared" si="76"/>
        <v>1.285714285714286</v>
      </c>
    </row>
    <row r="311" spans="1:68" ht="37.5" customHeight="1" x14ac:dyDescent="0.25">
      <c r="A311" s="54" t="s">
        <v>524</v>
      </c>
      <c r="B311" s="54" t="s">
        <v>525</v>
      </c>
      <c r="C311" s="31">
        <v>4301051378</v>
      </c>
      <c r="D311" s="793">
        <v>4680115881020</v>
      </c>
      <c r="E311" s="794"/>
      <c r="F311" s="788">
        <v>0.84</v>
      </c>
      <c r="G311" s="32">
        <v>4</v>
      </c>
      <c r="H311" s="788">
        <v>3.36</v>
      </c>
      <c r="I311" s="788">
        <v>3.57</v>
      </c>
      <c r="J311" s="32">
        <v>120</v>
      </c>
      <c r="K311" s="32" t="s">
        <v>126</v>
      </c>
      <c r="L311" s="32"/>
      <c r="M311" s="33" t="s">
        <v>68</v>
      </c>
      <c r="N311" s="33"/>
      <c r="O311" s="32">
        <v>45</v>
      </c>
      <c r="P311" s="100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99"/>
      <c r="R311" s="799"/>
      <c r="S311" s="799"/>
      <c r="T311" s="800"/>
      <c r="U311" s="34"/>
      <c r="V311" s="34"/>
      <c r="W311" s="35" t="s">
        <v>69</v>
      </c>
      <c r="X311" s="789">
        <v>0</v>
      </c>
      <c r="Y311" s="790">
        <f t="shared" si="72"/>
        <v>0</v>
      </c>
      <c r="Z311" s="36" t="str">
        <f>IFERROR(IF(Y311=0,"",ROUNDUP(Y311/H311,0)*0.00937),"")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x14ac:dyDescent="0.2">
      <c r="A312" s="808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795" t="s">
        <v>71</v>
      </c>
      <c r="Q312" s="796"/>
      <c r="R312" s="796"/>
      <c r="S312" s="796"/>
      <c r="T312" s="796"/>
      <c r="U312" s="796"/>
      <c r="V312" s="797"/>
      <c r="W312" s="37" t="s">
        <v>72</v>
      </c>
      <c r="X312" s="791">
        <f>IFERROR(X306/H306,"0")+IFERROR(X307/H307,"0")+IFERROR(X308/H308,"0")+IFERROR(X309/H309,"0")+IFERROR(X310/H310,"0")+IFERROR(X311/H311,"0")</f>
        <v>333.33333333333337</v>
      </c>
      <c r="Y312" s="791">
        <f>IFERROR(Y306/H306,"0")+IFERROR(Y307/H307,"0")+IFERROR(Y308/H308,"0")+IFERROR(Y309/H309,"0")+IFERROR(Y310/H310,"0")+IFERROR(Y311/H311,"0")</f>
        <v>334</v>
      </c>
      <c r="Z312" s="791">
        <f>IFERROR(IF(Z306="",0,Z306),"0")+IFERROR(IF(Z307="",0,Z307),"0")+IFERROR(IF(Z308="",0,Z308),"0")+IFERROR(IF(Z309="",0,Z309),"0")+IFERROR(IF(Z310="",0,Z310),"0")+IFERROR(IF(Z311="",0,Z311),"0")</f>
        <v>2.1743399999999999</v>
      </c>
      <c r="AA312" s="792"/>
      <c r="AB312" s="792"/>
      <c r="AC312" s="792"/>
    </row>
    <row r="313" spans="1:68" x14ac:dyDescent="0.2">
      <c r="A313" s="809"/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10"/>
      <c r="P313" s="795" t="s">
        <v>71</v>
      </c>
      <c r="Q313" s="796"/>
      <c r="R313" s="796"/>
      <c r="S313" s="796"/>
      <c r="T313" s="796"/>
      <c r="U313" s="796"/>
      <c r="V313" s="797"/>
      <c r="W313" s="37" t="s">
        <v>69</v>
      </c>
      <c r="X313" s="791">
        <f>IFERROR(SUM(X306:X311),"0")</f>
        <v>800</v>
      </c>
      <c r="Y313" s="791">
        <f>IFERROR(SUM(Y306:Y311),"0")</f>
        <v>801.6</v>
      </c>
      <c r="Z313" s="37"/>
      <c r="AA313" s="792"/>
      <c r="AB313" s="792"/>
      <c r="AC313" s="792"/>
    </row>
    <row r="314" spans="1:68" ht="16.5" customHeight="1" x14ac:dyDescent="0.25">
      <c r="A314" s="839" t="s">
        <v>527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84"/>
      <c r="AB314" s="784"/>
      <c r="AC314" s="784"/>
    </row>
    <row r="315" spans="1:68" ht="14.25" customHeight="1" x14ac:dyDescent="0.25">
      <c r="A315" s="811" t="s">
        <v>113</v>
      </c>
      <c r="B315" s="809"/>
      <c r="C315" s="809"/>
      <c r="D315" s="809"/>
      <c r="E315" s="809"/>
      <c r="F315" s="809"/>
      <c r="G315" s="809"/>
      <c r="H315" s="809"/>
      <c r="I315" s="809"/>
      <c r="J315" s="809"/>
      <c r="K315" s="809"/>
      <c r="L315" s="809"/>
      <c r="M315" s="809"/>
      <c r="N315" s="809"/>
      <c r="O315" s="809"/>
      <c r="P315" s="809"/>
      <c r="Q315" s="809"/>
      <c r="R315" s="809"/>
      <c r="S315" s="809"/>
      <c r="T315" s="809"/>
      <c r="U315" s="809"/>
      <c r="V315" s="809"/>
      <c r="W315" s="809"/>
      <c r="X315" s="809"/>
      <c r="Y315" s="809"/>
      <c r="Z315" s="809"/>
      <c r="AA315" s="785"/>
      <c r="AB315" s="785"/>
      <c r="AC315" s="785"/>
    </row>
    <row r="316" spans="1:68" ht="27" customHeight="1" x14ac:dyDescent="0.25">
      <c r="A316" s="54" t="s">
        <v>528</v>
      </c>
      <c r="B316" s="54" t="s">
        <v>529</v>
      </c>
      <c r="C316" s="31">
        <v>4301011306</v>
      </c>
      <c r="D316" s="793">
        <v>4607091389296</v>
      </c>
      <c r="E316" s="794"/>
      <c r="F316" s="788">
        <v>0.4</v>
      </c>
      <c r="G316" s="32">
        <v>10</v>
      </c>
      <c r="H316" s="788">
        <v>4</v>
      </c>
      <c r="I316" s="788">
        <v>4.21</v>
      </c>
      <c r="J316" s="32">
        <v>132</v>
      </c>
      <c r="K316" s="32" t="s">
        <v>126</v>
      </c>
      <c r="L316" s="32"/>
      <c r="M316" s="33" t="s">
        <v>77</v>
      </c>
      <c r="N316" s="33"/>
      <c r="O316" s="32">
        <v>45</v>
      </c>
      <c r="P316" s="84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99"/>
      <c r="R316" s="799"/>
      <c r="S316" s="799"/>
      <c r="T316" s="800"/>
      <c r="U316" s="34"/>
      <c r="V316" s="34"/>
      <c r="W316" s="35" t="s">
        <v>69</v>
      </c>
      <c r="X316" s="789">
        <v>0</v>
      </c>
      <c r="Y316" s="79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530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795" t="s">
        <v>71</v>
      </c>
      <c r="Q317" s="796"/>
      <c r="R317" s="796"/>
      <c r="S317" s="796"/>
      <c r="T317" s="796"/>
      <c r="U317" s="796"/>
      <c r="V317" s="797"/>
      <c r="W317" s="37" t="s">
        <v>72</v>
      </c>
      <c r="X317" s="791">
        <f>IFERROR(X316/H316,"0")</f>
        <v>0</v>
      </c>
      <c r="Y317" s="791">
        <f>IFERROR(Y316/H316,"0")</f>
        <v>0</v>
      </c>
      <c r="Z317" s="791">
        <f>IFERROR(IF(Z316="",0,Z316),"0")</f>
        <v>0</v>
      </c>
      <c r="AA317" s="792"/>
      <c r="AB317" s="792"/>
      <c r="AC317" s="792"/>
    </row>
    <row r="318" spans="1:68" x14ac:dyDescent="0.2">
      <c r="A318" s="809"/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10"/>
      <c r="P318" s="795" t="s">
        <v>71</v>
      </c>
      <c r="Q318" s="796"/>
      <c r="R318" s="796"/>
      <c r="S318" s="796"/>
      <c r="T318" s="796"/>
      <c r="U318" s="796"/>
      <c r="V318" s="797"/>
      <c r="W318" s="37" t="s">
        <v>69</v>
      </c>
      <c r="X318" s="791">
        <f>IFERROR(SUM(X316:X316),"0")</f>
        <v>0</v>
      </c>
      <c r="Y318" s="791">
        <f>IFERROR(SUM(Y316:Y316),"0")</f>
        <v>0</v>
      </c>
      <c r="Z318" s="37"/>
      <c r="AA318" s="792"/>
      <c r="AB318" s="792"/>
      <c r="AC318" s="792"/>
    </row>
    <row r="319" spans="1:68" ht="14.25" customHeight="1" x14ac:dyDescent="0.25">
      <c r="A319" s="811" t="s">
        <v>64</v>
      </c>
      <c r="B319" s="809"/>
      <c r="C319" s="809"/>
      <c r="D319" s="809"/>
      <c r="E319" s="809"/>
      <c r="F319" s="809"/>
      <c r="G319" s="809"/>
      <c r="H319" s="809"/>
      <c r="I319" s="809"/>
      <c r="J319" s="809"/>
      <c r="K319" s="809"/>
      <c r="L319" s="809"/>
      <c r="M319" s="809"/>
      <c r="N319" s="809"/>
      <c r="O319" s="809"/>
      <c r="P319" s="809"/>
      <c r="Q319" s="809"/>
      <c r="R319" s="809"/>
      <c r="S319" s="809"/>
      <c r="T319" s="809"/>
      <c r="U319" s="809"/>
      <c r="V319" s="809"/>
      <c r="W319" s="809"/>
      <c r="X319" s="809"/>
      <c r="Y319" s="809"/>
      <c r="Z319" s="809"/>
      <c r="AA319" s="785"/>
      <c r="AB319" s="785"/>
      <c r="AC319" s="785"/>
    </row>
    <row r="320" spans="1:68" ht="27" customHeight="1" x14ac:dyDescent="0.25">
      <c r="A320" s="54" t="s">
        <v>531</v>
      </c>
      <c r="B320" s="54" t="s">
        <v>532</v>
      </c>
      <c r="C320" s="31">
        <v>4301031163</v>
      </c>
      <c r="D320" s="793">
        <v>4680115880344</v>
      </c>
      <c r="E320" s="794"/>
      <c r="F320" s="788">
        <v>0.28000000000000003</v>
      </c>
      <c r="G320" s="32">
        <v>6</v>
      </c>
      <c r="H320" s="788">
        <v>1.68</v>
      </c>
      <c r="I320" s="788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99"/>
      <c r="R320" s="799"/>
      <c r="S320" s="799"/>
      <c r="T320" s="800"/>
      <c r="U320" s="34"/>
      <c r="V320" s="34"/>
      <c r="W320" s="35" t="s">
        <v>69</v>
      </c>
      <c r="X320" s="789">
        <v>0</v>
      </c>
      <c r="Y320" s="790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533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08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795" t="s">
        <v>71</v>
      </c>
      <c r="Q321" s="796"/>
      <c r="R321" s="796"/>
      <c r="S321" s="796"/>
      <c r="T321" s="796"/>
      <c r="U321" s="796"/>
      <c r="V321" s="797"/>
      <c r="W321" s="37" t="s">
        <v>72</v>
      </c>
      <c r="X321" s="791">
        <f>IFERROR(X320/H320,"0")</f>
        <v>0</v>
      </c>
      <c r="Y321" s="791">
        <f>IFERROR(Y320/H320,"0")</f>
        <v>0</v>
      </c>
      <c r="Z321" s="791">
        <f>IFERROR(IF(Z320="",0,Z320),"0")</f>
        <v>0</v>
      </c>
      <c r="AA321" s="792"/>
      <c r="AB321" s="792"/>
      <c r="AC321" s="792"/>
    </row>
    <row r="322" spans="1:68" x14ac:dyDescent="0.2">
      <c r="A322" s="809"/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10"/>
      <c r="P322" s="795" t="s">
        <v>71</v>
      </c>
      <c r="Q322" s="796"/>
      <c r="R322" s="796"/>
      <c r="S322" s="796"/>
      <c r="T322" s="796"/>
      <c r="U322" s="796"/>
      <c r="V322" s="797"/>
      <c r="W322" s="37" t="s">
        <v>69</v>
      </c>
      <c r="X322" s="791">
        <f>IFERROR(SUM(X320:X320),"0")</f>
        <v>0</v>
      </c>
      <c r="Y322" s="791">
        <f>IFERROR(SUM(Y320:Y320),"0")</f>
        <v>0</v>
      </c>
      <c r="Z322" s="37"/>
      <c r="AA322" s="792"/>
      <c r="AB322" s="792"/>
      <c r="AC322" s="792"/>
    </row>
    <row r="323" spans="1:68" ht="14.25" customHeight="1" x14ac:dyDescent="0.25">
      <c r="A323" s="811" t="s">
        <v>73</v>
      </c>
      <c r="B323" s="809"/>
      <c r="C323" s="809"/>
      <c r="D323" s="809"/>
      <c r="E323" s="809"/>
      <c r="F323" s="809"/>
      <c r="G323" s="809"/>
      <c r="H323" s="809"/>
      <c r="I323" s="809"/>
      <c r="J323" s="809"/>
      <c r="K323" s="809"/>
      <c r="L323" s="809"/>
      <c r="M323" s="809"/>
      <c r="N323" s="809"/>
      <c r="O323" s="809"/>
      <c r="P323" s="809"/>
      <c r="Q323" s="809"/>
      <c r="R323" s="809"/>
      <c r="S323" s="809"/>
      <c r="T323" s="809"/>
      <c r="U323" s="809"/>
      <c r="V323" s="809"/>
      <c r="W323" s="809"/>
      <c r="X323" s="809"/>
      <c r="Y323" s="809"/>
      <c r="Z323" s="809"/>
      <c r="AA323" s="785"/>
      <c r="AB323" s="785"/>
      <c r="AC323" s="785"/>
    </row>
    <row r="324" spans="1:68" ht="37.5" customHeight="1" x14ac:dyDescent="0.25">
      <c r="A324" s="54" t="s">
        <v>534</v>
      </c>
      <c r="B324" s="54" t="s">
        <v>535</v>
      </c>
      <c r="C324" s="31">
        <v>4301051731</v>
      </c>
      <c r="D324" s="793">
        <v>4680115884618</v>
      </c>
      <c r="E324" s="794"/>
      <c r="F324" s="788">
        <v>0.6</v>
      </c>
      <c r="G324" s="32">
        <v>6</v>
      </c>
      <c r="H324" s="788">
        <v>3.6</v>
      </c>
      <c r="I324" s="788">
        <v>3.81</v>
      </c>
      <c r="J324" s="32">
        <v>132</v>
      </c>
      <c r="K324" s="32" t="s">
        <v>126</v>
      </c>
      <c r="L324" s="32"/>
      <c r="M324" s="33" t="s">
        <v>68</v>
      </c>
      <c r="N324" s="33"/>
      <c r="O324" s="32">
        <v>45</v>
      </c>
      <c r="P324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799"/>
      <c r="R324" s="799"/>
      <c r="S324" s="799"/>
      <c r="T324" s="800"/>
      <c r="U324" s="34"/>
      <c r="V324" s="34"/>
      <c r="W324" s="35" t="s">
        <v>69</v>
      </c>
      <c r="X324" s="789">
        <v>0</v>
      </c>
      <c r="Y324" s="79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536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808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795" t="s">
        <v>71</v>
      </c>
      <c r="Q325" s="796"/>
      <c r="R325" s="796"/>
      <c r="S325" s="796"/>
      <c r="T325" s="796"/>
      <c r="U325" s="796"/>
      <c r="V325" s="797"/>
      <c r="W325" s="37" t="s">
        <v>72</v>
      </c>
      <c r="X325" s="791">
        <f>IFERROR(X324/H324,"0")</f>
        <v>0</v>
      </c>
      <c r="Y325" s="791">
        <f>IFERROR(Y324/H324,"0")</f>
        <v>0</v>
      </c>
      <c r="Z325" s="791">
        <f>IFERROR(IF(Z324="",0,Z324),"0")</f>
        <v>0</v>
      </c>
      <c r="AA325" s="792"/>
      <c r="AB325" s="792"/>
      <c r="AC325" s="792"/>
    </row>
    <row r="326" spans="1:68" x14ac:dyDescent="0.2">
      <c r="A326" s="809"/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10"/>
      <c r="P326" s="795" t="s">
        <v>71</v>
      </c>
      <c r="Q326" s="796"/>
      <c r="R326" s="796"/>
      <c r="S326" s="796"/>
      <c r="T326" s="796"/>
      <c r="U326" s="796"/>
      <c r="V326" s="797"/>
      <c r="W326" s="37" t="s">
        <v>69</v>
      </c>
      <c r="X326" s="791">
        <f>IFERROR(SUM(X324:X324),"0")</f>
        <v>0</v>
      </c>
      <c r="Y326" s="791">
        <f>IFERROR(SUM(Y324:Y324),"0")</f>
        <v>0</v>
      </c>
      <c r="Z326" s="37"/>
      <c r="AA326" s="792"/>
      <c r="AB326" s="792"/>
      <c r="AC326" s="792"/>
    </row>
    <row r="327" spans="1:68" ht="16.5" customHeight="1" x14ac:dyDescent="0.25">
      <c r="A327" s="839" t="s">
        <v>537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84"/>
      <c r="AB327" s="784"/>
      <c r="AC327" s="784"/>
    </row>
    <row r="328" spans="1:68" ht="14.25" customHeight="1" x14ac:dyDescent="0.25">
      <c r="A328" s="811" t="s">
        <v>113</v>
      </c>
      <c r="B328" s="809"/>
      <c r="C328" s="809"/>
      <c r="D328" s="809"/>
      <c r="E328" s="809"/>
      <c r="F328" s="809"/>
      <c r="G328" s="809"/>
      <c r="H328" s="809"/>
      <c r="I328" s="809"/>
      <c r="J328" s="809"/>
      <c r="K328" s="809"/>
      <c r="L328" s="809"/>
      <c r="M328" s="809"/>
      <c r="N328" s="809"/>
      <c r="O328" s="809"/>
      <c r="P328" s="809"/>
      <c r="Q328" s="809"/>
      <c r="R328" s="809"/>
      <c r="S328" s="809"/>
      <c r="T328" s="809"/>
      <c r="U328" s="809"/>
      <c r="V328" s="809"/>
      <c r="W328" s="809"/>
      <c r="X328" s="809"/>
      <c r="Y328" s="809"/>
      <c r="Z328" s="809"/>
      <c r="AA328" s="785"/>
      <c r="AB328" s="785"/>
      <c r="AC328" s="785"/>
    </row>
    <row r="329" spans="1:68" ht="27" customHeight="1" x14ac:dyDescent="0.25">
      <c r="A329" s="54" t="s">
        <v>538</v>
      </c>
      <c r="B329" s="54" t="s">
        <v>539</v>
      </c>
      <c r="C329" s="31">
        <v>4301011353</v>
      </c>
      <c r="D329" s="793">
        <v>4607091389807</v>
      </c>
      <c r="E329" s="794"/>
      <c r="F329" s="788">
        <v>0.4</v>
      </c>
      <c r="G329" s="32">
        <v>10</v>
      </c>
      <c r="H329" s="788">
        <v>4</v>
      </c>
      <c r="I329" s="788">
        <v>4.21</v>
      </c>
      <c r="J329" s="32">
        <v>132</v>
      </c>
      <c r="K329" s="32" t="s">
        <v>126</v>
      </c>
      <c r="L329" s="32"/>
      <c r="M329" s="33" t="s">
        <v>117</v>
      </c>
      <c r="N329" s="33"/>
      <c r="O329" s="32">
        <v>55</v>
      </c>
      <c r="P329" s="8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99"/>
      <c r="R329" s="799"/>
      <c r="S329" s="799"/>
      <c r="T329" s="800"/>
      <c r="U329" s="34"/>
      <c r="V329" s="34"/>
      <c r="W329" s="35" t="s">
        <v>69</v>
      </c>
      <c r="X329" s="789">
        <v>0</v>
      </c>
      <c r="Y329" s="790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540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08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795" t="s">
        <v>71</v>
      </c>
      <c r="Q330" s="796"/>
      <c r="R330" s="796"/>
      <c r="S330" s="796"/>
      <c r="T330" s="796"/>
      <c r="U330" s="796"/>
      <c r="V330" s="797"/>
      <c r="W330" s="37" t="s">
        <v>72</v>
      </c>
      <c r="X330" s="791">
        <f>IFERROR(X329/H329,"0")</f>
        <v>0</v>
      </c>
      <c r="Y330" s="791">
        <f>IFERROR(Y329/H329,"0")</f>
        <v>0</v>
      </c>
      <c r="Z330" s="791">
        <f>IFERROR(IF(Z329="",0,Z329),"0")</f>
        <v>0</v>
      </c>
      <c r="AA330" s="792"/>
      <c r="AB330" s="792"/>
      <c r="AC330" s="792"/>
    </row>
    <row r="331" spans="1:68" x14ac:dyDescent="0.2">
      <c r="A331" s="809"/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10"/>
      <c r="P331" s="795" t="s">
        <v>71</v>
      </c>
      <c r="Q331" s="796"/>
      <c r="R331" s="796"/>
      <c r="S331" s="796"/>
      <c r="T331" s="796"/>
      <c r="U331" s="796"/>
      <c r="V331" s="797"/>
      <c r="W331" s="37" t="s">
        <v>69</v>
      </c>
      <c r="X331" s="791">
        <f>IFERROR(SUM(X329:X329),"0")</f>
        <v>0</v>
      </c>
      <c r="Y331" s="791">
        <f>IFERROR(SUM(Y329:Y329),"0")</f>
        <v>0</v>
      </c>
      <c r="Z331" s="37"/>
      <c r="AA331" s="792"/>
      <c r="AB331" s="792"/>
      <c r="AC331" s="792"/>
    </row>
    <row r="332" spans="1:68" ht="14.25" customHeight="1" x14ac:dyDescent="0.25">
      <c r="A332" s="811" t="s">
        <v>64</v>
      </c>
      <c r="B332" s="809"/>
      <c r="C332" s="809"/>
      <c r="D332" s="809"/>
      <c r="E332" s="809"/>
      <c r="F332" s="809"/>
      <c r="G332" s="809"/>
      <c r="H332" s="809"/>
      <c r="I332" s="809"/>
      <c r="J332" s="809"/>
      <c r="K332" s="809"/>
      <c r="L332" s="809"/>
      <c r="M332" s="809"/>
      <c r="N332" s="809"/>
      <c r="O332" s="809"/>
      <c r="P332" s="809"/>
      <c r="Q332" s="809"/>
      <c r="R332" s="809"/>
      <c r="S332" s="809"/>
      <c r="T332" s="809"/>
      <c r="U332" s="809"/>
      <c r="V332" s="809"/>
      <c r="W332" s="809"/>
      <c r="X332" s="809"/>
      <c r="Y332" s="809"/>
      <c r="Z332" s="809"/>
      <c r="AA332" s="785"/>
      <c r="AB332" s="785"/>
      <c r="AC332" s="785"/>
    </row>
    <row r="333" spans="1:68" ht="27" customHeight="1" x14ac:dyDescent="0.25">
      <c r="A333" s="54" t="s">
        <v>541</v>
      </c>
      <c r="B333" s="54" t="s">
        <v>542</v>
      </c>
      <c r="C333" s="31">
        <v>4301031164</v>
      </c>
      <c r="D333" s="793">
        <v>4680115880481</v>
      </c>
      <c r="E333" s="794"/>
      <c r="F333" s="788">
        <v>0.28000000000000003</v>
      </c>
      <c r="G333" s="32">
        <v>6</v>
      </c>
      <c r="H333" s="788">
        <v>1.68</v>
      </c>
      <c r="I333" s="788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2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99"/>
      <c r="R333" s="799"/>
      <c r="S333" s="799"/>
      <c r="T333" s="800"/>
      <c r="U333" s="34"/>
      <c r="V333" s="34"/>
      <c r="W333" s="35" t="s">
        <v>69</v>
      </c>
      <c r="X333" s="789">
        <v>0</v>
      </c>
      <c r="Y333" s="790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543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808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795" t="s">
        <v>71</v>
      </c>
      <c r="Q334" s="796"/>
      <c r="R334" s="796"/>
      <c r="S334" s="796"/>
      <c r="T334" s="796"/>
      <c r="U334" s="796"/>
      <c r="V334" s="797"/>
      <c r="W334" s="37" t="s">
        <v>72</v>
      </c>
      <c r="X334" s="791">
        <f>IFERROR(X333/H333,"0")</f>
        <v>0</v>
      </c>
      <c r="Y334" s="791">
        <f>IFERROR(Y333/H333,"0")</f>
        <v>0</v>
      </c>
      <c r="Z334" s="791">
        <f>IFERROR(IF(Z333="",0,Z333),"0")</f>
        <v>0</v>
      </c>
      <c r="AA334" s="792"/>
      <c r="AB334" s="792"/>
      <c r="AC334" s="792"/>
    </row>
    <row r="335" spans="1:68" x14ac:dyDescent="0.2">
      <c r="A335" s="809"/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10"/>
      <c r="P335" s="795" t="s">
        <v>71</v>
      </c>
      <c r="Q335" s="796"/>
      <c r="R335" s="796"/>
      <c r="S335" s="796"/>
      <c r="T335" s="796"/>
      <c r="U335" s="796"/>
      <c r="V335" s="797"/>
      <c r="W335" s="37" t="s">
        <v>69</v>
      </c>
      <c r="X335" s="791">
        <f>IFERROR(SUM(X333:X333),"0")</f>
        <v>0</v>
      </c>
      <c r="Y335" s="791">
        <f>IFERROR(SUM(Y333:Y333),"0")</f>
        <v>0</v>
      </c>
      <c r="Z335" s="37"/>
      <c r="AA335" s="792"/>
      <c r="AB335" s="792"/>
      <c r="AC335" s="792"/>
    </row>
    <row r="336" spans="1:68" ht="14.25" customHeight="1" x14ac:dyDescent="0.25">
      <c r="A336" s="811" t="s">
        <v>73</v>
      </c>
      <c r="B336" s="809"/>
      <c r="C336" s="809"/>
      <c r="D336" s="809"/>
      <c r="E336" s="809"/>
      <c r="F336" s="809"/>
      <c r="G336" s="809"/>
      <c r="H336" s="809"/>
      <c r="I336" s="809"/>
      <c r="J336" s="809"/>
      <c r="K336" s="809"/>
      <c r="L336" s="809"/>
      <c r="M336" s="809"/>
      <c r="N336" s="809"/>
      <c r="O336" s="809"/>
      <c r="P336" s="809"/>
      <c r="Q336" s="809"/>
      <c r="R336" s="809"/>
      <c r="S336" s="809"/>
      <c r="T336" s="809"/>
      <c r="U336" s="809"/>
      <c r="V336" s="809"/>
      <c r="W336" s="809"/>
      <c r="X336" s="809"/>
      <c r="Y336" s="809"/>
      <c r="Z336" s="809"/>
      <c r="AA336" s="785"/>
      <c r="AB336" s="785"/>
      <c r="AC336" s="785"/>
    </row>
    <row r="337" spans="1:68" ht="27" customHeight="1" x14ac:dyDescent="0.25">
      <c r="A337" s="54" t="s">
        <v>544</v>
      </c>
      <c r="B337" s="54" t="s">
        <v>545</v>
      </c>
      <c r="C337" s="31">
        <v>4301051344</v>
      </c>
      <c r="D337" s="793">
        <v>4680115880412</v>
      </c>
      <c r="E337" s="794"/>
      <c r="F337" s="788">
        <v>0.33</v>
      </c>
      <c r="G337" s="32">
        <v>6</v>
      </c>
      <c r="H337" s="788">
        <v>1.98</v>
      </c>
      <c r="I337" s="788">
        <v>2.226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99"/>
      <c r="R337" s="799"/>
      <c r="S337" s="799"/>
      <c r="T337" s="800"/>
      <c r="U337" s="34"/>
      <c r="V337" s="34"/>
      <c r="W337" s="35" t="s">
        <v>69</v>
      </c>
      <c r="X337" s="789">
        <v>0</v>
      </c>
      <c r="Y337" s="79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547</v>
      </c>
      <c r="B338" s="54" t="s">
        <v>548</v>
      </c>
      <c r="C338" s="31">
        <v>4301051277</v>
      </c>
      <c r="D338" s="793">
        <v>4680115880511</v>
      </c>
      <c r="E338" s="794"/>
      <c r="F338" s="788">
        <v>0.33</v>
      </c>
      <c r="G338" s="32">
        <v>6</v>
      </c>
      <c r="H338" s="788">
        <v>1.98</v>
      </c>
      <c r="I338" s="788">
        <v>2.16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40</v>
      </c>
      <c r="P338" s="12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99"/>
      <c r="R338" s="799"/>
      <c r="S338" s="799"/>
      <c r="T338" s="800"/>
      <c r="U338" s="34"/>
      <c r="V338" s="34"/>
      <c r="W338" s="35" t="s">
        <v>69</v>
      </c>
      <c r="X338" s="789">
        <v>0</v>
      </c>
      <c r="Y338" s="79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549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808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795" t="s">
        <v>71</v>
      </c>
      <c r="Q339" s="796"/>
      <c r="R339" s="796"/>
      <c r="S339" s="796"/>
      <c r="T339" s="796"/>
      <c r="U339" s="796"/>
      <c r="V339" s="797"/>
      <c r="W339" s="37" t="s">
        <v>72</v>
      </c>
      <c r="X339" s="791">
        <f>IFERROR(X337/H337,"0")+IFERROR(X338/H338,"0")</f>
        <v>0</v>
      </c>
      <c r="Y339" s="791">
        <f>IFERROR(Y337/H337,"0")+IFERROR(Y338/H338,"0")</f>
        <v>0</v>
      </c>
      <c r="Z339" s="791">
        <f>IFERROR(IF(Z337="",0,Z337),"0")+IFERROR(IF(Z338="",0,Z338),"0")</f>
        <v>0</v>
      </c>
      <c r="AA339" s="792"/>
      <c r="AB339" s="792"/>
      <c r="AC339" s="792"/>
    </row>
    <row r="340" spans="1:68" x14ac:dyDescent="0.2">
      <c r="A340" s="809"/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10"/>
      <c r="P340" s="795" t="s">
        <v>71</v>
      </c>
      <c r="Q340" s="796"/>
      <c r="R340" s="796"/>
      <c r="S340" s="796"/>
      <c r="T340" s="796"/>
      <c r="U340" s="796"/>
      <c r="V340" s="797"/>
      <c r="W340" s="37" t="s">
        <v>69</v>
      </c>
      <c r="X340" s="791">
        <f>IFERROR(SUM(X337:X338),"0")</f>
        <v>0</v>
      </c>
      <c r="Y340" s="791">
        <f>IFERROR(SUM(Y337:Y338),"0")</f>
        <v>0</v>
      </c>
      <c r="Z340" s="37"/>
      <c r="AA340" s="792"/>
      <c r="AB340" s="792"/>
      <c r="AC340" s="792"/>
    </row>
    <row r="341" spans="1:68" ht="16.5" customHeight="1" x14ac:dyDescent="0.25">
      <c r="A341" s="839" t="s">
        <v>550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84"/>
      <c r="AB341" s="784"/>
      <c r="AC341" s="784"/>
    </row>
    <row r="342" spans="1:68" ht="14.25" customHeight="1" x14ac:dyDescent="0.25">
      <c r="A342" s="811" t="s">
        <v>113</v>
      </c>
      <c r="B342" s="809"/>
      <c r="C342" s="809"/>
      <c r="D342" s="809"/>
      <c r="E342" s="809"/>
      <c r="F342" s="809"/>
      <c r="G342" s="809"/>
      <c r="H342" s="809"/>
      <c r="I342" s="809"/>
      <c r="J342" s="809"/>
      <c r="K342" s="809"/>
      <c r="L342" s="809"/>
      <c r="M342" s="809"/>
      <c r="N342" s="809"/>
      <c r="O342" s="809"/>
      <c r="P342" s="809"/>
      <c r="Q342" s="809"/>
      <c r="R342" s="809"/>
      <c r="S342" s="809"/>
      <c r="T342" s="809"/>
      <c r="U342" s="809"/>
      <c r="V342" s="809"/>
      <c r="W342" s="809"/>
      <c r="X342" s="809"/>
      <c r="Y342" s="809"/>
      <c r="Z342" s="809"/>
      <c r="AA342" s="785"/>
      <c r="AB342" s="785"/>
      <c r="AC342" s="785"/>
    </row>
    <row r="343" spans="1:68" ht="27" customHeight="1" x14ac:dyDescent="0.25">
      <c r="A343" s="54" t="s">
        <v>551</v>
      </c>
      <c r="B343" s="54" t="s">
        <v>552</v>
      </c>
      <c r="C343" s="31">
        <v>4301011593</v>
      </c>
      <c r="D343" s="793">
        <v>4680115882973</v>
      </c>
      <c r="E343" s="794"/>
      <c r="F343" s="788">
        <v>0.7</v>
      </c>
      <c r="G343" s="32">
        <v>6</v>
      </c>
      <c r="H343" s="788">
        <v>4.2</v>
      </c>
      <c r="I343" s="788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8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99"/>
      <c r="R343" s="799"/>
      <c r="S343" s="799"/>
      <c r="T343" s="800"/>
      <c r="U343" s="34"/>
      <c r="V343" s="34"/>
      <c r="W343" s="35" t="s">
        <v>69</v>
      </c>
      <c r="X343" s="789">
        <v>0</v>
      </c>
      <c r="Y343" s="790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439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808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795" t="s">
        <v>71</v>
      </c>
      <c r="Q344" s="796"/>
      <c r="R344" s="796"/>
      <c r="S344" s="796"/>
      <c r="T344" s="796"/>
      <c r="U344" s="796"/>
      <c r="V344" s="797"/>
      <c r="W344" s="37" t="s">
        <v>72</v>
      </c>
      <c r="X344" s="791">
        <f>IFERROR(X343/H343,"0")</f>
        <v>0</v>
      </c>
      <c r="Y344" s="791">
        <f>IFERROR(Y343/H343,"0")</f>
        <v>0</v>
      </c>
      <c r="Z344" s="791">
        <f>IFERROR(IF(Z343="",0,Z343),"0")</f>
        <v>0</v>
      </c>
      <c r="AA344" s="792"/>
      <c r="AB344" s="792"/>
      <c r="AC344" s="792"/>
    </row>
    <row r="345" spans="1:68" x14ac:dyDescent="0.2">
      <c r="A345" s="809"/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10"/>
      <c r="P345" s="795" t="s">
        <v>71</v>
      </c>
      <c r="Q345" s="796"/>
      <c r="R345" s="796"/>
      <c r="S345" s="796"/>
      <c r="T345" s="796"/>
      <c r="U345" s="796"/>
      <c r="V345" s="797"/>
      <c r="W345" s="37" t="s">
        <v>69</v>
      </c>
      <c r="X345" s="791">
        <f>IFERROR(SUM(X343:X343),"0")</f>
        <v>0</v>
      </c>
      <c r="Y345" s="791">
        <f>IFERROR(SUM(Y343:Y343),"0")</f>
        <v>0</v>
      </c>
      <c r="Z345" s="37"/>
      <c r="AA345" s="792"/>
      <c r="AB345" s="792"/>
      <c r="AC345" s="792"/>
    </row>
    <row r="346" spans="1:68" ht="14.25" customHeight="1" x14ac:dyDescent="0.25">
      <c r="A346" s="811" t="s">
        <v>64</v>
      </c>
      <c r="B346" s="809"/>
      <c r="C346" s="809"/>
      <c r="D346" s="809"/>
      <c r="E346" s="809"/>
      <c r="F346" s="809"/>
      <c r="G346" s="809"/>
      <c r="H346" s="809"/>
      <c r="I346" s="809"/>
      <c r="J346" s="809"/>
      <c r="K346" s="809"/>
      <c r="L346" s="809"/>
      <c r="M346" s="809"/>
      <c r="N346" s="809"/>
      <c r="O346" s="809"/>
      <c r="P346" s="809"/>
      <c r="Q346" s="809"/>
      <c r="R346" s="809"/>
      <c r="S346" s="809"/>
      <c r="T346" s="809"/>
      <c r="U346" s="809"/>
      <c r="V346" s="809"/>
      <c r="W346" s="809"/>
      <c r="X346" s="809"/>
      <c r="Y346" s="809"/>
      <c r="Z346" s="809"/>
      <c r="AA346" s="785"/>
      <c r="AB346" s="785"/>
      <c r="AC346" s="785"/>
    </row>
    <row r="347" spans="1:68" ht="27" customHeight="1" x14ac:dyDescent="0.25">
      <c r="A347" s="54" t="s">
        <v>553</v>
      </c>
      <c r="B347" s="54" t="s">
        <v>554</v>
      </c>
      <c r="C347" s="31">
        <v>4301031305</v>
      </c>
      <c r="D347" s="793">
        <v>4607091389845</v>
      </c>
      <c r="E347" s="794"/>
      <c r="F347" s="788">
        <v>0.35</v>
      </c>
      <c r="G347" s="32">
        <v>6</v>
      </c>
      <c r="H347" s="788">
        <v>2.1</v>
      </c>
      <c r="I347" s="788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99"/>
      <c r="R347" s="799"/>
      <c r="S347" s="799"/>
      <c r="T347" s="800"/>
      <c r="U347" s="34"/>
      <c r="V347" s="34"/>
      <c r="W347" s="35" t="s">
        <v>69</v>
      </c>
      <c r="X347" s="789">
        <v>175</v>
      </c>
      <c r="Y347" s="790">
        <f>IFERROR(IF(X347="",0,CEILING((X347/$H347),1)*$H347),"")</f>
        <v>176.4</v>
      </c>
      <c r="Z347" s="36">
        <f>IFERROR(IF(Y347=0,"",ROUNDUP(Y347/H347,0)*0.00502),"")</f>
        <v>0.42168</v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183.33333333333334</v>
      </c>
      <c r="BN347" s="64">
        <f>IFERROR(Y347*I347/H347,"0")</f>
        <v>184.8</v>
      </c>
      <c r="BO347" s="64">
        <f>IFERROR(1/J347*(X347/H347),"0")</f>
        <v>0.35612535612535612</v>
      </c>
      <c r="BP347" s="64">
        <f>IFERROR(1/J347*(Y347/H347),"0")</f>
        <v>0.35897435897435903</v>
      </c>
    </row>
    <row r="348" spans="1:68" ht="27" customHeight="1" x14ac:dyDescent="0.25">
      <c r="A348" s="54" t="s">
        <v>556</v>
      </c>
      <c r="B348" s="54" t="s">
        <v>557</v>
      </c>
      <c r="C348" s="31">
        <v>4301031306</v>
      </c>
      <c r="D348" s="793">
        <v>4680115882881</v>
      </c>
      <c r="E348" s="794"/>
      <c r="F348" s="788">
        <v>0.28000000000000003</v>
      </c>
      <c r="G348" s="32">
        <v>6</v>
      </c>
      <c r="H348" s="788">
        <v>1.68</v>
      </c>
      <c r="I348" s="788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99"/>
      <c r="R348" s="799"/>
      <c r="S348" s="799"/>
      <c r="T348" s="800"/>
      <c r="U348" s="34"/>
      <c r="V348" s="34"/>
      <c r="W348" s="35" t="s">
        <v>69</v>
      </c>
      <c r="X348" s="789">
        <v>0</v>
      </c>
      <c r="Y348" s="790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555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808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795" t="s">
        <v>71</v>
      </c>
      <c r="Q349" s="796"/>
      <c r="R349" s="796"/>
      <c r="S349" s="796"/>
      <c r="T349" s="796"/>
      <c r="U349" s="796"/>
      <c r="V349" s="797"/>
      <c r="W349" s="37" t="s">
        <v>72</v>
      </c>
      <c r="X349" s="791">
        <f>IFERROR(X347/H347,"0")+IFERROR(X348/H348,"0")</f>
        <v>83.333333333333329</v>
      </c>
      <c r="Y349" s="791">
        <f>IFERROR(Y347/H347,"0")+IFERROR(Y348/H348,"0")</f>
        <v>84</v>
      </c>
      <c r="Z349" s="791">
        <f>IFERROR(IF(Z347="",0,Z347),"0")+IFERROR(IF(Z348="",0,Z348),"0")</f>
        <v>0.42168</v>
      </c>
      <c r="AA349" s="792"/>
      <c r="AB349" s="792"/>
      <c r="AC349" s="792"/>
    </row>
    <row r="350" spans="1:68" x14ac:dyDescent="0.2">
      <c r="A350" s="809"/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10"/>
      <c r="P350" s="795" t="s">
        <v>71</v>
      </c>
      <c r="Q350" s="796"/>
      <c r="R350" s="796"/>
      <c r="S350" s="796"/>
      <c r="T350" s="796"/>
      <c r="U350" s="796"/>
      <c r="V350" s="797"/>
      <c r="W350" s="37" t="s">
        <v>69</v>
      </c>
      <c r="X350" s="791">
        <f>IFERROR(SUM(X347:X348),"0")</f>
        <v>175</v>
      </c>
      <c r="Y350" s="791">
        <f>IFERROR(SUM(Y347:Y348),"0")</f>
        <v>176.4</v>
      </c>
      <c r="Z350" s="37"/>
      <c r="AA350" s="792"/>
      <c r="AB350" s="792"/>
      <c r="AC350" s="792"/>
    </row>
    <row r="351" spans="1:68" ht="14.25" customHeight="1" x14ac:dyDescent="0.25">
      <c r="A351" s="811" t="s">
        <v>73</v>
      </c>
      <c r="B351" s="809"/>
      <c r="C351" s="809"/>
      <c r="D351" s="809"/>
      <c r="E351" s="809"/>
      <c r="F351" s="809"/>
      <c r="G351" s="809"/>
      <c r="H351" s="809"/>
      <c r="I351" s="809"/>
      <c r="J351" s="809"/>
      <c r="K351" s="809"/>
      <c r="L351" s="809"/>
      <c r="M351" s="809"/>
      <c r="N351" s="809"/>
      <c r="O351" s="809"/>
      <c r="P351" s="809"/>
      <c r="Q351" s="809"/>
      <c r="R351" s="809"/>
      <c r="S351" s="809"/>
      <c r="T351" s="809"/>
      <c r="U351" s="809"/>
      <c r="V351" s="809"/>
      <c r="W351" s="809"/>
      <c r="X351" s="809"/>
      <c r="Y351" s="809"/>
      <c r="Z351" s="809"/>
      <c r="AA351" s="785"/>
      <c r="AB351" s="785"/>
      <c r="AC351" s="785"/>
    </row>
    <row r="352" spans="1:68" ht="37.5" customHeight="1" x14ac:dyDescent="0.25">
      <c r="A352" s="54" t="s">
        <v>558</v>
      </c>
      <c r="B352" s="54" t="s">
        <v>559</v>
      </c>
      <c r="C352" s="31">
        <v>4301051517</v>
      </c>
      <c r="D352" s="793">
        <v>4680115883390</v>
      </c>
      <c r="E352" s="794"/>
      <c r="F352" s="788">
        <v>0.3</v>
      </c>
      <c r="G352" s="32">
        <v>6</v>
      </c>
      <c r="H352" s="788">
        <v>1.8</v>
      </c>
      <c r="I352" s="788">
        <v>1.98</v>
      </c>
      <c r="J352" s="32">
        <v>182</v>
      </c>
      <c r="K352" s="32" t="s">
        <v>76</v>
      </c>
      <c r="L352" s="32"/>
      <c r="M352" s="33" t="s">
        <v>68</v>
      </c>
      <c r="N352" s="33"/>
      <c r="O352" s="32">
        <v>40</v>
      </c>
      <c r="P352" s="9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799"/>
      <c r="R352" s="799"/>
      <c r="S352" s="799"/>
      <c r="T352" s="800"/>
      <c r="U352" s="34"/>
      <c r="V352" s="34"/>
      <c r="W352" s="35" t="s">
        <v>69</v>
      </c>
      <c r="X352" s="789">
        <v>0</v>
      </c>
      <c r="Y352" s="790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21" t="s">
        <v>560</v>
      </c>
      <c r="AG352" s="64"/>
      <c r="AJ352" s="68"/>
      <c r="AK352" s="68">
        <v>0</v>
      </c>
      <c r="BB352" s="42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808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795" t="s">
        <v>71</v>
      </c>
      <c r="Q353" s="796"/>
      <c r="R353" s="796"/>
      <c r="S353" s="796"/>
      <c r="T353" s="796"/>
      <c r="U353" s="796"/>
      <c r="V353" s="797"/>
      <c r="W353" s="37" t="s">
        <v>72</v>
      </c>
      <c r="X353" s="791">
        <f>IFERROR(X352/H352,"0")</f>
        <v>0</v>
      </c>
      <c r="Y353" s="791">
        <f>IFERROR(Y352/H352,"0")</f>
        <v>0</v>
      </c>
      <c r="Z353" s="791">
        <f>IFERROR(IF(Z352="",0,Z352),"0")</f>
        <v>0</v>
      </c>
      <c r="AA353" s="792"/>
      <c r="AB353" s="792"/>
      <c r="AC353" s="792"/>
    </row>
    <row r="354" spans="1:68" x14ac:dyDescent="0.2">
      <c r="A354" s="809"/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10"/>
      <c r="P354" s="795" t="s">
        <v>71</v>
      </c>
      <c r="Q354" s="796"/>
      <c r="R354" s="796"/>
      <c r="S354" s="796"/>
      <c r="T354" s="796"/>
      <c r="U354" s="796"/>
      <c r="V354" s="797"/>
      <c r="W354" s="37" t="s">
        <v>69</v>
      </c>
      <c r="X354" s="791">
        <f>IFERROR(SUM(X352:X352),"0")</f>
        <v>0</v>
      </c>
      <c r="Y354" s="791">
        <f>IFERROR(SUM(Y352:Y352),"0")</f>
        <v>0</v>
      </c>
      <c r="Z354" s="37"/>
      <c r="AA354" s="792"/>
      <c r="AB354" s="792"/>
      <c r="AC354" s="792"/>
    </row>
    <row r="355" spans="1:68" ht="16.5" customHeight="1" x14ac:dyDescent="0.25">
      <c r="A355" s="839" t="s">
        <v>561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84"/>
      <c r="AB355" s="784"/>
      <c r="AC355" s="784"/>
    </row>
    <row r="356" spans="1:68" ht="14.25" customHeight="1" x14ac:dyDescent="0.25">
      <c r="A356" s="811" t="s">
        <v>113</v>
      </c>
      <c r="B356" s="809"/>
      <c r="C356" s="809"/>
      <c r="D356" s="809"/>
      <c r="E356" s="809"/>
      <c r="F356" s="809"/>
      <c r="G356" s="809"/>
      <c r="H356" s="809"/>
      <c r="I356" s="809"/>
      <c r="J356" s="809"/>
      <c r="K356" s="809"/>
      <c r="L356" s="809"/>
      <c r="M356" s="809"/>
      <c r="N356" s="809"/>
      <c r="O356" s="809"/>
      <c r="P356" s="809"/>
      <c r="Q356" s="809"/>
      <c r="R356" s="809"/>
      <c r="S356" s="809"/>
      <c r="T356" s="809"/>
      <c r="U356" s="809"/>
      <c r="V356" s="809"/>
      <c r="W356" s="809"/>
      <c r="X356" s="809"/>
      <c r="Y356" s="809"/>
      <c r="Z356" s="809"/>
      <c r="AA356" s="785"/>
      <c r="AB356" s="785"/>
      <c r="AC356" s="785"/>
    </row>
    <row r="357" spans="1:68" ht="27" customHeight="1" x14ac:dyDescent="0.25">
      <c r="A357" s="54" t="s">
        <v>562</v>
      </c>
      <c r="B357" s="54" t="s">
        <v>563</v>
      </c>
      <c r="C357" s="31">
        <v>4301012024</v>
      </c>
      <c r="D357" s="793">
        <v>4680115885615</v>
      </c>
      <c r="E357" s="794"/>
      <c r="F357" s="788">
        <v>1.35</v>
      </c>
      <c r="G357" s="32">
        <v>8</v>
      </c>
      <c r="H357" s="788">
        <v>10.8</v>
      </c>
      <c r="I357" s="788">
        <v>11.28</v>
      </c>
      <c r="J357" s="32">
        <v>56</v>
      </c>
      <c r="K357" s="32" t="s">
        <v>116</v>
      </c>
      <c r="L357" s="32"/>
      <c r="M357" s="33" t="s">
        <v>77</v>
      </c>
      <c r="N357" s="33"/>
      <c r="O357" s="32">
        <v>55</v>
      </c>
      <c r="P357" s="11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799"/>
      <c r="R357" s="799"/>
      <c r="S357" s="799"/>
      <c r="T357" s="800"/>
      <c r="U357" s="34"/>
      <c r="V357" s="34"/>
      <c r="W357" s="35" t="s">
        <v>69</v>
      </c>
      <c r="X357" s="789">
        <v>0</v>
      </c>
      <c r="Y357" s="790">
        <f t="shared" ref="Y357:Y364" si="77"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ref="BM357:BM364" si="78">IFERROR(X357*I357/H357,"0")</f>
        <v>0</v>
      </c>
      <c r="BN357" s="64">
        <f t="shared" ref="BN357:BN364" si="79">IFERROR(Y357*I357/H357,"0")</f>
        <v>0</v>
      </c>
      <c r="BO357" s="64">
        <f t="shared" ref="BO357:BO364" si="80">IFERROR(1/J357*(X357/H357),"0")</f>
        <v>0</v>
      </c>
      <c r="BP357" s="64">
        <f t="shared" ref="BP357:BP364" si="81"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4301011911</v>
      </c>
      <c r="D358" s="793">
        <v>4680115885554</v>
      </c>
      <c r="E358" s="794"/>
      <c r="F358" s="788">
        <v>1.35</v>
      </c>
      <c r="G358" s="32">
        <v>8</v>
      </c>
      <c r="H358" s="788">
        <v>10.8</v>
      </c>
      <c r="I358" s="788">
        <v>11.28</v>
      </c>
      <c r="J358" s="32">
        <v>48</v>
      </c>
      <c r="K358" s="32" t="s">
        <v>116</v>
      </c>
      <c r="L358" s="32"/>
      <c r="M358" s="33" t="s">
        <v>147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9"/>
      <c r="R358" s="799"/>
      <c r="S358" s="799"/>
      <c r="T358" s="800"/>
      <c r="U358" s="34"/>
      <c r="V358" s="34"/>
      <c r="W358" s="35" t="s">
        <v>69</v>
      </c>
      <c r="X358" s="789">
        <v>0</v>
      </c>
      <c r="Y358" s="790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567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565</v>
      </c>
      <c r="B359" s="54" t="s">
        <v>568</v>
      </c>
      <c r="C359" s="31">
        <v>4301012016</v>
      </c>
      <c r="D359" s="793">
        <v>4680115885554</v>
      </c>
      <c r="E359" s="794"/>
      <c r="F359" s="788">
        <v>1.35</v>
      </c>
      <c r="G359" s="32">
        <v>8</v>
      </c>
      <c r="H359" s="788">
        <v>10.8</v>
      </c>
      <c r="I359" s="788">
        <v>11.28</v>
      </c>
      <c r="J359" s="32">
        <v>56</v>
      </c>
      <c r="K359" s="32" t="s">
        <v>116</v>
      </c>
      <c r="L359" s="32" t="s">
        <v>569</v>
      </c>
      <c r="M359" s="33" t="s">
        <v>77</v>
      </c>
      <c r="N359" s="33"/>
      <c r="O359" s="32">
        <v>55</v>
      </c>
      <c r="P359" s="11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9"/>
      <c r="R359" s="799"/>
      <c r="S359" s="799"/>
      <c r="T359" s="800"/>
      <c r="U359" s="34"/>
      <c r="V359" s="34"/>
      <c r="W359" s="35" t="s">
        <v>69</v>
      </c>
      <c r="X359" s="789">
        <v>0</v>
      </c>
      <c r="Y359" s="790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570</v>
      </c>
      <c r="AG359" s="64"/>
      <c r="AJ359" s="68" t="s">
        <v>571</v>
      </c>
      <c r="AK359" s="68">
        <v>86.4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37.5" customHeight="1" x14ac:dyDescent="0.25">
      <c r="A360" s="54" t="s">
        <v>572</v>
      </c>
      <c r="B360" s="54" t="s">
        <v>573</v>
      </c>
      <c r="C360" s="31">
        <v>4301011858</v>
      </c>
      <c r="D360" s="793">
        <v>4680115885646</v>
      </c>
      <c r="E360" s="794"/>
      <c r="F360" s="788">
        <v>1.35</v>
      </c>
      <c r="G360" s="32">
        <v>8</v>
      </c>
      <c r="H360" s="788">
        <v>10.8</v>
      </c>
      <c r="I360" s="788">
        <v>11.28</v>
      </c>
      <c r="J360" s="32">
        <v>56</v>
      </c>
      <c r="K360" s="32" t="s">
        <v>116</v>
      </c>
      <c r="L360" s="32"/>
      <c r="M360" s="33" t="s">
        <v>117</v>
      </c>
      <c r="N360" s="33"/>
      <c r="O360" s="32">
        <v>55</v>
      </c>
      <c r="P360" s="12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799"/>
      <c r="R360" s="799"/>
      <c r="S360" s="799"/>
      <c r="T360" s="800"/>
      <c r="U360" s="34"/>
      <c r="V360" s="34"/>
      <c r="W360" s="35" t="s">
        <v>69</v>
      </c>
      <c r="X360" s="789">
        <v>0</v>
      </c>
      <c r="Y360" s="790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4301011857</v>
      </c>
      <c r="D361" s="793">
        <v>4680115885622</v>
      </c>
      <c r="E361" s="794"/>
      <c r="F361" s="788">
        <v>0.4</v>
      </c>
      <c r="G361" s="32">
        <v>10</v>
      </c>
      <c r="H361" s="788">
        <v>4</v>
      </c>
      <c r="I361" s="788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55</v>
      </c>
      <c r="P361" s="10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799"/>
      <c r="R361" s="799"/>
      <c r="S361" s="799"/>
      <c r="T361" s="800"/>
      <c r="U361" s="34"/>
      <c r="V361" s="34"/>
      <c r="W361" s="35" t="s">
        <v>69</v>
      </c>
      <c r="X361" s="789">
        <v>0</v>
      </c>
      <c r="Y361" s="790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4301011573</v>
      </c>
      <c r="D362" s="793">
        <v>4680115881938</v>
      </c>
      <c r="E362" s="794"/>
      <c r="F362" s="788">
        <v>0.4</v>
      </c>
      <c r="G362" s="32">
        <v>10</v>
      </c>
      <c r="H362" s="788">
        <v>4</v>
      </c>
      <c r="I362" s="788">
        <v>4.21</v>
      </c>
      <c r="J362" s="32">
        <v>132</v>
      </c>
      <c r="K362" s="32" t="s">
        <v>126</v>
      </c>
      <c r="L362" s="32"/>
      <c r="M362" s="33" t="s">
        <v>117</v>
      </c>
      <c r="N362" s="33"/>
      <c r="O362" s="32">
        <v>90</v>
      </c>
      <c r="P362" s="11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799"/>
      <c r="R362" s="799"/>
      <c r="S362" s="799"/>
      <c r="T362" s="800"/>
      <c r="U362" s="34"/>
      <c r="V362" s="34"/>
      <c r="W362" s="35" t="s">
        <v>69</v>
      </c>
      <c r="X362" s="789">
        <v>0</v>
      </c>
      <c r="Y362" s="790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793">
        <v>4607091386011</v>
      </c>
      <c r="E363" s="794"/>
      <c r="F363" s="788">
        <v>0.5</v>
      </c>
      <c r="G363" s="32">
        <v>10</v>
      </c>
      <c r="H363" s="788">
        <v>5</v>
      </c>
      <c r="I363" s="788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9"/>
      <c r="R363" s="799"/>
      <c r="S363" s="799"/>
      <c r="T363" s="800"/>
      <c r="U363" s="34"/>
      <c r="V363" s="34"/>
      <c r="W363" s="35" t="s">
        <v>69</v>
      </c>
      <c r="X363" s="789">
        <v>0</v>
      </c>
      <c r="Y363" s="790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4301011859</v>
      </c>
      <c r="D364" s="793">
        <v>4680115885608</v>
      </c>
      <c r="E364" s="794"/>
      <c r="F364" s="788">
        <v>0.4</v>
      </c>
      <c r="G364" s="32">
        <v>10</v>
      </c>
      <c r="H364" s="788">
        <v>4</v>
      </c>
      <c r="I364" s="788">
        <v>4.21</v>
      </c>
      <c r="J364" s="32">
        <v>132</v>
      </c>
      <c r="K364" s="32" t="s">
        <v>126</v>
      </c>
      <c r="L364" s="32"/>
      <c r="M364" s="33" t="s">
        <v>117</v>
      </c>
      <c r="N364" s="33"/>
      <c r="O364" s="32">
        <v>55</v>
      </c>
      <c r="P364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9"/>
      <c r="R364" s="799"/>
      <c r="S364" s="799"/>
      <c r="T364" s="800"/>
      <c r="U364" s="34"/>
      <c r="V364" s="34"/>
      <c r="W364" s="35" t="s">
        <v>69</v>
      </c>
      <c r="X364" s="789">
        <v>0</v>
      </c>
      <c r="Y364" s="790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08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91">
        <f>IFERROR(X357/H357,"0")+IFERROR(X358/H358,"0")+IFERROR(X359/H359,"0")+IFERROR(X360/H360,"0")+IFERROR(X361/H361,"0")+IFERROR(X362/H362,"0")+IFERROR(X363/H363,"0")+IFERROR(X364/H364,"0")</f>
        <v>0</v>
      </c>
      <c r="Y365" s="791">
        <f>IFERROR(Y357/H357,"0")+IFERROR(Y358/H358,"0")+IFERROR(Y359/H359,"0")+IFERROR(Y360/H360,"0")+IFERROR(Y361/H361,"0")+IFERROR(Y362/H362,"0")+IFERROR(Y363/H363,"0")+IFERROR(Y364/H364,"0")</f>
        <v>0</v>
      </c>
      <c r="Z365" s="791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92"/>
      <c r="AB365" s="792"/>
      <c r="AC365" s="792"/>
    </row>
    <row r="366" spans="1:68" x14ac:dyDescent="0.2">
      <c r="A366" s="809"/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10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91">
        <f>IFERROR(SUM(X357:X364),"0")</f>
        <v>0</v>
      </c>
      <c r="Y366" s="791">
        <f>IFERROR(SUM(Y357:Y364),"0")</f>
        <v>0</v>
      </c>
      <c r="Z366" s="37"/>
      <c r="AA366" s="792"/>
      <c r="AB366" s="792"/>
      <c r="AC366" s="792"/>
    </row>
    <row r="367" spans="1:68" ht="14.25" customHeight="1" x14ac:dyDescent="0.25">
      <c r="A367" s="811" t="s">
        <v>64</v>
      </c>
      <c r="B367" s="809"/>
      <c r="C367" s="809"/>
      <c r="D367" s="809"/>
      <c r="E367" s="809"/>
      <c r="F367" s="809"/>
      <c r="G367" s="809"/>
      <c r="H367" s="809"/>
      <c r="I367" s="809"/>
      <c r="J367" s="809"/>
      <c r="K367" s="809"/>
      <c r="L367" s="809"/>
      <c r="M367" s="809"/>
      <c r="N367" s="809"/>
      <c r="O367" s="809"/>
      <c r="P367" s="809"/>
      <c r="Q367" s="809"/>
      <c r="R367" s="809"/>
      <c r="S367" s="809"/>
      <c r="T367" s="809"/>
      <c r="U367" s="809"/>
      <c r="V367" s="809"/>
      <c r="W367" s="809"/>
      <c r="X367" s="809"/>
      <c r="Y367" s="809"/>
      <c r="Z367" s="809"/>
      <c r="AA367" s="785"/>
      <c r="AB367" s="785"/>
      <c r="AC367" s="785"/>
    </row>
    <row r="368" spans="1:68" ht="27" customHeight="1" x14ac:dyDescent="0.25">
      <c r="A368" s="54" t="s">
        <v>586</v>
      </c>
      <c r="B368" s="54" t="s">
        <v>587</v>
      </c>
      <c r="C368" s="31">
        <v>4301030878</v>
      </c>
      <c r="D368" s="793">
        <v>4607091387193</v>
      </c>
      <c r="E368" s="794"/>
      <c r="F368" s="788">
        <v>0.7</v>
      </c>
      <c r="G368" s="32">
        <v>6</v>
      </c>
      <c r="H368" s="788">
        <v>4.2</v>
      </c>
      <c r="I368" s="788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35</v>
      </c>
      <c r="P368" s="12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9"/>
      <c r="R368" s="799"/>
      <c r="S368" s="799"/>
      <c r="T368" s="800"/>
      <c r="U368" s="34"/>
      <c r="V368" s="34"/>
      <c r="W368" s="35" t="s">
        <v>69</v>
      </c>
      <c r="X368" s="789">
        <v>0</v>
      </c>
      <c r="Y368" s="79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4301031153</v>
      </c>
      <c r="D369" s="793">
        <v>4607091387230</v>
      </c>
      <c r="E369" s="794"/>
      <c r="F369" s="788">
        <v>0.7</v>
      </c>
      <c r="G369" s="32">
        <v>6</v>
      </c>
      <c r="H369" s="788">
        <v>4.2</v>
      </c>
      <c r="I369" s="788">
        <v>4.47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40</v>
      </c>
      <c r="P369" s="11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9"/>
      <c r="R369" s="799"/>
      <c r="S369" s="799"/>
      <c r="T369" s="800"/>
      <c r="U369" s="34"/>
      <c r="V369" s="34"/>
      <c r="W369" s="35" t="s">
        <v>69</v>
      </c>
      <c r="X369" s="789">
        <v>0</v>
      </c>
      <c r="Y369" s="79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4301031154</v>
      </c>
      <c r="D370" s="793">
        <v>4607091387292</v>
      </c>
      <c r="E370" s="794"/>
      <c r="F370" s="788">
        <v>0.73</v>
      </c>
      <c r="G370" s="32">
        <v>6</v>
      </c>
      <c r="H370" s="788">
        <v>4.38</v>
      </c>
      <c r="I370" s="788">
        <v>4.6500000000000004</v>
      </c>
      <c r="J370" s="32">
        <v>132</v>
      </c>
      <c r="K370" s="32" t="s">
        <v>126</v>
      </c>
      <c r="L370" s="32"/>
      <c r="M370" s="33" t="s">
        <v>68</v>
      </c>
      <c r="N370" s="33"/>
      <c r="O370" s="32">
        <v>45</v>
      </c>
      <c r="P370" s="12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9"/>
      <c r="R370" s="799"/>
      <c r="S370" s="799"/>
      <c r="T370" s="800"/>
      <c r="U370" s="34"/>
      <c r="V370" s="34"/>
      <c r="W370" s="35" t="s">
        <v>69</v>
      </c>
      <c r="X370" s="789">
        <v>0</v>
      </c>
      <c r="Y370" s="79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594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595</v>
      </c>
      <c r="B371" s="54" t="s">
        <v>596</v>
      </c>
      <c r="C371" s="31">
        <v>4301031152</v>
      </c>
      <c r="D371" s="793">
        <v>4607091387285</v>
      </c>
      <c r="E371" s="794"/>
      <c r="F371" s="788">
        <v>0.35</v>
      </c>
      <c r="G371" s="32">
        <v>6</v>
      </c>
      <c r="H371" s="788">
        <v>2.1</v>
      </c>
      <c r="I371" s="788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9"/>
      <c r="R371" s="799"/>
      <c r="S371" s="799"/>
      <c r="T371" s="800"/>
      <c r="U371" s="34"/>
      <c r="V371" s="34"/>
      <c r="W371" s="35" t="s">
        <v>69</v>
      </c>
      <c r="X371" s="789">
        <v>0</v>
      </c>
      <c r="Y371" s="790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08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91">
        <f>IFERROR(X368/H368,"0")+IFERROR(X369/H369,"0")+IFERROR(X370/H370,"0")+IFERROR(X371/H371,"0")</f>
        <v>0</v>
      </c>
      <c r="Y372" s="791">
        <f>IFERROR(Y368/H368,"0")+IFERROR(Y369/H369,"0")+IFERROR(Y370/H370,"0")+IFERROR(Y371/H371,"0")</f>
        <v>0</v>
      </c>
      <c r="Z372" s="791">
        <f>IFERROR(IF(Z368="",0,Z368),"0")+IFERROR(IF(Z369="",0,Z369),"0")+IFERROR(IF(Z370="",0,Z370),"0")+IFERROR(IF(Z371="",0,Z371),"0")</f>
        <v>0</v>
      </c>
      <c r="AA372" s="792"/>
      <c r="AB372" s="792"/>
      <c r="AC372" s="792"/>
    </row>
    <row r="373" spans="1:68" x14ac:dyDescent="0.2">
      <c r="A373" s="809"/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10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91">
        <f>IFERROR(SUM(X368:X371),"0")</f>
        <v>0</v>
      </c>
      <c r="Y373" s="791">
        <f>IFERROR(SUM(Y368:Y371),"0")</f>
        <v>0</v>
      </c>
      <c r="Z373" s="37"/>
      <c r="AA373" s="792"/>
      <c r="AB373" s="792"/>
      <c r="AC373" s="792"/>
    </row>
    <row r="374" spans="1:68" ht="14.25" customHeight="1" x14ac:dyDescent="0.25">
      <c r="A374" s="811" t="s">
        <v>73</v>
      </c>
      <c r="B374" s="809"/>
      <c r="C374" s="809"/>
      <c r="D374" s="809"/>
      <c r="E374" s="809"/>
      <c r="F374" s="809"/>
      <c r="G374" s="809"/>
      <c r="H374" s="809"/>
      <c r="I374" s="809"/>
      <c r="J374" s="809"/>
      <c r="K374" s="809"/>
      <c r="L374" s="809"/>
      <c r="M374" s="809"/>
      <c r="N374" s="809"/>
      <c r="O374" s="809"/>
      <c r="P374" s="809"/>
      <c r="Q374" s="809"/>
      <c r="R374" s="809"/>
      <c r="S374" s="809"/>
      <c r="T374" s="809"/>
      <c r="U374" s="809"/>
      <c r="V374" s="809"/>
      <c r="W374" s="809"/>
      <c r="X374" s="809"/>
      <c r="Y374" s="809"/>
      <c r="Z374" s="809"/>
      <c r="AA374" s="785"/>
      <c r="AB374" s="785"/>
      <c r="AC374" s="785"/>
    </row>
    <row r="375" spans="1:68" ht="48" customHeight="1" x14ac:dyDescent="0.25">
      <c r="A375" s="54" t="s">
        <v>597</v>
      </c>
      <c r="B375" s="54" t="s">
        <v>598</v>
      </c>
      <c r="C375" s="31">
        <v>4301051100</v>
      </c>
      <c r="D375" s="793">
        <v>4607091387766</v>
      </c>
      <c r="E375" s="794"/>
      <c r="F375" s="788">
        <v>1.3</v>
      </c>
      <c r="G375" s="32">
        <v>6</v>
      </c>
      <c r="H375" s="788">
        <v>7.8</v>
      </c>
      <c r="I375" s="788">
        <v>8.3580000000000005</v>
      </c>
      <c r="J375" s="32">
        <v>56</v>
      </c>
      <c r="K375" s="32" t="s">
        <v>116</v>
      </c>
      <c r="L375" s="32"/>
      <c r="M375" s="33" t="s">
        <v>77</v>
      </c>
      <c r="N375" s="33"/>
      <c r="O375" s="32">
        <v>40</v>
      </c>
      <c r="P375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9"/>
      <c r="R375" s="799"/>
      <c r="S375" s="799"/>
      <c r="T375" s="800"/>
      <c r="U375" s="34"/>
      <c r="V375" s="34"/>
      <c r="W375" s="35" t="s">
        <v>69</v>
      </c>
      <c r="X375" s="789">
        <v>0</v>
      </c>
      <c r="Y375" s="790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4301051116</v>
      </c>
      <c r="D376" s="793">
        <v>4607091387957</v>
      </c>
      <c r="E376" s="794"/>
      <c r="F376" s="788">
        <v>1.3</v>
      </c>
      <c r="G376" s="32">
        <v>6</v>
      </c>
      <c r="H376" s="788">
        <v>7.8</v>
      </c>
      <c r="I376" s="788">
        <v>8.3640000000000008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9"/>
      <c r="R376" s="799"/>
      <c r="S376" s="799"/>
      <c r="T376" s="800"/>
      <c r="U376" s="34"/>
      <c r="V376" s="34"/>
      <c r="W376" s="35" t="s">
        <v>69</v>
      </c>
      <c r="X376" s="789">
        <v>0</v>
      </c>
      <c r="Y376" s="790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4301051115</v>
      </c>
      <c r="D377" s="793">
        <v>4607091387964</v>
      </c>
      <c r="E377" s="794"/>
      <c r="F377" s="788">
        <v>1.35</v>
      </c>
      <c r="G377" s="32">
        <v>6</v>
      </c>
      <c r="H377" s="788">
        <v>8.1</v>
      </c>
      <c r="I377" s="788">
        <v>8.6460000000000008</v>
      </c>
      <c r="J377" s="32">
        <v>56</v>
      </c>
      <c r="K377" s="32" t="s">
        <v>116</v>
      </c>
      <c r="L377" s="32"/>
      <c r="M377" s="33" t="s">
        <v>68</v>
      </c>
      <c r="N377" s="33"/>
      <c r="O377" s="32">
        <v>40</v>
      </c>
      <c r="P377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9"/>
      <c r="R377" s="799"/>
      <c r="S377" s="799"/>
      <c r="T377" s="800"/>
      <c r="U377" s="34"/>
      <c r="V377" s="34"/>
      <c r="W377" s="35" t="s">
        <v>69</v>
      </c>
      <c r="X377" s="789">
        <v>0</v>
      </c>
      <c r="Y377" s="790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4301051705</v>
      </c>
      <c r="D378" s="793">
        <v>4680115884588</v>
      </c>
      <c r="E378" s="794"/>
      <c r="F378" s="788">
        <v>0.5</v>
      </c>
      <c r="G378" s="32">
        <v>6</v>
      </c>
      <c r="H378" s="788">
        <v>3</v>
      </c>
      <c r="I378" s="788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9"/>
      <c r="R378" s="799"/>
      <c r="S378" s="799"/>
      <c r="T378" s="800"/>
      <c r="U378" s="34"/>
      <c r="V378" s="34"/>
      <c r="W378" s="35" t="s">
        <v>69</v>
      </c>
      <c r="X378" s="789">
        <v>0</v>
      </c>
      <c r="Y378" s="790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4301051130</v>
      </c>
      <c r="D379" s="793">
        <v>4607091387537</v>
      </c>
      <c r="E379" s="794"/>
      <c r="F379" s="788">
        <v>0.45</v>
      </c>
      <c r="G379" s="32">
        <v>6</v>
      </c>
      <c r="H379" s="788">
        <v>2.7</v>
      </c>
      <c r="I379" s="788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9"/>
      <c r="R379" s="799"/>
      <c r="S379" s="799"/>
      <c r="T379" s="800"/>
      <c r="U379" s="34"/>
      <c r="V379" s="34"/>
      <c r="W379" s="35" t="s">
        <v>69</v>
      </c>
      <c r="X379" s="789">
        <v>0</v>
      </c>
      <c r="Y379" s="790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612</v>
      </c>
      <c r="B380" s="54" t="s">
        <v>613</v>
      </c>
      <c r="C380" s="31">
        <v>4301051132</v>
      </c>
      <c r="D380" s="793">
        <v>4607091387513</v>
      </c>
      <c r="E380" s="794"/>
      <c r="F380" s="788">
        <v>0.45</v>
      </c>
      <c r="G380" s="32">
        <v>6</v>
      </c>
      <c r="H380" s="788">
        <v>2.7</v>
      </c>
      <c r="I380" s="788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9"/>
      <c r="R380" s="799"/>
      <c r="S380" s="799"/>
      <c r="T380" s="800"/>
      <c r="U380" s="34"/>
      <c r="V380" s="34"/>
      <c r="W380" s="35" t="s">
        <v>69</v>
      </c>
      <c r="X380" s="789">
        <v>0</v>
      </c>
      <c r="Y380" s="790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08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91">
        <f>IFERROR(X375/H375,"0")+IFERROR(X376/H376,"0")+IFERROR(X377/H377,"0")+IFERROR(X378/H378,"0")+IFERROR(X379/H379,"0")+IFERROR(X380/H380,"0")</f>
        <v>0</v>
      </c>
      <c r="Y381" s="791">
        <f>IFERROR(Y375/H375,"0")+IFERROR(Y376/H376,"0")+IFERROR(Y377/H377,"0")+IFERROR(Y378/H378,"0")+IFERROR(Y379/H379,"0")+IFERROR(Y380/H380,"0")</f>
        <v>0</v>
      </c>
      <c r="Z381" s="791">
        <f>IFERROR(IF(Z375="",0,Z375),"0")+IFERROR(IF(Z376="",0,Z376),"0")+IFERROR(IF(Z377="",0,Z377),"0")+IFERROR(IF(Z378="",0,Z378),"0")+IFERROR(IF(Z379="",0,Z379),"0")+IFERROR(IF(Z380="",0,Z380),"0")</f>
        <v>0</v>
      </c>
      <c r="AA381" s="792"/>
      <c r="AB381" s="792"/>
      <c r="AC381" s="792"/>
    </row>
    <row r="382" spans="1:68" x14ac:dyDescent="0.2">
      <c r="A382" s="809"/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10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91">
        <f>IFERROR(SUM(X375:X380),"0")</f>
        <v>0</v>
      </c>
      <c r="Y382" s="791">
        <f>IFERROR(SUM(Y375:Y380),"0")</f>
        <v>0</v>
      </c>
      <c r="Z382" s="37"/>
      <c r="AA382" s="792"/>
      <c r="AB382" s="792"/>
      <c r="AC382" s="792"/>
    </row>
    <row r="383" spans="1:68" ht="14.25" customHeight="1" x14ac:dyDescent="0.25">
      <c r="A383" s="811" t="s">
        <v>208</v>
      </c>
      <c r="B383" s="809"/>
      <c r="C383" s="809"/>
      <c r="D383" s="809"/>
      <c r="E383" s="809"/>
      <c r="F383" s="809"/>
      <c r="G383" s="809"/>
      <c r="H383" s="809"/>
      <c r="I383" s="809"/>
      <c r="J383" s="809"/>
      <c r="K383" s="809"/>
      <c r="L383" s="809"/>
      <c r="M383" s="809"/>
      <c r="N383" s="809"/>
      <c r="O383" s="809"/>
      <c r="P383" s="809"/>
      <c r="Q383" s="809"/>
      <c r="R383" s="809"/>
      <c r="S383" s="809"/>
      <c r="T383" s="809"/>
      <c r="U383" s="809"/>
      <c r="V383" s="809"/>
      <c r="W383" s="809"/>
      <c r="X383" s="809"/>
      <c r="Y383" s="809"/>
      <c r="Z383" s="809"/>
      <c r="AA383" s="785"/>
      <c r="AB383" s="785"/>
      <c r="AC383" s="785"/>
    </row>
    <row r="384" spans="1:68" ht="37.5" customHeight="1" x14ac:dyDescent="0.25">
      <c r="A384" s="54" t="s">
        <v>615</v>
      </c>
      <c r="B384" s="54" t="s">
        <v>616</v>
      </c>
      <c r="C384" s="31">
        <v>4301060379</v>
      </c>
      <c r="D384" s="793">
        <v>4607091380880</v>
      </c>
      <c r="E384" s="794"/>
      <c r="F384" s="788">
        <v>1.4</v>
      </c>
      <c r="G384" s="32">
        <v>6</v>
      </c>
      <c r="H384" s="788">
        <v>8.4</v>
      </c>
      <c r="I384" s="788">
        <v>8.9640000000000004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9"/>
      <c r="R384" s="799"/>
      <c r="S384" s="799"/>
      <c r="T384" s="800"/>
      <c r="U384" s="34"/>
      <c r="V384" s="34"/>
      <c r="W384" s="35" t="s">
        <v>69</v>
      </c>
      <c r="X384" s="789">
        <v>60</v>
      </c>
      <c r="Y384" s="790">
        <f>IFERROR(IF(X384="",0,CEILING((X384/$H384),1)*$H384),"")</f>
        <v>67.2</v>
      </c>
      <c r="Z384" s="36">
        <f>IFERROR(IF(Y384=0,"",ROUNDUP(Y384/H384,0)*0.02175),"")</f>
        <v>0.17399999999999999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64.028571428571425</v>
      </c>
      <c r="BN384" s="64">
        <f>IFERROR(Y384*I384/H384,"0")</f>
        <v>71.712000000000003</v>
      </c>
      <c r="BO384" s="64">
        <f>IFERROR(1/J384*(X384/H384),"0")</f>
        <v>0.12755102040816324</v>
      </c>
      <c r="BP384" s="64">
        <f>IFERROR(1/J384*(Y384/H384),"0")</f>
        <v>0.14285714285714285</v>
      </c>
    </row>
    <row r="385" spans="1:68" ht="37.5" customHeight="1" x14ac:dyDescent="0.25">
      <c r="A385" s="54" t="s">
        <v>618</v>
      </c>
      <c r="B385" s="54" t="s">
        <v>619</v>
      </c>
      <c r="C385" s="31">
        <v>4301060308</v>
      </c>
      <c r="D385" s="793">
        <v>4607091384482</v>
      </c>
      <c r="E385" s="794"/>
      <c r="F385" s="788">
        <v>1.3</v>
      </c>
      <c r="G385" s="32">
        <v>6</v>
      </c>
      <c r="H385" s="788">
        <v>7.8</v>
      </c>
      <c r="I385" s="788">
        <v>8.3640000000000008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9"/>
      <c r="R385" s="799"/>
      <c r="S385" s="799"/>
      <c r="T385" s="800"/>
      <c r="U385" s="34"/>
      <c r="V385" s="34"/>
      <c r="W385" s="35" t="s">
        <v>69</v>
      </c>
      <c r="X385" s="789">
        <v>300</v>
      </c>
      <c r="Y385" s="790">
        <f>IFERROR(IF(X385="",0,CEILING((X385/$H385),1)*$H385),"")</f>
        <v>304.2</v>
      </c>
      <c r="Z385" s="36">
        <f>IFERROR(IF(Y385=0,"",ROUNDUP(Y385/H385,0)*0.02175),"")</f>
        <v>0.84824999999999995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321.69230769230774</v>
      </c>
      <c r="BN385" s="64">
        <f>IFERROR(Y385*I385/H385,"0")</f>
        <v>326.19600000000003</v>
      </c>
      <c r="BO385" s="64">
        <f>IFERROR(1/J385*(X385/H385),"0")</f>
        <v>0.6868131868131867</v>
      </c>
      <c r="BP385" s="64">
        <f>IFERROR(1/J385*(Y385/H385),"0")</f>
        <v>0.6964285714285714</v>
      </c>
    </row>
    <row r="386" spans="1:68" ht="16.5" customHeight="1" x14ac:dyDescent="0.25">
      <c r="A386" s="54" t="s">
        <v>621</v>
      </c>
      <c r="B386" s="54" t="s">
        <v>622</v>
      </c>
      <c r="C386" s="31">
        <v>4301060325</v>
      </c>
      <c r="D386" s="793">
        <v>4607091380897</v>
      </c>
      <c r="E386" s="794"/>
      <c r="F386" s="788">
        <v>1.4</v>
      </c>
      <c r="G386" s="32">
        <v>6</v>
      </c>
      <c r="H386" s="788">
        <v>8.4</v>
      </c>
      <c r="I386" s="788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9"/>
      <c r="R386" s="799"/>
      <c r="S386" s="799"/>
      <c r="T386" s="800"/>
      <c r="U386" s="34"/>
      <c r="V386" s="34"/>
      <c r="W386" s="35" t="s">
        <v>69</v>
      </c>
      <c r="X386" s="789">
        <v>0</v>
      </c>
      <c r="Y386" s="790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621</v>
      </c>
      <c r="B387" s="54" t="s">
        <v>624</v>
      </c>
      <c r="C387" s="31">
        <v>4301060484</v>
      </c>
      <c r="D387" s="793">
        <v>4607091380897</v>
      </c>
      <c r="E387" s="794"/>
      <c r="F387" s="788">
        <v>1.4</v>
      </c>
      <c r="G387" s="32">
        <v>6</v>
      </c>
      <c r="H387" s="788">
        <v>8.4</v>
      </c>
      <c r="I387" s="788">
        <v>8.9640000000000004</v>
      </c>
      <c r="J387" s="32">
        <v>56</v>
      </c>
      <c r="K387" s="32" t="s">
        <v>116</v>
      </c>
      <c r="L387" s="32"/>
      <c r="M387" s="33" t="s">
        <v>162</v>
      </c>
      <c r="N387" s="33"/>
      <c r="O387" s="32">
        <v>30</v>
      </c>
      <c r="P387" s="1016" t="s">
        <v>625</v>
      </c>
      <c r="Q387" s="799"/>
      <c r="R387" s="799"/>
      <c r="S387" s="799"/>
      <c r="T387" s="800"/>
      <c r="U387" s="34"/>
      <c r="V387" s="34"/>
      <c r="W387" s="35" t="s">
        <v>69</v>
      </c>
      <c r="X387" s="789">
        <v>0</v>
      </c>
      <c r="Y387" s="790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08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91">
        <f>IFERROR(X384/H384,"0")+IFERROR(X385/H385,"0")+IFERROR(X386/H386,"0")+IFERROR(X387/H387,"0")</f>
        <v>45.604395604395606</v>
      </c>
      <c r="Y388" s="791">
        <f>IFERROR(Y384/H384,"0")+IFERROR(Y385/H385,"0")+IFERROR(Y386/H386,"0")+IFERROR(Y387/H387,"0")</f>
        <v>47</v>
      </c>
      <c r="Z388" s="791">
        <f>IFERROR(IF(Z384="",0,Z384),"0")+IFERROR(IF(Z385="",0,Z385),"0")+IFERROR(IF(Z386="",0,Z386),"0")+IFERROR(IF(Z387="",0,Z387),"0")</f>
        <v>1.0222499999999999</v>
      </c>
      <c r="AA388" s="792"/>
      <c r="AB388" s="792"/>
      <c r="AC388" s="792"/>
    </row>
    <row r="389" spans="1:68" x14ac:dyDescent="0.2">
      <c r="A389" s="809"/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10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91">
        <f>IFERROR(SUM(X384:X387),"0")</f>
        <v>360</v>
      </c>
      <c r="Y389" s="791">
        <f>IFERROR(SUM(Y384:Y387),"0")</f>
        <v>371.4</v>
      </c>
      <c r="Z389" s="37"/>
      <c r="AA389" s="792"/>
      <c r="AB389" s="792"/>
      <c r="AC389" s="792"/>
    </row>
    <row r="390" spans="1:68" ht="14.25" customHeight="1" x14ac:dyDescent="0.25">
      <c r="A390" s="811" t="s">
        <v>102</v>
      </c>
      <c r="B390" s="809"/>
      <c r="C390" s="809"/>
      <c r="D390" s="809"/>
      <c r="E390" s="809"/>
      <c r="F390" s="809"/>
      <c r="G390" s="809"/>
      <c r="H390" s="809"/>
      <c r="I390" s="809"/>
      <c r="J390" s="809"/>
      <c r="K390" s="809"/>
      <c r="L390" s="809"/>
      <c r="M390" s="809"/>
      <c r="N390" s="809"/>
      <c r="O390" s="809"/>
      <c r="P390" s="809"/>
      <c r="Q390" s="809"/>
      <c r="R390" s="809"/>
      <c r="S390" s="809"/>
      <c r="T390" s="809"/>
      <c r="U390" s="809"/>
      <c r="V390" s="809"/>
      <c r="W390" s="809"/>
      <c r="X390" s="809"/>
      <c r="Y390" s="809"/>
      <c r="Z390" s="809"/>
      <c r="AA390" s="785"/>
      <c r="AB390" s="785"/>
      <c r="AC390" s="785"/>
    </row>
    <row r="391" spans="1:68" ht="16.5" customHeight="1" x14ac:dyDescent="0.25">
      <c r="A391" s="54" t="s">
        <v>627</v>
      </c>
      <c r="B391" s="54" t="s">
        <v>628</v>
      </c>
      <c r="C391" s="31">
        <v>4301030232</v>
      </c>
      <c r="D391" s="793">
        <v>4607091388374</v>
      </c>
      <c r="E391" s="794"/>
      <c r="F391" s="788">
        <v>0.38</v>
      </c>
      <c r="G391" s="32">
        <v>8</v>
      </c>
      <c r="H391" s="788">
        <v>3.04</v>
      </c>
      <c r="I391" s="788">
        <v>3.29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4" t="s">
        <v>629</v>
      </c>
      <c r="Q391" s="799"/>
      <c r="R391" s="799"/>
      <c r="S391" s="799"/>
      <c r="T391" s="800"/>
      <c r="U391" s="34"/>
      <c r="V391" s="34"/>
      <c r="W391" s="35" t="s">
        <v>69</v>
      </c>
      <c r="X391" s="789">
        <v>0</v>
      </c>
      <c r="Y391" s="790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630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4301030235</v>
      </c>
      <c r="D392" s="793">
        <v>4607091388381</v>
      </c>
      <c r="E392" s="794"/>
      <c r="F392" s="788">
        <v>0.38</v>
      </c>
      <c r="G392" s="32">
        <v>8</v>
      </c>
      <c r="H392" s="788">
        <v>3.04</v>
      </c>
      <c r="I392" s="788">
        <v>3.33</v>
      </c>
      <c r="J392" s="32">
        <v>132</v>
      </c>
      <c r="K392" s="32" t="s">
        <v>126</v>
      </c>
      <c r="L392" s="32"/>
      <c r="M392" s="33" t="s">
        <v>105</v>
      </c>
      <c r="N392" s="33"/>
      <c r="O392" s="32">
        <v>180</v>
      </c>
      <c r="P392" s="823" t="s">
        <v>633</v>
      </c>
      <c r="Q392" s="799"/>
      <c r="R392" s="799"/>
      <c r="S392" s="799"/>
      <c r="T392" s="800"/>
      <c r="U392" s="34"/>
      <c r="V392" s="34"/>
      <c r="W392" s="35" t="s">
        <v>69</v>
      </c>
      <c r="X392" s="789">
        <v>30</v>
      </c>
      <c r="Y392" s="790">
        <f>IFERROR(IF(X392="",0,CEILING((X392/$H392),1)*$H392),"")</f>
        <v>30.4</v>
      </c>
      <c r="Z392" s="36">
        <f>IFERROR(IF(Y392=0,"",ROUNDUP(Y392/H392,0)*0.00902),"")</f>
        <v>9.0200000000000002E-2</v>
      </c>
      <c r="AA392" s="56"/>
      <c r="AB392" s="57"/>
      <c r="AC392" s="469" t="s">
        <v>630</v>
      </c>
      <c r="AG392" s="64"/>
      <c r="AJ392" s="68"/>
      <c r="AK392" s="68">
        <v>0</v>
      </c>
      <c r="BB392" s="470" t="s">
        <v>1</v>
      </c>
      <c r="BM392" s="64">
        <f>IFERROR(X392*I392/H392,"0")</f>
        <v>32.861842105263158</v>
      </c>
      <c r="BN392" s="64">
        <f>IFERROR(Y392*I392/H392,"0")</f>
        <v>33.299999999999997</v>
      </c>
      <c r="BO392" s="64">
        <f>IFERROR(1/J392*(X392/H392),"0")</f>
        <v>7.4760765550239236E-2</v>
      </c>
      <c r="BP392" s="64">
        <f>IFERROR(1/J392*(Y392/H392),"0")</f>
        <v>7.575757575757576E-2</v>
      </c>
    </row>
    <row r="393" spans="1:68" ht="27" customHeight="1" x14ac:dyDescent="0.25">
      <c r="A393" s="54" t="s">
        <v>634</v>
      </c>
      <c r="B393" s="54" t="s">
        <v>635</v>
      </c>
      <c r="C393" s="31">
        <v>4301032015</v>
      </c>
      <c r="D393" s="793">
        <v>4607091383102</v>
      </c>
      <c r="E393" s="794"/>
      <c r="F393" s="788">
        <v>0.17</v>
      </c>
      <c r="G393" s="32">
        <v>15</v>
      </c>
      <c r="H393" s="788">
        <v>2.5499999999999998</v>
      </c>
      <c r="I393" s="788">
        <v>2.9550000000000001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9"/>
      <c r="R393" s="799"/>
      <c r="S393" s="799"/>
      <c r="T393" s="800"/>
      <c r="U393" s="34"/>
      <c r="V393" s="34"/>
      <c r="W393" s="35" t="s">
        <v>69</v>
      </c>
      <c r="X393" s="789">
        <v>0</v>
      </c>
      <c r="Y393" s="790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4301030233</v>
      </c>
      <c r="D394" s="793">
        <v>4607091388404</v>
      </c>
      <c r="E394" s="794"/>
      <c r="F394" s="788">
        <v>0.17</v>
      </c>
      <c r="G394" s="32">
        <v>15</v>
      </c>
      <c r="H394" s="788">
        <v>2.5499999999999998</v>
      </c>
      <c r="I394" s="788">
        <v>2.88</v>
      </c>
      <c r="J394" s="32">
        <v>182</v>
      </c>
      <c r="K394" s="32" t="s">
        <v>76</v>
      </c>
      <c r="L394" s="32"/>
      <c r="M394" s="33" t="s">
        <v>105</v>
      </c>
      <c r="N394" s="33"/>
      <c r="O394" s="32">
        <v>180</v>
      </c>
      <c r="P394" s="8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9"/>
      <c r="R394" s="799"/>
      <c r="S394" s="799"/>
      <c r="T394" s="800"/>
      <c r="U394" s="34"/>
      <c r="V394" s="34"/>
      <c r="W394" s="35" t="s">
        <v>69</v>
      </c>
      <c r="X394" s="789">
        <v>0</v>
      </c>
      <c r="Y394" s="790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08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91">
        <f>IFERROR(X391/H391,"0")+IFERROR(X392/H392,"0")+IFERROR(X393/H393,"0")+IFERROR(X394/H394,"0")</f>
        <v>9.8684210526315788</v>
      </c>
      <c r="Y395" s="791">
        <f>IFERROR(Y391/H391,"0")+IFERROR(Y392/H392,"0")+IFERROR(Y393/H393,"0")+IFERROR(Y394/H394,"0")</f>
        <v>10</v>
      </c>
      <c r="Z395" s="791">
        <f>IFERROR(IF(Z391="",0,Z391),"0")+IFERROR(IF(Z392="",0,Z392),"0")+IFERROR(IF(Z393="",0,Z393),"0")+IFERROR(IF(Z394="",0,Z394),"0")</f>
        <v>9.0200000000000002E-2</v>
      </c>
      <c r="AA395" s="792"/>
      <c r="AB395" s="792"/>
      <c r="AC395" s="792"/>
    </row>
    <row r="396" spans="1:68" x14ac:dyDescent="0.2">
      <c r="A396" s="809"/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10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91">
        <f>IFERROR(SUM(X391:X394),"0")</f>
        <v>30</v>
      </c>
      <c r="Y396" s="791">
        <f>IFERROR(SUM(Y391:Y394),"0")</f>
        <v>30.4</v>
      </c>
      <c r="Z396" s="37"/>
      <c r="AA396" s="792"/>
      <c r="AB396" s="792"/>
      <c r="AC396" s="792"/>
    </row>
    <row r="397" spans="1:68" ht="14.25" customHeight="1" x14ac:dyDescent="0.25">
      <c r="A397" s="811" t="s">
        <v>639</v>
      </c>
      <c r="B397" s="809"/>
      <c r="C397" s="809"/>
      <c r="D397" s="809"/>
      <c r="E397" s="809"/>
      <c r="F397" s="809"/>
      <c r="G397" s="809"/>
      <c r="H397" s="809"/>
      <c r="I397" s="809"/>
      <c r="J397" s="809"/>
      <c r="K397" s="809"/>
      <c r="L397" s="809"/>
      <c r="M397" s="809"/>
      <c r="N397" s="809"/>
      <c r="O397" s="809"/>
      <c r="P397" s="809"/>
      <c r="Q397" s="809"/>
      <c r="R397" s="809"/>
      <c r="S397" s="809"/>
      <c r="T397" s="809"/>
      <c r="U397" s="809"/>
      <c r="V397" s="809"/>
      <c r="W397" s="809"/>
      <c r="X397" s="809"/>
      <c r="Y397" s="809"/>
      <c r="Z397" s="809"/>
      <c r="AA397" s="785"/>
      <c r="AB397" s="785"/>
      <c r="AC397" s="785"/>
    </row>
    <row r="398" spans="1:68" ht="16.5" customHeight="1" x14ac:dyDescent="0.25">
      <c r="A398" s="54" t="s">
        <v>640</v>
      </c>
      <c r="B398" s="54" t="s">
        <v>641</v>
      </c>
      <c r="C398" s="31">
        <v>4301180007</v>
      </c>
      <c r="D398" s="793">
        <v>4680115881808</v>
      </c>
      <c r="E398" s="794"/>
      <c r="F398" s="788">
        <v>0.1</v>
      </c>
      <c r="G398" s="32">
        <v>20</v>
      </c>
      <c r="H398" s="788">
        <v>2</v>
      </c>
      <c r="I398" s="788">
        <v>2.2400000000000002</v>
      </c>
      <c r="J398" s="32">
        <v>238</v>
      </c>
      <c r="K398" s="32" t="s">
        <v>76</v>
      </c>
      <c r="L398" s="32"/>
      <c r="M398" s="33" t="s">
        <v>642</v>
      </c>
      <c r="N398" s="33"/>
      <c r="O398" s="32">
        <v>730</v>
      </c>
      <c r="P398" s="11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9"/>
      <c r="R398" s="799"/>
      <c r="S398" s="799"/>
      <c r="T398" s="800"/>
      <c r="U398" s="34"/>
      <c r="V398" s="34"/>
      <c r="W398" s="35" t="s">
        <v>69</v>
      </c>
      <c r="X398" s="789">
        <v>0</v>
      </c>
      <c r="Y398" s="79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643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4301180006</v>
      </c>
      <c r="D399" s="793">
        <v>4680115881822</v>
      </c>
      <c r="E399" s="794"/>
      <c r="F399" s="788">
        <v>0.1</v>
      </c>
      <c r="G399" s="32">
        <v>20</v>
      </c>
      <c r="H399" s="788">
        <v>2</v>
      </c>
      <c r="I399" s="788">
        <v>2.2400000000000002</v>
      </c>
      <c r="J399" s="32">
        <v>238</v>
      </c>
      <c r="K399" s="32" t="s">
        <v>76</v>
      </c>
      <c r="L399" s="32"/>
      <c r="M399" s="33" t="s">
        <v>642</v>
      </c>
      <c r="N399" s="33"/>
      <c r="O399" s="32">
        <v>730</v>
      </c>
      <c r="P399" s="11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9"/>
      <c r="R399" s="799"/>
      <c r="S399" s="799"/>
      <c r="T399" s="800"/>
      <c r="U399" s="34"/>
      <c r="V399" s="34"/>
      <c r="W399" s="35" t="s">
        <v>69</v>
      </c>
      <c r="X399" s="789">
        <v>0</v>
      </c>
      <c r="Y399" s="790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643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646</v>
      </c>
      <c r="B400" s="54" t="s">
        <v>647</v>
      </c>
      <c r="C400" s="31">
        <v>4301180001</v>
      </c>
      <c r="D400" s="793">
        <v>4680115880016</v>
      </c>
      <c r="E400" s="794"/>
      <c r="F400" s="788">
        <v>0.1</v>
      </c>
      <c r="G400" s="32">
        <v>20</v>
      </c>
      <c r="H400" s="788">
        <v>2</v>
      </c>
      <c r="I400" s="788">
        <v>2.2400000000000002</v>
      </c>
      <c r="J400" s="32">
        <v>238</v>
      </c>
      <c r="K400" s="32" t="s">
        <v>76</v>
      </c>
      <c r="L400" s="32"/>
      <c r="M400" s="33" t="s">
        <v>642</v>
      </c>
      <c r="N400" s="33"/>
      <c r="O400" s="32">
        <v>730</v>
      </c>
      <c r="P400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9"/>
      <c r="R400" s="799"/>
      <c r="S400" s="799"/>
      <c r="T400" s="800"/>
      <c r="U400" s="34"/>
      <c r="V400" s="34"/>
      <c r="W400" s="35" t="s">
        <v>69</v>
      </c>
      <c r="X400" s="789">
        <v>0</v>
      </c>
      <c r="Y400" s="79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08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91">
        <f>IFERROR(X398/H398,"0")+IFERROR(X399/H399,"0")+IFERROR(X400/H400,"0")</f>
        <v>0</v>
      </c>
      <c r="Y401" s="791">
        <f>IFERROR(Y398/H398,"0")+IFERROR(Y399/H399,"0")+IFERROR(Y400/H400,"0")</f>
        <v>0</v>
      </c>
      <c r="Z401" s="791">
        <f>IFERROR(IF(Z398="",0,Z398),"0")+IFERROR(IF(Z399="",0,Z399),"0")+IFERROR(IF(Z400="",0,Z400),"0")</f>
        <v>0</v>
      </c>
      <c r="AA401" s="792"/>
      <c r="AB401" s="792"/>
      <c r="AC401" s="792"/>
    </row>
    <row r="402" spans="1:68" x14ac:dyDescent="0.2">
      <c r="A402" s="809"/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10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91">
        <f>IFERROR(SUM(X398:X400),"0")</f>
        <v>0</v>
      </c>
      <c r="Y402" s="791">
        <f>IFERROR(SUM(Y398:Y400),"0")</f>
        <v>0</v>
      </c>
      <c r="Z402" s="37"/>
      <c r="AA402" s="792"/>
      <c r="AB402" s="792"/>
      <c r="AC402" s="792"/>
    </row>
    <row r="403" spans="1:68" ht="16.5" customHeight="1" x14ac:dyDescent="0.25">
      <c r="A403" s="839" t="s">
        <v>648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84"/>
      <c r="AB403" s="784"/>
      <c r="AC403" s="784"/>
    </row>
    <row r="404" spans="1:68" ht="14.25" customHeight="1" x14ac:dyDescent="0.25">
      <c r="A404" s="811" t="s">
        <v>64</v>
      </c>
      <c r="B404" s="809"/>
      <c r="C404" s="809"/>
      <c r="D404" s="809"/>
      <c r="E404" s="809"/>
      <c r="F404" s="809"/>
      <c r="G404" s="809"/>
      <c r="H404" s="809"/>
      <c r="I404" s="809"/>
      <c r="J404" s="809"/>
      <c r="K404" s="809"/>
      <c r="L404" s="809"/>
      <c r="M404" s="809"/>
      <c r="N404" s="809"/>
      <c r="O404" s="809"/>
      <c r="P404" s="809"/>
      <c r="Q404" s="809"/>
      <c r="R404" s="809"/>
      <c r="S404" s="809"/>
      <c r="T404" s="809"/>
      <c r="U404" s="809"/>
      <c r="V404" s="809"/>
      <c r="W404" s="809"/>
      <c r="X404" s="809"/>
      <c r="Y404" s="809"/>
      <c r="Z404" s="809"/>
      <c r="AA404" s="785"/>
      <c r="AB404" s="785"/>
      <c r="AC404" s="785"/>
    </row>
    <row r="405" spans="1:68" ht="27" customHeight="1" x14ac:dyDescent="0.25">
      <c r="A405" s="54" t="s">
        <v>649</v>
      </c>
      <c r="B405" s="54" t="s">
        <v>650</v>
      </c>
      <c r="C405" s="31">
        <v>4301031066</v>
      </c>
      <c r="D405" s="793">
        <v>4607091383836</v>
      </c>
      <c r="E405" s="794"/>
      <c r="F405" s="788">
        <v>0.3</v>
      </c>
      <c r="G405" s="32">
        <v>6</v>
      </c>
      <c r="H405" s="788">
        <v>1.8</v>
      </c>
      <c r="I405" s="788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9"/>
      <c r="R405" s="799"/>
      <c r="S405" s="799"/>
      <c r="T405" s="800"/>
      <c r="U405" s="34"/>
      <c r="V405" s="34"/>
      <c r="W405" s="35" t="s">
        <v>69</v>
      </c>
      <c r="X405" s="789">
        <v>36</v>
      </c>
      <c r="Y405" s="790">
        <f>IFERROR(IF(X405="",0,CEILING((X405/$H405),1)*$H405),"")</f>
        <v>36</v>
      </c>
      <c r="Z405" s="36">
        <f>IFERROR(IF(Y405=0,"",ROUNDUP(Y405/H405,0)*0.00651),"")</f>
        <v>0.13020000000000001</v>
      </c>
      <c r="AA405" s="56"/>
      <c r="AB405" s="57"/>
      <c r="AC405" s="481" t="s">
        <v>651</v>
      </c>
      <c r="AG405" s="64"/>
      <c r="AJ405" s="68"/>
      <c r="AK405" s="68">
        <v>0</v>
      </c>
      <c r="BB405" s="482" t="s">
        <v>1</v>
      </c>
      <c r="BM405" s="64">
        <f>IFERROR(X405*I405/H405,"0")</f>
        <v>40.559999999999995</v>
      </c>
      <c r="BN405" s="64">
        <f>IFERROR(Y405*I405/H405,"0")</f>
        <v>40.559999999999995</v>
      </c>
      <c r="BO405" s="64">
        <f>IFERROR(1/J405*(X405/H405),"0")</f>
        <v>0.1098901098901099</v>
      </c>
      <c r="BP405" s="64">
        <f>IFERROR(1/J405*(Y405/H405),"0")</f>
        <v>0.1098901098901099</v>
      </c>
    </row>
    <row r="406" spans="1:68" x14ac:dyDescent="0.2">
      <c r="A406" s="808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91">
        <f>IFERROR(X405/H405,"0")</f>
        <v>20</v>
      </c>
      <c r="Y406" s="791">
        <f>IFERROR(Y405/H405,"0")</f>
        <v>20</v>
      </c>
      <c r="Z406" s="791">
        <f>IFERROR(IF(Z405="",0,Z405),"0")</f>
        <v>0.13020000000000001</v>
      </c>
      <c r="AA406" s="792"/>
      <c r="AB406" s="792"/>
      <c r="AC406" s="792"/>
    </row>
    <row r="407" spans="1:68" x14ac:dyDescent="0.2">
      <c r="A407" s="809"/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10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91">
        <f>IFERROR(SUM(X405:X405),"0")</f>
        <v>36</v>
      </c>
      <c r="Y407" s="791">
        <f>IFERROR(SUM(Y405:Y405),"0")</f>
        <v>36</v>
      </c>
      <c r="Z407" s="37"/>
      <c r="AA407" s="792"/>
      <c r="AB407" s="792"/>
      <c r="AC407" s="792"/>
    </row>
    <row r="408" spans="1:68" ht="14.25" customHeight="1" x14ac:dyDescent="0.25">
      <c r="A408" s="811" t="s">
        <v>73</v>
      </c>
      <c r="B408" s="809"/>
      <c r="C408" s="809"/>
      <c r="D408" s="809"/>
      <c r="E408" s="809"/>
      <c r="F408" s="809"/>
      <c r="G408" s="809"/>
      <c r="H408" s="809"/>
      <c r="I408" s="809"/>
      <c r="J408" s="809"/>
      <c r="K408" s="809"/>
      <c r="L408" s="809"/>
      <c r="M408" s="809"/>
      <c r="N408" s="809"/>
      <c r="O408" s="809"/>
      <c r="P408" s="809"/>
      <c r="Q408" s="809"/>
      <c r="R408" s="809"/>
      <c r="S408" s="809"/>
      <c r="T408" s="809"/>
      <c r="U408" s="809"/>
      <c r="V408" s="809"/>
      <c r="W408" s="809"/>
      <c r="X408" s="809"/>
      <c r="Y408" s="809"/>
      <c r="Z408" s="809"/>
      <c r="AA408" s="785"/>
      <c r="AB408" s="785"/>
      <c r="AC408" s="785"/>
    </row>
    <row r="409" spans="1:68" ht="37.5" customHeight="1" x14ac:dyDescent="0.25">
      <c r="A409" s="54" t="s">
        <v>652</v>
      </c>
      <c r="B409" s="54" t="s">
        <v>653</v>
      </c>
      <c r="C409" s="31">
        <v>4301051142</v>
      </c>
      <c r="D409" s="793">
        <v>4607091387919</v>
      </c>
      <c r="E409" s="794"/>
      <c r="F409" s="788">
        <v>1.35</v>
      </c>
      <c r="G409" s="32">
        <v>6</v>
      </c>
      <c r="H409" s="788">
        <v>8.1</v>
      </c>
      <c r="I409" s="788">
        <v>8.6639999999999997</v>
      </c>
      <c r="J409" s="32">
        <v>56</v>
      </c>
      <c r="K409" s="32" t="s">
        <v>116</v>
      </c>
      <c r="L409" s="32"/>
      <c r="M409" s="33" t="s">
        <v>68</v>
      </c>
      <c r="N409" s="33"/>
      <c r="O409" s="32">
        <v>45</v>
      </c>
      <c r="P409" s="11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9"/>
      <c r="R409" s="799"/>
      <c r="S409" s="799"/>
      <c r="T409" s="800"/>
      <c r="U409" s="34"/>
      <c r="V409" s="34"/>
      <c r="W409" s="35" t="s">
        <v>69</v>
      </c>
      <c r="X409" s="789">
        <v>0</v>
      </c>
      <c r="Y409" s="790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655</v>
      </c>
      <c r="B410" s="54" t="s">
        <v>656</v>
      </c>
      <c r="C410" s="31">
        <v>4301051461</v>
      </c>
      <c r="D410" s="793">
        <v>4680115883604</v>
      </c>
      <c r="E410" s="794"/>
      <c r="F410" s="788">
        <v>0.35</v>
      </c>
      <c r="G410" s="32">
        <v>6</v>
      </c>
      <c r="H410" s="788">
        <v>2.1</v>
      </c>
      <c r="I410" s="788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9"/>
      <c r="R410" s="799"/>
      <c r="S410" s="799"/>
      <c r="T410" s="800"/>
      <c r="U410" s="34"/>
      <c r="V410" s="34"/>
      <c r="W410" s="35" t="s">
        <v>69</v>
      </c>
      <c r="X410" s="789">
        <v>979.99999999999989</v>
      </c>
      <c r="Y410" s="790">
        <f>IFERROR(IF(X410="",0,CEILING((X410/$H410),1)*$H410),"")</f>
        <v>980.7</v>
      </c>
      <c r="Z410" s="36">
        <f>IFERROR(IF(Y410=0,"",ROUNDUP(Y410/H410,0)*0.00651),"")</f>
        <v>3.0401700000000003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1097.5999999999997</v>
      </c>
      <c r="BN410" s="64">
        <f>IFERROR(Y410*I410/H410,"0")</f>
        <v>1098.384</v>
      </c>
      <c r="BO410" s="64">
        <f>IFERROR(1/J410*(X410/H410),"0")</f>
        <v>2.5641025641025639</v>
      </c>
      <c r="BP410" s="64">
        <f>IFERROR(1/J410*(Y410/H410),"0")</f>
        <v>2.5659340659340661</v>
      </c>
    </row>
    <row r="411" spans="1:68" ht="27" customHeight="1" x14ac:dyDescent="0.25">
      <c r="A411" s="54" t="s">
        <v>658</v>
      </c>
      <c r="B411" s="54" t="s">
        <v>659</v>
      </c>
      <c r="C411" s="31">
        <v>4301051485</v>
      </c>
      <c r="D411" s="793">
        <v>4680115883567</v>
      </c>
      <c r="E411" s="794"/>
      <c r="F411" s="788">
        <v>0.35</v>
      </c>
      <c r="G411" s="32">
        <v>6</v>
      </c>
      <c r="H411" s="788">
        <v>2.1</v>
      </c>
      <c r="I411" s="788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5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9"/>
      <c r="R411" s="799"/>
      <c r="S411" s="799"/>
      <c r="T411" s="800"/>
      <c r="U411" s="34"/>
      <c r="V411" s="34"/>
      <c r="W411" s="35" t="s">
        <v>69</v>
      </c>
      <c r="X411" s="789">
        <v>420</v>
      </c>
      <c r="Y411" s="790">
        <f>IFERROR(IF(X411="",0,CEILING((X411/$H411),1)*$H411),"")</f>
        <v>420</v>
      </c>
      <c r="Z411" s="36">
        <f>IFERROR(IF(Y411=0,"",ROUNDUP(Y411/H411,0)*0.00651),"")</f>
        <v>1.302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467.99999999999994</v>
      </c>
      <c r="BN411" s="64">
        <f>IFERROR(Y411*I411/H411,"0")</f>
        <v>467.99999999999994</v>
      </c>
      <c r="BO411" s="64">
        <f>IFERROR(1/J411*(X411/H411),"0")</f>
        <v>1.098901098901099</v>
      </c>
      <c r="BP411" s="64">
        <f>IFERROR(1/J411*(Y411/H411),"0")</f>
        <v>1.098901098901099</v>
      </c>
    </row>
    <row r="412" spans="1:68" x14ac:dyDescent="0.2">
      <c r="A412" s="808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91">
        <f>IFERROR(X409/H409,"0")+IFERROR(X410/H410,"0")+IFERROR(X411/H411,"0")</f>
        <v>666.66666666666652</v>
      </c>
      <c r="Y412" s="791">
        <f>IFERROR(Y409/H409,"0")+IFERROR(Y410/H410,"0")+IFERROR(Y411/H411,"0")</f>
        <v>667</v>
      </c>
      <c r="Z412" s="791">
        <f>IFERROR(IF(Z409="",0,Z409),"0")+IFERROR(IF(Z410="",0,Z410),"0")+IFERROR(IF(Z411="",0,Z411),"0")</f>
        <v>4.3421700000000003</v>
      </c>
      <c r="AA412" s="792"/>
      <c r="AB412" s="792"/>
      <c r="AC412" s="792"/>
    </row>
    <row r="413" spans="1:68" x14ac:dyDescent="0.2">
      <c r="A413" s="809"/>
      <c r="B413" s="809"/>
      <c r="C413" s="809"/>
      <c r="D413" s="809"/>
      <c r="E413" s="809"/>
      <c r="F413" s="809"/>
      <c r="G413" s="809"/>
      <c r="H413" s="809"/>
      <c r="I413" s="809"/>
      <c r="J413" s="809"/>
      <c r="K413" s="809"/>
      <c r="L413" s="809"/>
      <c r="M413" s="809"/>
      <c r="N413" s="809"/>
      <c r="O413" s="810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91">
        <f>IFERROR(SUM(X409:X411),"0")</f>
        <v>1400</v>
      </c>
      <c r="Y413" s="791">
        <f>IFERROR(SUM(Y409:Y411),"0")</f>
        <v>1400.7</v>
      </c>
      <c r="Z413" s="37"/>
      <c r="AA413" s="792"/>
      <c r="AB413" s="792"/>
      <c r="AC413" s="792"/>
    </row>
    <row r="414" spans="1:68" ht="27.75" customHeight="1" x14ac:dyDescent="0.2">
      <c r="A414" s="911" t="s">
        <v>661</v>
      </c>
      <c r="B414" s="912"/>
      <c r="C414" s="912"/>
      <c r="D414" s="912"/>
      <c r="E414" s="912"/>
      <c r="F414" s="912"/>
      <c r="G414" s="912"/>
      <c r="H414" s="912"/>
      <c r="I414" s="912"/>
      <c r="J414" s="912"/>
      <c r="K414" s="912"/>
      <c r="L414" s="912"/>
      <c r="M414" s="912"/>
      <c r="N414" s="912"/>
      <c r="O414" s="912"/>
      <c r="P414" s="912"/>
      <c r="Q414" s="912"/>
      <c r="R414" s="912"/>
      <c r="S414" s="912"/>
      <c r="T414" s="912"/>
      <c r="U414" s="912"/>
      <c r="V414" s="912"/>
      <c r="W414" s="912"/>
      <c r="X414" s="912"/>
      <c r="Y414" s="912"/>
      <c r="Z414" s="912"/>
      <c r="AA414" s="48"/>
      <c r="AB414" s="48"/>
      <c r="AC414" s="48"/>
    </row>
    <row r="415" spans="1:68" ht="16.5" customHeight="1" x14ac:dyDescent="0.25">
      <c r="A415" s="839" t="s">
        <v>662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84"/>
      <c r="AB415" s="784"/>
      <c r="AC415" s="784"/>
    </row>
    <row r="416" spans="1:68" ht="14.25" customHeight="1" x14ac:dyDescent="0.25">
      <c r="A416" s="811" t="s">
        <v>113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785"/>
      <c r="AB416" s="785"/>
      <c r="AC416" s="785"/>
    </row>
    <row r="417" spans="1:68" ht="27" customHeight="1" x14ac:dyDescent="0.25">
      <c r="A417" s="54" t="s">
        <v>663</v>
      </c>
      <c r="B417" s="54" t="s">
        <v>664</v>
      </c>
      <c r="C417" s="31">
        <v>4301011946</v>
      </c>
      <c r="D417" s="793">
        <v>4680115884847</v>
      </c>
      <c r="E417" s="794"/>
      <c r="F417" s="788">
        <v>2.5</v>
      </c>
      <c r="G417" s="32">
        <v>6</v>
      </c>
      <c r="H417" s="788">
        <v>15</v>
      </c>
      <c r="I417" s="788">
        <v>15.48</v>
      </c>
      <c r="J417" s="32">
        <v>48</v>
      </c>
      <c r="K417" s="32" t="s">
        <v>116</v>
      </c>
      <c r="L417" s="32"/>
      <c r="M417" s="33" t="s">
        <v>147</v>
      </c>
      <c r="N417" s="33"/>
      <c r="O417" s="32">
        <v>60</v>
      </c>
      <c r="P417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9"/>
      <c r="R417" s="799"/>
      <c r="S417" s="799"/>
      <c r="T417" s="800"/>
      <c r="U417" s="34"/>
      <c r="V417" s="34"/>
      <c r="W417" s="35" t="s">
        <v>69</v>
      </c>
      <c r="X417" s="789">
        <v>0</v>
      </c>
      <c r="Y417" s="790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665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663</v>
      </c>
      <c r="B418" s="54" t="s">
        <v>666</v>
      </c>
      <c r="C418" s="31">
        <v>4301011869</v>
      </c>
      <c r="D418" s="793">
        <v>4680115884847</v>
      </c>
      <c r="E418" s="794"/>
      <c r="F418" s="788">
        <v>2.5</v>
      </c>
      <c r="G418" s="32">
        <v>6</v>
      </c>
      <c r="H418" s="788">
        <v>15</v>
      </c>
      <c r="I418" s="788">
        <v>15.48</v>
      </c>
      <c r="J418" s="32">
        <v>48</v>
      </c>
      <c r="K418" s="32" t="s">
        <v>116</v>
      </c>
      <c r="L418" s="32" t="s">
        <v>127</v>
      </c>
      <c r="M418" s="33" t="s">
        <v>68</v>
      </c>
      <c r="N418" s="33"/>
      <c r="O418" s="32">
        <v>60</v>
      </c>
      <c r="P418" s="11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9"/>
      <c r="R418" s="799"/>
      <c r="S418" s="799"/>
      <c r="T418" s="800"/>
      <c r="U418" s="34"/>
      <c r="V418" s="34"/>
      <c r="W418" s="35" t="s">
        <v>69</v>
      </c>
      <c r="X418" s="789">
        <v>500</v>
      </c>
      <c r="Y418" s="790">
        <f t="shared" si="87"/>
        <v>510</v>
      </c>
      <c r="Z418" s="36">
        <f>IFERROR(IF(Y418=0,"",ROUNDUP(Y418/H418,0)*0.02175),"")</f>
        <v>0.73949999999999994</v>
      </c>
      <c r="AA418" s="56"/>
      <c r="AB418" s="57"/>
      <c r="AC418" s="491" t="s">
        <v>667</v>
      </c>
      <c r="AG418" s="64"/>
      <c r="AJ418" s="68" t="s">
        <v>128</v>
      </c>
      <c r="AK418" s="68">
        <v>720</v>
      </c>
      <c r="BB418" s="492" t="s">
        <v>1</v>
      </c>
      <c r="BM418" s="64">
        <f t="shared" si="88"/>
        <v>516</v>
      </c>
      <c r="BN418" s="64">
        <f t="shared" si="89"/>
        <v>526.32000000000005</v>
      </c>
      <c r="BO418" s="64">
        <f t="shared" si="90"/>
        <v>0.69444444444444442</v>
      </c>
      <c r="BP418" s="64">
        <f t="shared" si="91"/>
        <v>0.70833333333333326</v>
      </c>
    </row>
    <row r="419" spans="1:68" ht="27" customHeight="1" x14ac:dyDescent="0.25">
      <c r="A419" s="54" t="s">
        <v>668</v>
      </c>
      <c r="B419" s="54" t="s">
        <v>669</v>
      </c>
      <c r="C419" s="31">
        <v>4301011947</v>
      </c>
      <c r="D419" s="793">
        <v>4680115884854</v>
      </c>
      <c r="E419" s="794"/>
      <c r="F419" s="788">
        <v>2.5</v>
      </c>
      <c r="G419" s="32">
        <v>6</v>
      </c>
      <c r="H419" s="788">
        <v>15</v>
      </c>
      <c r="I419" s="788">
        <v>15.48</v>
      </c>
      <c r="J419" s="32">
        <v>48</v>
      </c>
      <c r="K419" s="32" t="s">
        <v>116</v>
      </c>
      <c r="L419" s="32"/>
      <c r="M419" s="33" t="s">
        <v>147</v>
      </c>
      <c r="N419" s="33"/>
      <c r="O419" s="32">
        <v>60</v>
      </c>
      <c r="P419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9"/>
      <c r="R419" s="799"/>
      <c r="S419" s="799"/>
      <c r="T419" s="800"/>
      <c r="U419" s="34"/>
      <c r="V419" s="34"/>
      <c r="W419" s="35" t="s">
        <v>69</v>
      </c>
      <c r="X419" s="789">
        <v>0</v>
      </c>
      <c r="Y419" s="790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665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668</v>
      </c>
      <c r="B420" s="54" t="s">
        <v>670</v>
      </c>
      <c r="C420" s="31">
        <v>4301011870</v>
      </c>
      <c r="D420" s="793">
        <v>4680115884854</v>
      </c>
      <c r="E420" s="794"/>
      <c r="F420" s="788">
        <v>2.5</v>
      </c>
      <c r="G420" s="32">
        <v>6</v>
      </c>
      <c r="H420" s="788">
        <v>15</v>
      </c>
      <c r="I420" s="788">
        <v>15.48</v>
      </c>
      <c r="J420" s="32">
        <v>48</v>
      </c>
      <c r="K420" s="32" t="s">
        <v>116</v>
      </c>
      <c r="L420" s="32" t="s">
        <v>127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9"/>
      <c r="R420" s="799"/>
      <c r="S420" s="799"/>
      <c r="T420" s="800"/>
      <c r="U420" s="34"/>
      <c r="V420" s="34"/>
      <c r="W420" s="35" t="s">
        <v>69</v>
      </c>
      <c r="X420" s="789">
        <v>800</v>
      </c>
      <c r="Y420" s="790">
        <f t="shared" si="87"/>
        <v>810</v>
      </c>
      <c r="Z420" s="36">
        <f>IFERROR(IF(Y420=0,"",ROUNDUP(Y420/H420,0)*0.02175),"")</f>
        <v>1.1744999999999999</v>
      </c>
      <c r="AA420" s="56"/>
      <c r="AB420" s="57"/>
      <c r="AC420" s="495" t="s">
        <v>671</v>
      </c>
      <c r="AG420" s="64"/>
      <c r="AJ420" s="68" t="s">
        <v>128</v>
      </c>
      <c r="AK420" s="68">
        <v>720</v>
      </c>
      <c r="BB420" s="496" t="s">
        <v>1</v>
      </c>
      <c r="BM420" s="64">
        <f t="shared" si="88"/>
        <v>825.6</v>
      </c>
      <c r="BN420" s="64">
        <f t="shared" si="89"/>
        <v>835.92000000000007</v>
      </c>
      <c r="BO420" s="64">
        <f t="shared" si="90"/>
        <v>1.1111111111111112</v>
      </c>
      <c r="BP420" s="64">
        <f t="shared" si="91"/>
        <v>1.125</v>
      </c>
    </row>
    <row r="421" spans="1:68" ht="27" customHeight="1" x14ac:dyDescent="0.25">
      <c r="A421" s="54" t="s">
        <v>672</v>
      </c>
      <c r="B421" s="54" t="s">
        <v>673</v>
      </c>
      <c r="C421" s="31">
        <v>4301011339</v>
      </c>
      <c r="D421" s="793">
        <v>4607091383997</v>
      </c>
      <c r="E421" s="794"/>
      <c r="F421" s="788">
        <v>2.5</v>
      </c>
      <c r="G421" s="32">
        <v>6</v>
      </c>
      <c r="H421" s="788">
        <v>15</v>
      </c>
      <c r="I421" s="788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9"/>
      <c r="R421" s="799"/>
      <c r="S421" s="799"/>
      <c r="T421" s="800"/>
      <c r="U421" s="34"/>
      <c r="V421" s="34"/>
      <c r="W421" s="35" t="s">
        <v>69</v>
      </c>
      <c r="X421" s="789">
        <v>200</v>
      </c>
      <c r="Y421" s="790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7" t="s">
        <v>674</v>
      </c>
      <c r="AG421" s="64"/>
      <c r="AJ421" s="68"/>
      <c r="AK421" s="68">
        <v>0</v>
      </c>
      <c r="BB421" s="498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customHeight="1" x14ac:dyDescent="0.25">
      <c r="A422" s="54" t="s">
        <v>675</v>
      </c>
      <c r="B422" s="54" t="s">
        <v>676</v>
      </c>
      <c r="C422" s="31">
        <v>4301011943</v>
      </c>
      <c r="D422" s="793">
        <v>4680115884830</v>
      </c>
      <c r="E422" s="794"/>
      <c r="F422" s="788">
        <v>2.5</v>
      </c>
      <c r="G422" s="32">
        <v>6</v>
      </c>
      <c r="H422" s="788">
        <v>15</v>
      </c>
      <c r="I422" s="78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9"/>
      <c r="R422" s="799"/>
      <c r="S422" s="799"/>
      <c r="T422" s="800"/>
      <c r="U422" s="34"/>
      <c r="V422" s="34"/>
      <c r="W422" s="35" t="s">
        <v>69</v>
      </c>
      <c r="X422" s="789">
        <v>0</v>
      </c>
      <c r="Y422" s="790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675</v>
      </c>
      <c r="B423" s="54" t="s">
        <v>677</v>
      </c>
      <c r="C423" s="31">
        <v>4301011867</v>
      </c>
      <c r="D423" s="793">
        <v>4680115884830</v>
      </c>
      <c r="E423" s="794"/>
      <c r="F423" s="788">
        <v>2.5</v>
      </c>
      <c r="G423" s="32">
        <v>6</v>
      </c>
      <c r="H423" s="788">
        <v>15</v>
      </c>
      <c r="I423" s="788">
        <v>15.48</v>
      </c>
      <c r="J423" s="32">
        <v>48</v>
      </c>
      <c r="K423" s="32" t="s">
        <v>116</v>
      </c>
      <c r="L423" s="32" t="s">
        <v>127</v>
      </c>
      <c r="M423" s="33" t="s">
        <v>68</v>
      </c>
      <c r="N423" s="33"/>
      <c r="O423" s="32">
        <v>60</v>
      </c>
      <c r="P423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9"/>
      <c r="R423" s="799"/>
      <c r="S423" s="799"/>
      <c r="T423" s="800"/>
      <c r="U423" s="34"/>
      <c r="V423" s="34"/>
      <c r="W423" s="35" t="s">
        <v>69</v>
      </c>
      <c r="X423" s="789">
        <v>1000</v>
      </c>
      <c r="Y423" s="790">
        <f t="shared" si="87"/>
        <v>1005</v>
      </c>
      <c r="Z423" s="36">
        <f>IFERROR(IF(Y423=0,"",ROUNDUP(Y423/H423,0)*0.02175),"")</f>
        <v>1.4572499999999999</v>
      </c>
      <c r="AA423" s="56"/>
      <c r="AB423" s="57"/>
      <c r="AC423" s="501" t="s">
        <v>678</v>
      </c>
      <c r="AG423" s="64"/>
      <c r="AJ423" s="68" t="s">
        <v>128</v>
      </c>
      <c r="AK423" s="68">
        <v>720</v>
      </c>
      <c r="BB423" s="502" t="s">
        <v>1</v>
      </c>
      <c r="BM423" s="64">
        <f t="shared" si="88"/>
        <v>1032</v>
      </c>
      <c r="BN423" s="64">
        <f t="shared" si="89"/>
        <v>1037.1600000000001</v>
      </c>
      <c r="BO423" s="64">
        <f t="shared" si="90"/>
        <v>1.3888888888888888</v>
      </c>
      <c r="BP423" s="64">
        <f t="shared" si="91"/>
        <v>1.3958333333333333</v>
      </c>
    </row>
    <row r="424" spans="1:68" ht="27" customHeight="1" x14ac:dyDescent="0.25">
      <c r="A424" s="54" t="s">
        <v>679</v>
      </c>
      <c r="B424" s="54" t="s">
        <v>680</v>
      </c>
      <c r="C424" s="31">
        <v>4301011433</v>
      </c>
      <c r="D424" s="793">
        <v>4680115882638</v>
      </c>
      <c r="E424" s="794"/>
      <c r="F424" s="788">
        <v>0.4</v>
      </c>
      <c r="G424" s="32">
        <v>10</v>
      </c>
      <c r="H424" s="788">
        <v>4</v>
      </c>
      <c r="I424" s="788">
        <v>4.21</v>
      </c>
      <c r="J424" s="32">
        <v>132</v>
      </c>
      <c r="K424" s="32" t="s">
        <v>126</v>
      </c>
      <c r="L424" s="32"/>
      <c r="M424" s="33" t="s">
        <v>117</v>
      </c>
      <c r="N424" s="33"/>
      <c r="O424" s="32">
        <v>90</v>
      </c>
      <c r="P424" s="9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9"/>
      <c r="R424" s="799"/>
      <c r="S424" s="799"/>
      <c r="T424" s="800"/>
      <c r="U424" s="34"/>
      <c r="V424" s="34"/>
      <c r="W424" s="35" t="s">
        <v>69</v>
      </c>
      <c r="X424" s="789">
        <v>0</v>
      </c>
      <c r="Y424" s="790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681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4301011952</v>
      </c>
      <c r="D425" s="793">
        <v>4680115884922</v>
      </c>
      <c r="E425" s="794"/>
      <c r="F425" s="788">
        <v>0.5</v>
      </c>
      <c r="G425" s="32">
        <v>10</v>
      </c>
      <c r="H425" s="788">
        <v>5</v>
      </c>
      <c r="I425" s="788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9"/>
      <c r="R425" s="799"/>
      <c r="S425" s="799"/>
      <c r="T425" s="800"/>
      <c r="U425" s="34"/>
      <c r="V425" s="34"/>
      <c r="W425" s="35" t="s">
        <v>69</v>
      </c>
      <c r="X425" s="789">
        <v>0</v>
      </c>
      <c r="Y425" s="790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671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3">
        <v>4680115884861</v>
      </c>
      <c r="E426" s="794"/>
      <c r="F426" s="788">
        <v>0.5</v>
      </c>
      <c r="G426" s="32">
        <v>10</v>
      </c>
      <c r="H426" s="788">
        <v>5</v>
      </c>
      <c r="I426" s="788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9"/>
      <c r="R426" s="799"/>
      <c r="S426" s="799"/>
      <c r="T426" s="800"/>
      <c r="U426" s="34"/>
      <c r="V426" s="34"/>
      <c r="W426" s="35" t="s">
        <v>69</v>
      </c>
      <c r="X426" s="789">
        <v>30</v>
      </c>
      <c r="Y426" s="790">
        <f t="shared" si="87"/>
        <v>30</v>
      </c>
      <c r="Z426" s="36">
        <f>IFERROR(IF(Y426=0,"",ROUNDUP(Y426/H426,0)*0.00902),"")</f>
        <v>5.4120000000000001E-2</v>
      </c>
      <c r="AA426" s="56"/>
      <c r="AB426" s="57"/>
      <c r="AC426" s="507" t="s">
        <v>678</v>
      </c>
      <c r="AG426" s="64"/>
      <c r="AJ426" s="68"/>
      <c r="AK426" s="68">
        <v>0</v>
      </c>
      <c r="BB426" s="508" t="s">
        <v>1</v>
      </c>
      <c r="BM426" s="64">
        <f t="shared" si="88"/>
        <v>31.26</v>
      </c>
      <c r="BN426" s="64">
        <f t="shared" si="89"/>
        <v>31.26</v>
      </c>
      <c r="BO426" s="64">
        <f t="shared" si="90"/>
        <v>4.5454545454545456E-2</v>
      </c>
      <c r="BP426" s="64">
        <f t="shared" si="91"/>
        <v>4.5454545454545456E-2</v>
      </c>
    </row>
    <row r="427" spans="1:68" ht="27" customHeight="1" x14ac:dyDescent="0.25">
      <c r="A427" s="54" t="s">
        <v>686</v>
      </c>
      <c r="B427" s="54" t="s">
        <v>687</v>
      </c>
      <c r="C427" s="31">
        <v>4301011866</v>
      </c>
      <c r="D427" s="793">
        <v>4680115884878</v>
      </c>
      <c r="E427" s="794"/>
      <c r="F427" s="788">
        <v>0.5</v>
      </c>
      <c r="G427" s="32">
        <v>10</v>
      </c>
      <c r="H427" s="788">
        <v>5</v>
      </c>
      <c r="I427" s="788">
        <v>5.21</v>
      </c>
      <c r="J427" s="32">
        <v>132</v>
      </c>
      <c r="K427" s="32" t="s">
        <v>126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9"/>
      <c r="R427" s="799"/>
      <c r="S427" s="799"/>
      <c r="T427" s="800"/>
      <c r="U427" s="34"/>
      <c r="V427" s="34"/>
      <c r="W427" s="35" t="s">
        <v>69</v>
      </c>
      <c r="X427" s="789">
        <v>0</v>
      </c>
      <c r="Y427" s="790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688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08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9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172.66666666666669</v>
      </c>
      <c r="Y428" s="79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175</v>
      </c>
      <c r="Z428" s="79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3.72987</v>
      </c>
      <c r="AA428" s="792"/>
      <c r="AB428" s="792"/>
      <c r="AC428" s="792"/>
    </row>
    <row r="429" spans="1:68" x14ac:dyDescent="0.2">
      <c r="A429" s="809"/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10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91">
        <f>IFERROR(SUM(X417:X427),"0")</f>
        <v>2530</v>
      </c>
      <c r="Y429" s="791">
        <f>IFERROR(SUM(Y417:Y427),"0")</f>
        <v>2565</v>
      </c>
      <c r="Z429" s="37"/>
      <c r="AA429" s="792"/>
      <c r="AB429" s="792"/>
      <c r="AC429" s="792"/>
    </row>
    <row r="430" spans="1:68" ht="14.25" customHeight="1" x14ac:dyDescent="0.25">
      <c r="A430" s="811" t="s">
        <v>166</v>
      </c>
      <c r="B430" s="809"/>
      <c r="C430" s="809"/>
      <c r="D430" s="809"/>
      <c r="E430" s="809"/>
      <c r="F430" s="809"/>
      <c r="G430" s="809"/>
      <c r="H430" s="809"/>
      <c r="I430" s="809"/>
      <c r="J430" s="809"/>
      <c r="K430" s="809"/>
      <c r="L430" s="809"/>
      <c r="M430" s="809"/>
      <c r="N430" s="809"/>
      <c r="O430" s="809"/>
      <c r="P430" s="809"/>
      <c r="Q430" s="809"/>
      <c r="R430" s="809"/>
      <c r="S430" s="809"/>
      <c r="T430" s="809"/>
      <c r="U430" s="809"/>
      <c r="V430" s="809"/>
      <c r="W430" s="809"/>
      <c r="X430" s="809"/>
      <c r="Y430" s="809"/>
      <c r="Z430" s="809"/>
      <c r="AA430" s="785"/>
      <c r="AB430" s="785"/>
      <c r="AC430" s="785"/>
    </row>
    <row r="431" spans="1:68" ht="27" customHeight="1" x14ac:dyDescent="0.25">
      <c r="A431" s="54" t="s">
        <v>689</v>
      </c>
      <c r="B431" s="54" t="s">
        <v>690</v>
      </c>
      <c r="C431" s="31">
        <v>4301020178</v>
      </c>
      <c r="D431" s="793">
        <v>4607091383980</v>
      </c>
      <c r="E431" s="794"/>
      <c r="F431" s="788">
        <v>2.5</v>
      </c>
      <c r="G431" s="32">
        <v>6</v>
      </c>
      <c r="H431" s="788">
        <v>15</v>
      </c>
      <c r="I431" s="788">
        <v>15.48</v>
      </c>
      <c r="J431" s="32">
        <v>48</v>
      </c>
      <c r="K431" s="32" t="s">
        <v>116</v>
      </c>
      <c r="L431" s="32" t="s">
        <v>127</v>
      </c>
      <c r="M431" s="33" t="s">
        <v>117</v>
      </c>
      <c r="N431" s="33"/>
      <c r="O431" s="32">
        <v>50</v>
      </c>
      <c r="P431" s="9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9"/>
      <c r="R431" s="799"/>
      <c r="S431" s="799"/>
      <c r="T431" s="800"/>
      <c r="U431" s="34"/>
      <c r="V431" s="34"/>
      <c r="W431" s="35" t="s">
        <v>69</v>
      </c>
      <c r="X431" s="789">
        <v>0</v>
      </c>
      <c r="Y431" s="790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691</v>
      </c>
      <c r="AG431" s="64"/>
      <c r="AJ431" s="68" t="s">
        <v>128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692</v>
      </c>
      <c r="B432" s="54" t="s">
        <v>693</v>
      </c>
      <c r="C432" s="31">
        <v>4301020179</v>
      </c>
      <c r="D432" s="793">
        <v>4607091384178</v>
      </c>
      <c r="E432" s="794"/>
      <c r="F432" s="788">
        <v>0.4</v>
      </c>
      <c r="G432" s="32">
        <v>10</v>
      </c>
      <c r="H432" s="788">
        <v>4</v>
      </c>
      <c r="I432" s="788">
        <v>4.21</v>
      </c>
      <c r="J432" s="32">
        <v>132</v>
      </c>
      <c r="K432" s="32" t="s">
        <v>126</v>
      </c>
      <c r="L432" s="32"/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9"/>
      <c r="R432" s="799"/>
      <c r="S432" s="799"/>
      <c r="T432" s="800"/>
      <c r="U432" s="34"/>
      <c r="V432" s="34"/>
      <c r="W432" s="35" t="s">
        <v>69</v>
      </c>
      <c r="X432" s="789">
        <v>0</v>
      </c>
      <c r="Y432" s="79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691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08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91">
        <f>IFERROR(X431/H431,"0")+IFERROR(X432/H432,"0")</f>
        <v>0</v>
      </c>
      <c r="Y433" s="791">
        <f>IFERROR(Y431/H431,"0")+IFERROR(Y432/H432,"0")</f>
        <v>0</v>
      </c>
      <c r="Z433" s="791">
        <f>IFERROR(IF(Z431="",0,Z431),"0")+IFERROR(IF(Z432="",0,Z432),"0")</f>
        <v>0</v>
      </c>
      <c r="AA433" s="792"/>
      <c r="AB433" s="792"/>
      <c r="AC433" s="792"/>
    </row>
    <row r="434" spans="1:68" x14ac:dyDescent="0.2">
      <c r="A434" s="809"/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10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91">
        <f>IFERROR(SUM(X431:X432),"0")</f>
        <v>0</v>
      </c>
      <c r="Y434" s="791">
        <f>IFERROR(SUM(Y431:Y432),"0")</f>
        <v>0</v>
      </c>
      <c r="Z434" s="37"/>
      <c r="AA434" s="792"/>
      <c r="AB434" s="792"/>
      <c r="AC434" s="792"/>
    </row>
    <row r="435" spans="1:68" ht="14.25" customHeight="1" x14ac:dyDescent="0.25">
      <c r="A435" s="811" t="s">
        <v>73</v>
      </c>
      <c r="B435" s="809"/>
      <c r="C435" s="809"/>
      <c r="D435" s="809"/>
      <c r="E435" s="809"/>
      <c r="F435" s="809"/>
      <c r="G435" s="809"/>
      <c r="H435" s="809"/>
      <c r="I435" s="809"/>
      <c r="J435" s="809"/>
      <c r="K435" s="809"/>
      <c r="L435" s="809"/>
      <c r="M435" s="809"/>
      <c r="N435" s="809"/>
      <c r="O435" s="809"/>
      <c r="P435" s="809"/>
      <c r="Q435" s="809"/>
      <c r="R435" s="809"/>
      <c r="S435" s="809"/>
      <c r="T435" s="809"/>
      <c r="U435" s="809"/>
      <c r="V435" s="809"/>
      <c r="W435" s="809"/>
      <c r="X435" s="809"/>
      <c r="Y435" s="809"/>
      <c r="Z435" s="809"/>
      <c r="AA435" s="785"/>
      <c r="AB435" s="785"/>
      <c r="AC435" s="785"/>
    </row>
    <row r="436" spans="1:68" ht="27" customHeight="1" x14ac:dyDescent="0.25">
      <c r="A436" s="54" t="s">
        <v>694</v>
      </c>
      <c r="B436" s="54" t="s">
        <v>695</v>
      </c>
      <c r="C436" s="31">
        <v>4301051903</v>
      </c>
      <c r="D436" s="793">
        <v>4607091383928</v>
      </c>
      <c r="E436" s="794"/>
      <c r="F436" s="788">
        <v>1.5</v>
      </c>
      <c r="G436" s="32">
        <v>6</v>
      </c>
      <c r="H436" s="788">
        <v>9</v>
      </c>
      <c r="I436" s="788">
        <v>9.57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7" t="s">
        <v>696</v>
      </c>
      <c r="Q436" s="799"/>
      <c r="R436" s="799"/>
      <c r="S436" s="799"/>
      <c r="T436" s="800"/>
      <c r="U436" s="34"/>
      <c r="V436" s="34"/>
      <c r="W436" s="35" t="s">
        <v>69</v>
      </c>
      <c r="X436" s="789">
        <v>0</v>
      </c>
      <c r="Y436" s="79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697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698</v>
      </c>
      <c r="B437" s="54" t="s">
        <v>699</v>
      </c>
      <c r="C437" s="31">
        <v>4301051897</v>
      </c>
      <c r="D437" s="793">
        <v>4607091384260</v>
      </c>
      <c r="E437" s="794"/>
      <c r="F437" s="788">
        <v>1.5</v>
      </c>
      <c r="G437" s="32">
        <v>6</v>
      </c>
      <c r="H437" s="788">
        <v>9</v>
      </c>
      <c r="I437" s="788">
        <v>9.5640000000000001</v>
      </c>
      <c r="J437" s="32">
        <v>56</v>
      </c>
      <c r="K437" s="32" t="s">
        <v>116</v>
      </c>
      <c r="L437" s="32"/>
      <c r="M437" s="33" t="s">
        <v>77</v>
      </c>
      <c r="N437" s="33"/>
      <c r="O437" s="32">
        <v>40</v>
      </c>
      <c r="P437" s="801" t="s">
        <v>700</v>
      </c>
      <c r="Q437" s="799"/>
      <c r="R437" s="799"/>
      <c r="S437" s="799"/>
      <c r="T437" s="800"/>
      <c r="U437" s="34"/>
      <c r="V437" s="34"/>
      <c r="W437" s="35" t="s">
        <v>69</v>
      </c>
      <c r="X437" s="789">
        <v>0</v>
      </c>
      <c r="Y437" s="790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701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8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91">
        <f>IFERROR(X436/H436,"0")+IFERROR(X437/H437,"0")</f>
        <v>0</v>
      </c>
      <c r="Y438" s="791">
        <f>IFERROR(Y436/H436,"0")+IFERROR(Y437/H437,"0")</f>
        <v>0</v>
      </c>
      <c r="Z438" s="791">
        <f>IFERROR(IF(Z436="",0,Z436),"0")+IFERROR(IF(Z437="",0,Z437),"0")</f>
        <v>0</v>
      </c>
      <c r="AA438" s="792"/>
      <c r="AB438" s="792"/>
      <c r="AC438" s="792"/>
    </row>
    <row r="439" spans="1:68" x14ac:dyDescent="0.2">
      <c r="A439" s="809"/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10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91">
        <f>IFERROR(SUM(X436:X437),"0")</f>
        <v>0</v>
      </c>
      <c r="Y439" s="791">
        <f>IFERROR(SUM(Y436:Y437),"0")</f>
        <v>0</v>
      </c>
      <c r="Z439" s="37"/>
      <c r="AA439" s="792"/>
      <c r="AB439" s="792"/>
      <c r="AC439" s="792"/>
    </row>
    <row r="440" spans="1:68" ht="14.25" customHeight="1" x14ac:dyDescent="0.25">
      <c r="A440" s="811" t="s">
        <v>208</v>
      </c>
      <c r="B440" s="809"/>
      <c r="C440" s="809"/>
      <c r="D440" s="809"/>
      <c r="E440" s="809"/>
      <c r="F440" s="809"/>
      <c r="G440" s="809"/>
      <c r="H440" s="809"/>
      <c r="I440" s="809"/>
      <c r="J440" s="809"/>
      <c r="K440" s="809"/>
      <c r="L440" s="809"/>
      <c r="M440" s="809"/>
      <c r="N440" s="809"/>
      <c r="O440" s="809"/>
      <c r="P440" s="809"/>
      <c r="Q440" s="809"/>
      <c r="R440" s="809"/>
      <c r="S440" s="809"/>
      <c r="T440" s="809"/>
      <c r="U440" s="809"/>
      <c r="V440" s="809"/>
      <c r="W440" s="809"/>
      <c r="X440" s="809"/>
      <c r="Y440" s="809"/>
      <c r="Z440" s="809"/>
      <c r="AA440" s="785"/>
      <c r="AB440" s="785"/>
      <c r="AC440" s="785"/>
    </row>
    <row r="441" spans="1:68" ht="27" customHeight="1" x14ac:dyDescent="0.25">
      <c r="A441" s="54" t="s">
        <v>702</v>
      </c>
      <c r="B441" s="54" t="s">
        <v>703</v>
      </c>
      <c r="C441" s="31">
        <v>4301060439</v>
      </c>
      <c r="D441" s="793">
        <v>4607091384673</v>
      </c>
      <c r="E441" s="794"/>
      <c r="F441" s="788">
        <v>1.5</v>
      </c>
      <c r="G441" s="32">
        <v>6</v>
      </c>
      <c r="H441" s="788">
        <v>9</v>
      </c>
      <c r="I441" s="788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30</v>
      </c>
      <c r="P441" s="1055" t="s">
        <v>704</v>
      </c>
      <c r="Q441" s="799"/>
      <c r="R441" s="799"/>
      <c r="S441" s="799"/>
      <c r="T441" s="800"/>
      <c r="U441" s="34"/>
      <c r="V441" s="34"/>
      <c r="W441" s="35" t="s">
        <v>69</v>
      </c>
      <c r="X441" s="789">
        <v>80</v>
      </c>
      <c r="Y441" s="790">
        <f>IFERROR(IF(X441="",0,CEILING((X441/$H441),1)*$H441),"")</f>
        <v>81</v>
      </c>
      <c r="Z441" s="36">
        <f>IFERROR(IF(Y441=0,"",ROUNDUP(Y441/H441,0)*0.02175),"")</f>
        <v>0.19574999999999998</v>
      </c>
      <c r="AA441" s="56"/>
      <c r="AB441" s="57"/>
      <c r="AC441" s="519" t="s">
        <v>705</v>
      </c>
      <c r="AG441" s="64"/>
      <c r="AJ441" s="68"/>
      <c r="AK441" s="68">
        <v>0</v>
      </c>
      <c r="BB441" s="520" t="s">
        <v>1</v>
      </c>
      <c r="BM441" s="64">
        <f>IFERROR(X441*I441/H441,"0")</f>
        <v>85.013333333333335</v>
      </c>
      <c r="BN441" s="64">
        <f>IFERROR(Y441*I441/H441,"0")</f>
        <v>86.075999999999993</v>
      </c>
      <c r="BO441" s="64">
        <f>IFERROR(1/J441*(X441/H441),"0")</f>
        <v>0.15873015873015872</v>
      </c>
      <c r="BP441" s="64">
        <f>IFERROR(1/J441*(Y441/H441),"0")</f>
        <v>0.1607142857142857</v>
      </c>
    </row>
    <row r="442" spans="1:68" x14ac:dyDescent="0.2">
      <c r="A442" s="808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91">
        <f>IFERROR(X441/H441,"0")</f>
        <v>8.8888888888888893</v>
      </c>
      <c r="Y442" s="791">
        <f>IFERROR(Y441/H441,"0")</f>
        <v>9</v>
      </c>
      <c r="Z442" s="791">
        <f>IFERROR(IF(Z441="",0,Z441),"0")</f>
        <v>0.19574999999999998</v>
      </c>
      <c r="AA442" s="792"/>
      <c r="AB442" s="792"/>
      <c r="AC442" s="792"/>
    </row>
    <row r="443" spans="1:68" x14ac:dyDescent="0.2">
      <c r="A443" s="809"/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10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91">
        <f>IFERROR(SUM(X441:X441),"0")</f>
        <v>80</v>
      </c>
      <c r="Y443" s="791">
        <f>IFERROR(SUM(Y441:Y441),"0")</f>
        <v>81</v>
      </c>
      <c r="Z443" s="37"/>
      <c r="AA443" s="792"/>
      <c r="AB443" s="792"/>
      <c r="AC443" s="792"/>
    </row>
    <row r="444" spans="1:68" ht="16.5" customHeight="1" x14ac:dyDescent="0.25">
      <c r="A444" s="839" t="s">
        <v>706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84"/>
      <c r="AB444" s="784"/>
      <c r="AC444" s="784"/>
    </row>
    <row r="445" spans="1:68" ht="14.25" customHeight="1" x14ac:dyDescent="0.25">
      <c r="A445" s="811" t="s">
        <v>113</v>
      </c>
      <c r="B445" s="809"/>
      <c r="C445" s="809"/>
      <c r="D445" s="809"/>
      <c r="E445" s="809"/>
      <c r="F445" s="809"/>
      <c r="G445" s="809"/>
      <c r="H445" s="809"/>
      <c r="I445" s="809"/>
      <c r="J445" s="809"/>
      <c r="K445" s="809"/>
      <c r="L445" s="809"/>
      <c r="M445" s="809"/>
      <c r="N445" s="809"/>
      <c r="O445" s="809"/>
      <c r="P445" s="809"/>
      <c r="Q445" s="809"/>
      <c r="R445" s="809"/>
      <c r="S445" s="809"/>
      <c r="T445" s="809"/>
      <c r="U445" s="809"/>
      <c r="V445" s="809"/>
      <c r="W445" s="809"/>
      <c r="X445" s="809"/>
      <c r="Y445" s="809"/>
      <c r="Z445" s="809"/>
      <c r="AA445" s="785"/>
      <c r="AB445" s="785"/>
      <c r="AC445" s="785"/>
    </row>
    <row r="446" spans="1:68" ht="27" customHeight="1" x14ac:dyDescent="0.25">
      <c r="A446" s="54" t="s">
        <v>707</v>
      </c>
      <c r="B446" s="54" t="s">
        <v>708</v>
      </c>
      <c r="C446" s="31">
        <v>4301011873</v>
      </c>
      <c r="D446" s="793">
        <v>4680115881907</v>
      </c>
      <c r="E446" s="794"/>
      <c r="F446" s="788">
        <v>1.8</v>
      </c>
      <c r="G446" s="32">
        <v>6</v>
      </c>
      <c r="H446" s="788">
        <v>10.8</v>
      </c>
      <c r="I446" s="788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9"/>
      <c r="R446" s="799"/>
      <c r="S446" s="799"/>
      <c r="T446" s="800"/>
      <c r="U446" s="34"/>
      <c r="V446" s="34"/>
      <c r="W446" s="35" t="s">
        <v>69</v>
      </c>
      <c r="X446" s="789">
        <v>0</v>
      </c>
      <c r="Y446" s="790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707</v>
      </c>
      <c r="B447" s="54" t="s">
        <v>710</v>
      </c>
      <c r="C447" s="31">
        <v>4301011483</v>
      </c>
      <c r="D447" s="793">
        <v>4680115881907</v>
      </c>
      <c r="E447" s="794"/>
      <c r="F447" s="788">
        <v>1.8</v>
      </c>
      <c r="G447" s="32">
        <v>6</v>
      </c>
      <c r="H447" s="788">
        <v>10.8</v>
      </c>
      <c r="I447" s="788">
        <v>11.28</v>
      </c>
      <c r="J447" s="32">
        <v>56</v>
      </c>
      <c r="K447" s="32" t="s">
        <v>116</v>
      </c>
      <c r="L447" s="32"/>
      <c r="M447" s="33" t="s">
        <v>68</v>
      </c>
      <c r="N447" s="33"/>
      <c r="O447" s="32">
        <v>60</v>
      </c>
      <c r="P447" s="12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9"/>
      <c r="R447" s="799"/>
      <c r="S447" s="799"/>
      <c r="T447" s="800"/>
      <c r="U447" s="34"/>
      <c r="V447" s="34"/>
      <c r="W447" s="35" t="s">
        <v>69</v>
      </c>
      <c r="X447" s="789">
        <v>0</v>
      </c>
      <c r="Y447" s="790">
        <f t="shared" si="92"/>
        <v>0</v>
      </c>
      <c r="Z447" s="36" t="str">
        <f t="shared" si="93"/>
        <v/>
      </c>
      <c r="AA447" s="56"/>
      <c r="AB447" s="57"/>
      <c r="AC447" s="523" t="s">
        <v>711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712</v>
      </c>
      <c r="B448" s="54" t="s">
        <v>713</v>
      </c>
      <c r="C448" s="31">
        <v>4301011872</v>
      </c>
      <c r="D448" s="793">
        <v>4680115883925</v>
      </c>
      <c r="E448" s="794"/>
      <c r="F448" s="788">
        <v>2.5</v>
      </c>
      <c r="G448" s="32">
        <v>6</v>
      </c>
      <c r="H448" s="788">
        <v>15</v>
      </c>
      <c r="I448" s="788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9"/>
      <c r="R448" s="799"/>
      <c r="S448" s="799"/>
      <c r="T448" s="800"/>
      <c r="U448" s="34"/>
      <c r="V448" s="34"/>
      <c r="W448" s="35" t="s">
        <v>69</v>
      </c>
      <c r="X448" s="789">
        <v>0</v>
      </c>
      <c r="Y448" s="790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712</v>
      </c>
      <c r="B449" s="54" t="s">
        <v>714</v>
      </c>
      <c r="C449" s="31">
        <v>4301011655</v>
      </c>
      <c r="D449" s="793">
        <v>4680115883925</v>
      </c>
      <c r="E449" s="794"/>
      <c r="F449" s="788">
        <v>2.5</v>
      </c>
      <c r="G449" s="32">
        <v>6</v>
      </c>
      <c r="H449" s="788">
        <v>15</v>
      </c>
      <c r="I449" s="788">
        <v>15.48</v>
      </c>
      <c r="J449" s="32">
        <v>48</v>
      </c>
      <c r="K449" s="32" t="s">
        <v>116</v>
      </c>
      <c r="L449" s="32"/>
      <c r="M449" s="33" t="s">
        <v>68</v>
      </c>
      <c r="N449" s="33"/>
      <c r="O449" s="32">
        <v>60</v>
      </c>
      <c r="P449" s="12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9"/>
      <c r="R449" s="799"/>
      <c r="S449" s="799"/>
      <c r="T449" s="800"/>
      <c r="U449" s="34"/>
      <c r="V449" s="34"/>
      <c r="W449" s="35" t="s">
        <v>69</v>
      </c>
      <c r="X449" s="789">
        <v>0</v>
      </c>
      <c r="Y449" s="790">
        <f t="shared" si="92"/>
        <v>0</v>
      </c>
      <c r="Z449" s="36" t="str">
        <f t="shared" si="93"/>
        <v/>
      </c>
      <c r="AA449" s="56"/>
      <c r="AB449" s="57"/>
      <c r="AC449" s="527" t="s">
        <v>711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3">
        <v>4607091384192</v>
      </c>
      <c r="E450" s="794"/>
      <c r="F450" s="788">
        <v>1.8</v>
      </c>
      <c r="G450" s="32">
        <v>6</v>
      </c>
      <c r="H450" s="788">
        <v>10.8</v>
      </c>
      <c r="I450" s="788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9"/>
      <c r="R450" s="799"/>
      <c r="S450" s="799"/>
      <c r="T450" s="800"/>
      <c r="U450" s="34"/>
      <c r="V450" s="34"/>
      <c r="W450" s="35" t="s">
        <v>69</v>
      </c>
      <c r="X450" s="789">
        <v>0</v>
      </c>
      <c r="Y450" s="790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718</v>
      </c>
      <c r="B451" s="54" t="s">
        <v>719</v>
      </c>
      <c r="C451" s="31">
        <v>4301011874</v>
      </c>
      <c r="D451" s="793">
        <v>4680115884892</v>
      </c>
      <c r="E451" s="794"/>
      <c r="F451" s="788">
        <v>1.8</v>
      </c>
      <c r="G451" s="32">
        <v>6</v>
      </c>
      <c r="H451" s="788">
        <v>10.8</v>
      </c>
      <c r="I451" s="788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9"/>
      <c r="R451" s="799"/>
      <c r="S451" s="799"/>
      <c r="T451" s="800"/>
      <c r="U451" s="34"/>
      <c r="V451" s="34"/>
      <c r="W451" s="35" t="s">
        <v>69</v>
      </c>
      <c r="X451" s="789">
        <v>0</v>
      </c>
      <c r="Y451" s="790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721</v>
      </c>
      <c r="B452" s="54" t="s">
        <v>722</v>
      </c>
      <c r="C452" s="31">
        <v>4301011875</v>
      </c>
      <c r="D452" s="793">
        <v>4680115884885</v>
      </c>
      <c r="E452" s="794"/>
      <c r="F452" s="788">
        <v>0.8</v>
      </c>
      <c r="G452" s="32">
        <v>15</v>
      </c>
      <c r="H452" s="788">
        <v>12</v>
      </c>
      <c r="I452" s="788">
        <v>12.48</v>
      </c>
      <c r="J452" s="32">
        <v>56</v>
      </c>
      <c r="K452" s="32" t="s">
        <v>116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9"/>
      <c r="R452" s="799"/>
      <c r="S452" s="799"/>
      <c r="T452" s="800"/>
      <c r="U452" s="34"/>
      <c r="V452" s="34"/>
      <c r="W452" s="35" t="s">
        <v>69</v>
      </c>
      <c r="X452" s="789">
        <v>0</v>
      </c>
      <c r="Y452" s="790">
        <f t="shared" si="92"/>
        <v>0</v>
      </c>
      <c r="Z452" s="36" t="str">
        <f t="shared" si="93"/>
        <v/>
      </c>
      <c r="AA452" s="56"/>
      <c r="AB452" s="57"/>
      <c r="AC452" s="533" t="s">
        <v>720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723</v>
      </c>
      <c r="B453" s="54" t="s">
        <v>724</v>
      </c>
      <c r="C453" s="31">
        <v>4301011871</v>
      </c>
      <c r="D453" s="793">
        <v>4680115884908</v>
      </c>
      <c r="E453" s="794"/>
      <c r="F453" s="788">
        <v>0.4</v>
      </c>
      <c r="G453" s="32">
        <v>10</v>
      </c>
      <c r="H453" s="788">
        <v>4</v>
      </c>
      <c r="I453" s="788">
        <v>4.21</v>
      </c>
      <c r="J453" s="32">
        <v>132</v>
      </c>
      <c r="K453" s="32" t="s">
        <v>126</v>
      </c>
      <c r="L453" s="32"/>
      <c r="M453" s="33" t="s">
        <v>68</v>
      </c>
      <c r="N453" s="33"/>
      <c r="O453" s="32">
        <v>60</v>
      </c>
      <c r="P453" s="8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9"/>
      <c r="R453" s="799"/>
      <c r="S453" s="799"/>
      <c r="T453" s="800"/>
      <c r="U453" s="34"/>
      <c r="V453" s="34"/>
      <c r="W453" s="35" t="s">
        <v>69</v>
      </c>
      <c r="X453" s="789">
        <v>0</v>
      </c>
      <c r="Y453" s="790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08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91">
        <f>IFERROR(X446/H446,"0")+IFERROR(X447/H447,"0")+IFERROR(X448/H448,"0")+IFERROR(X449/H449,"0")+IFERROR(X450/H450,"0")+IFERROR(X451/H451,"0")+IFERROR(X452/H452,"0")+IFERROR(X453/H453,"0")</f>
        <v>0</v>
      </c>
      <c r="Y454" s="791">
        <f>IFERROR(Y446/H446,"0")+IFERROR(Y447/H447,"0")+IFERROR(Y448/H448,"0")+IFERROR(Y449/H449,"0")+IFERROR(Y450/H450,"0")+IFERROR(Y451/H451,"0")+IFERROR(Y452/H452,"0")+IFERROR(Y453/H453,"0")</f>
        <v>0</v>
      </c>
      <c r="Z454" s="79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92"/>
      <c r="AB454" s="792"/>
      <c r="AC454" s="792"/>
    </row>
    <row r="455" spans="1:68" x14ac:dyDescent="0.2">
      <c r="A455" s="809"/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10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91">
        <f>IFERROR(SUM(X446:X453),"0")</f>
        <v>0</v>
      </c>
      <c r="Y455" s="791">
        <f>IFERROR(SUM(Y446:Y453),"0")</f>
        <v>0</v>
      </c>
      <c r="Z455" s="37"/>
      <c r="AA455" s="792"/>
      <c r="AB455" s="792"/>
      <c r="AC455" s="792"/>
    </row>
    <row r="456" spans="1:68" ht="14.25" customHeight="1" x14ac:dyDescent="0.25">
      <c r="A456" s="811" t="s">
        <v>64</v>
      </c>
      <c r="B456" s="809"/>
      <c r="C456" s="809"/>
      <c r="D456" s="809"/>
      <c r="E456" s="809"/>
      <c r="F456" s="809"/>
      <c r="G456" s="809"/>
      <c r="H456" s="809"/>
      <c r="I456" s="809"/>
      <c r="J456" s="809"/>
      <c r="K456" s="809"/>
      <c r="L456" s="809"/>
      <c r="M456" s="809"/>
      <c r="N456" s="809"/>
      <c r="O456" s="809"/>
      <c r="P456" s="809"/>
      <c r="Q456" s="809"/>
      <c r="R456" s="809"/>
      <c r="S456" s="809"/>
      <c r="T456" s="809"/>
      <c r="U456" s="809"/>
      <c r="V456" s="809"/>
      <c r="W456" s="809"/>
      <c r="X456" s="809"/>
      <c r="Y456" s="809"/>
      <c r="Z456" s="809"/>
      <c r="AA456" s="785"/>
      <c r="AB456" s="785"/>
      <c r="AC456" s="785"/>
    </row>
    <row r="457" spans="1:68" ht="27" customHeight="1" x14ac:dyDescent="0.25">
      <c r="A457" s="54" t="s">
        <v>725</v>
      </c>
      <c r="B457" s="54" t="s">
        <v>726</v>
      </c>
      <c r="C457" s="31">
        <v>4301031303</v>
      </c>
      <c r="D457" s="793">
        <v>4607091384802</v>
      </c>
      <c r="E457" s="794"/>
      <c r="F457" s="788">
        <v>0.73</v>
      </c>
      <c r="G457" s="32">
        <v>6</v>
      </c>
      <c r="H457" s="788">
        <v>4.38</v>
      </c>
      <c r="I457" s="788">
        <v>4.6500000000000004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35</v>
      </c>
      <c r="P45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9"/>
      <c r="R457" s="799"/>
      <c r="S457" s="799"/>
      <c r="T457" s="800"/>
      <c r="U457" s="34"/>
      <c r="V457" s="34"/>
      <c r="W457" s="35" t="s">
        <v>69</v>
      </c>
      <c r="X457" s="789">
        <v>0</v>
      </c>
      <c r="Y457" s="790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727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728</v>
      </c>
      <c r="B458" s="54" t="s">
        <v>729</v>
      </c>
      <c r="C458" s="31">
        <v>4301031304</v>
      </c>
      <c r="D458" s="793">
        <v>4607091384826</v>
      </c>
      <c r="E458" s="794"/>
      <c r="F458" s="788">
        <v>0.35</v>
      </c>
      <c r="G458" s="32">
        <v>8</v>
      </c>
      <c r="H458" s="788">
        <v>2.8</v>
      </c>
      <c r="I458" s="788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9"/>
      <c r="R458" s="799"/>
      <c r="S458" s="799"/>
      <c r="T458" s="800"/>
      <c r="U458" s="34"/>
      <c r="V458" s="34"/>
      <c r="W458" s="35" t="s">
        <v>69</v>
      </c>
      <c r="X458" s="789">
        <v>0</v>
      </c>
      <c r="Y458" s="790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727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08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91">
        <f>IFERROR(X457/H457,"0")+IFERROR(X458/H458,"0")</f>
        <v>0</v>
      </c>
      <c r="Y459" s="791">
        <f>IFERROR(Y457/H457,"0")+IFERROR(Y458/H458,"0")</f>
        <v>0</v>
      </c>
      <c r="Z459" s="791">
        <f>IFERROR(IF(Z457="",0,Z457),"0")+IFERROR(IF(Z458="",0,Z458),"0")</f>
        <v>0</v>
      </c>
      <c r="AA459" s="792"/>
      <c r="AB459" s="792"/>
      <c r="AC459" s="792"/>
    </row>
    <row r="460" spans="1:68" x14ac:dyDescent="0.2">
      <c r="A460" s="809"/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10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91">
        <f>IFERROR(SUM(X457:X458),"0")</f>
        <v>0</v>
      </c>
      <c r="Y460" s="791">
        <f>IFERROR(SUM(Y457:Y458),"0")</f>
        <v>0</v>
      </c>
      <c r="Z460" s="37"/>
      <c r="AA460" s="792"/>
      <c r="AB460" s="792"/>
      <c r="AC460" s="792"/>
    </row>
    <row r="461" spans="1:68" ht="14.25" customHeight="1" x14ac:dyDescent="0.25">
      <c r="A461" s="811" t="s">
        <v>73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785"/>
      <c r="AB461" s="785"/>
      <c r="AC461" s="785"/>
    </row>
    <row r="462" spans="1:68" ht="27" customHeight="1" x14ac:dyDescent="0.25">
      <c r="A462" s="54" t="s">
        <v>730</v>
      </c>
      <c r="B462" s="54" t="s">
        <v>731</v>
      </c>
      <c r="C462" s="31">
        <v>4301051899</v>
      </c>
      <c r="D462" s="793">
        <v>4607091384246</v>
      </c>
      <c r="E462" s="794"/>
      <c r="F462" s="788">
        <v>1.5</v>
      </c>
      <c r="G462" s="32">
        <v>6</v>
      </c>
      <c r="H462" s="788">
        <v>9</v>
      </c>
      <c r="I462" s="788">
        <v>9.5640000000000001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7" t="s">
        <v>732</v>
      </c>
      <c r="Q462" s="799"/>
      <c r="R462" s="799"/>
      <c r="S462" s="799"/>
      <c r="T462" s="800"/>
      <c r="U462" s="34"/>
      <c r="V462" s="34"/>
      <c r="W462" s="35" t="s">
        <v>69</v>
      </c>
      <c r="X462" s="789">
        <v>0</v>
      </c>
      <c r="Y462" s="790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733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734</v>
      </c>
      <c r="B463" s="54" t="s">
        <v>735</v>
      </c>
      <c r="C463" s="31">
        <v>4301051901</v>
      </c>
      <c r="D463" s="793">
        <v>4680115881976</v>
      </c>
      <c r="E463" s="794"/>
      <c r="F463" s="788">
        <v>1.5</v>
      </c>
      <c r="G463" s="32">
        <v>6</v>
      </c>
      <c r="H463" s="788">
        <v>9</v>
      </c>
      <c r="I463" s="788">
        <v>9.48</v>
      </c>
      <c r="J463" s="32">
        <v>56</v>
      </c>
      <c r="K463" s="32" t="s">
        <v>116</v>
      </c>
      <c r="L463" s="32"/>
      <c r="M463" s="33" t="s">
        <v>77</v>
      </c>
      <c r="N463" s="33"/>
      <c r="O463" s="32">
        <v>40</v>
      </c>
      <c r="P463" s="1152" t="s">
        <v>736</v>
      </c>
      <c r="Q463" s="799"/>
      <c r="R463" s="799"/>
      <c r="S463" s="799"/>
      <c r="T463" s="800"/>
      <c r="U463" s="34"/>
      <c r="V463" s="34"/>
      <c r="W463" s="35" t="s">
        <v>69</v>
      </c>
      <c r="X463" s="789">
        <v>0</v>
      </c>
      <c r="Y463" s="790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738</v>
      </c>
      <c r="B464" s="54" t="s">
        <v>739</v>
      </c>
      <c r="C464" s="31">
        <v>4301051297</v>
      </c>
      <c r="D464" s="793">
        <v>4607091384253</v>
      </c>
      <c r="E464" s="794"/>
      <c r="F464" s="788">
        <v>0.4</v>
      </c>
      <c r="G464" s="32">
        <v>6</v>
      </c>
      <c r="H464" s="788">
        <v>2.4</v>
      </c>
      <c r="I464" s="788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9"/>
      <c r="R464" s="799"/>
      <c r="S464" s="799"/>
      <c r="T464" s="800"/>
      <c r="U464" s="34"/>
      <c r="V464" s="34"/>
      <c r="W464" s="35" t="s">
        <v>69</v>
      </c>
      <c r="X464" s="789">
        <v>0</v>
      </c>
      <c r="Y464" s="79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738</v>
      </c>
      <c r="B465" s="54" t="s">
        <v>741</v>
      </c>
      <c r="C465" s="31">
        <v>4301051634</v>
      </c>
      <c r="D465" s="793">
        <v>4607091384253</v>
      </c>
      <c r="E465" s="794"/>
      <c r="F465" s="788">
        <v>0.4</v>
      </c>
      <c r="G465" s="32">
        <v>6</v>
      </c>
      <c r="H465" s="788">
        <v>2.4</v>
      </c>
      <c r="I465" s="78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9"/>
      <c r="R465" s="799"/>
      <c r="S465" s="799"/>
      <c r="T465" s="800"/>
      <c r="U465" s="34"/>
      <c r="V465" s="34"/>
      <c r="W465" s="35" t="s">
        <v>69</v>
      </c>
      <c r="X465" s="789">
        <v>0</v>
      </c>
      <c r="Y465" s="79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743</v>
      </c>
      <c r="B466" s="54" t="s">
        <v>744</v>
      </c>
      <c r="C466" s="31">
        <v>4301051444</v>
      </c>
      <c r="D466" s="793">
        <v>4680115881969</v>
      </c>
      <c r="E466" s="794"/>
      <c r="F466" s="788">
        <v>0.4</v>
      </c>
      <c r="G466" s="32">
        <v>6</v>
      </c>
      <c r="H466" s="788">
        <v>2.4</v>
      </c>
      <c r="I466" s="788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9"/>
      <c r="R466" s="799"/>
      <c r="S466" s="799"/>
      <c r="T466" s="800"/>
      <c r="U466" s="34"/>
      <c r="V466" s="34"/>
      <c r="W466" s="35" t="s">
        <v>69</v>
      </c>
      <c r="X466" s="789">
        <v>0</v>
      </c>
      <c r="Y466" s="79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745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08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91">
        <f>IFERROR(X462/H462,"0")+IFERROR(X463/H463,"0")+IFERROR(X464/H464,"0")+IFERROR(X465/H465,"0")+IFERROR(X466/H466,"0")</f>
        <v>0</v>
      </c>
      <c r="Y467" s="791">
        <f>IFERROR(Y462/H462,"0")+IFERROR(Y463/H463,"0")+IFERROR(Y464/H464,"0")+IFERROR(Y465/H465,"0")+IFERROR(Y466/H466,"0")</f>
        <v>0</v>
      </c>
      <c r="Z467" s="791">
        <f>IFERROR(IF(Z462="",0,Z462),"0")+IFERROR(IF(Z463="",0,Z463),"0")+IFERROR(IF(Z464="",0,Z464),"0")+IFERROR(IF(Z465="",0,Z465),"0")+IFERROR(IF(Z466="",0,Z466),"0")</f>
        <v>0</v>
      </c>
      <c r="AA467" s="792"/>
      <c r="AB467" s="792"/>
      <c r="AC467" s="792"/>
    </row>
    <row r="468" spans="1:68" x14ac:dyDescent="0.2">
      <c r="A468" s="809"/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10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91">
        <f>IFERROR(SUM(X462:X466),"0")</f>
        <v>0</v>
      </c>
      <c r="Y468" s="791">
        <f>IFERROR(SUM(Y462:Y466),"0")</f>
        <v>0</v>
      </c>
      <c r="Z468" s="37"/>
      <c r="AA468" s="792"/>
      <c r="AB468" s="792"/>
      <c r="AC468" s="792"/>
    </row>
    <row r="469" spans="1:68" ht="14.25" customHeight="1" x14ac:dyDescent="0.25">
      <c r="A469" s="811" t="s">
        <v>208</v>
      </c>
      <c r="B469" s="809"/>
      <c r="C469" s="809"/>
      <c r="D469" s="809"/>
      <c r="E469" s="809"/>
      <c r="F469" s="809"/>
      <c r="G469" s="809"/>
      <c r="H469" s="809"/>
      <c r="I469" s="809"/>
      <c r="J469" s="809"/>
      <c r="K469" s="809"/>
      <c r="L469" s="809"/>
      <c r="M469" s="809"/>
      <c r="N469" s="809"/>
      <c r="O469" s="809"/>
      <c r="P469" s="809"/>
      <c r="Q469" s="809"/>
      <c r="R469" s="809"/>
      <c r="S469" s="809"/>
      <c r="T469" s="809"/>
      <c r="U469" s="809"/>
      <c r="V469" s="809"/>
      <c r="W469" s="809"/>
      <c r="X469" s="809"/>
      <c r="Y469" s="809"/>
      <c r="Z469" s="809"/>
      <c r="AA469" s="785"/>
      <c r="AB469" s="785"/>
      <c r="AC469" s="785"/>
    </row>
    <row r="470" spans="1:68" ht="27" customHeight="1" x14ac:dyDescent="0.25">
      <c r="A470" s="54" t="s">
        <v>746</v>
      </c>
      <c r="B470" s="54" t="s">
        <v>747</v>
      </c>
      <c r="C470" s="31">
        <v>4301060441</v>
      </c>
      <c r="D470" s="793">
        <v>4607091389357</v>
      </c>
      <c r="E470" s="794"/>
      <c r="F470" s="788">
        <v>1.5</v>
      </c>
      <c r="G470" s="32">
        <v>6</v>
      </c>
      <c r="H470" s="788">
        <v>9</v>
      </c>
      <c r="I470" s="788">
        <v>9.48</v>
      </c>
      <c r="J470" s="32">
        <v>56</v>
      </c>
      <c r="K470" s="32" t="s">
        <v>116</v>
      </c>
      <c r="L470" s="32"/>
      <c r="M470" s="33" t="s">
        <v>77</v>
      </c>
      <c r="N470" s="33"/>
      <c r="O470" s="32">
        <v>40</v>
      </c>
      <c r="P470" s="1147" t="s">
        <v>748</v>
      </c>
      <c r="Q470" s="799"/>
      <c r="R470" s="799"/>
      <c r="S470" s="799"/>
      <c r="T470" s="800"/>
      <c r="U470" s="34"/>
      <c r="V470" s="34"/>
      <c r="W470" s="35" t="s">
        <v>69</v>
      </c>
      <c r="X470" s="789">
        <v>0</v>
      </c>
      <c r="Y470" s="790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749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08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91">
        <f>IFERROR(X470/H470,"0")</f>
        <v>0</v>
      </c>
      <c r="Y471" s="791">
        <f>IFERROR(Y470/H470,"0")</f>
        <v>0</v>
      </c>
      <c r="Z471" s="791">
        <f>IFERROR(IF(Z470="",0,Z470),"0")</f>
        <v>0</v>
      </c>
      <c r="AA471" s="792"/>
      <c r="AB471" s="792"/>
      <c r="AC471" s="792"/>
    </row>
    <row r="472" spans="1:68" x14ac:dyDescent="0.2">
      <c r="A472" s="809"/>
      <c r="B472" s="809"/>
      <c r="C472" s="809"/>
      <c r="D472" s="809"/>
      <c r="E472" s="809"/>
      <c r="F472" s="809"/>
      <c r="G472" s="809"/>
      <c r="H472" s="809"/>
      <c r="I472" s="809"/>
      <c r="J472" s="809"/>
      <c r="K472" s="809"/>
      <c r="L472" s="809"/>
      <c r="M472" s="809"/>
      <c r="N472" s="809"/>
      <c r="O472" s="810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91">
        <f>IFERROR(SUM(X470:X470),"0")</f>
        <v>0</v>
      </c>
      <c r="Y472" s="791">
        <f>IFERROR(SUM(Y470:Y470),"0")</f>
        <v>0</v>
      </c>
      <c r="Z472" s="37"/>
      <c r="AA472" s="792"/>
      <c r="AB472" s="792"/>
      <c r="AC472" s="792"/>
    </row>
    <row r="473" spans="1:68" ht="27.75" customHeight="1" x14ac:dyDescent="0.2">
      <c r="A473" s="911" t="s">
        <v>750</v>
      </c>
      <c r="B473" s="912"/>
      <c r="C473" s="912"/>
      <c r="D473" s="912"/>
      <c r="E473" s="912"/>
      <c r="F473" s="912"/>
      <c r="G473" s="912"/>
      <c r="H473" s="912"/>
      <c r="I473" s="912"/>
      <c r="J473" s="912"/>
      <c r="K473" s="912"/>
      <c r="L473" s="912"/>
      <c r="M473" s="912"/>
      <c r="N473" s="912"/>
      <c r="O473" s="912"/>
      <c r="P473" s="912"/>
      <c r="Q473" s="912"/>
      <c r="R473" s="912"/>
      <c r="S473" s="912"/>
      <c r="T473" s="912"/>
      <c r="U473" s="912"/>
      <c r="V473" s="912"/>
      <c r="W473" s="912"/>
      <c r="X473" s="912"/>
      <c r="Y473" s="912"/>
      <c r="Z473" s="912"/>
      <c r="AA473" s="48"/>
      <c r="AB473" s="48"/>
      <c r="AC473" s="48"/>
    </row>
    <row r="474" spans="1:68" ht="16.5" customHeight="1" x14ac:dyDescent="0.25">
      <c r="A474" s="839" t="s">
        <v>751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84"/>
      <c r="AB474" s="784"/>
      <c r="AC474" s="784"/>
    </row>
    <row r="475" spans="1:68" ht="14.25" customHeight="1" x14ac:dyDescent="0.25">
      <c r="A475" s="811" t="s">
        <v>113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785"/>
      <c r="AB475" s="785"/>
      <c r="AC475" s="785"/>
    </row>
    <row r="476" spans="1:68" ht="27" customHeight="1" x14ac:dyDescent="0.25">
      <c r="A476" s="54" t="s">
        <v>752</v>
      </c>
      <c r="B476" s="54" t="s">
        <v>753</v>
      </c>
      <c r="C476" s="31">
        <v>4301011428</v>
      </c>
      <c r="D476" s="793">
        <v>4607091389708</v>
      </c>
      <c r="E476" s="794"/>
      <c r="F476" s="788">
        <v>0.45</v>
      </c>
      <c r="G476" s="32">
        <v>6</v>
      </c>
      <c r="H476" s="788">
        <v>2.7</v>
      </c>
      <c r="I476" s="788">
        <v>2.88</v>
      </c>
      <c r="J476" s="32">
        <v>182</v>
      </c>
      <c r="K476" s="32" t="s">
        <v>76</v>
      </c>
      <c r="L476" s="32"/>
      <c r="M476" s="33" t="s">
        <v>117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9"/>
      <c r="R476" s="799"/>
      <c r="S476" s="799"/>
      <c r="T476" s="800"/>
      <c r="U476" s="34"/>
      <c r="V476" s="34"/>
      <c r="W476" s="35" t="s">
        <v>69</v>
      </c>
      <c r="X476" s="789">
        <v>0</v>
      </c>
      <c r="Y476" s="790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754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08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91">
        <f>IFERROR(X476/H476,"0")</f>
        <v>0</v>
      </c>
      <c r="Y477" s="791">
        <f>IFERROR(Y476/H476,"0")</f>
        <v>0</v>
      </c>
      <c r="Z477" s="791">
        <f>IFERROR(IF(Z476="",0,Z476),"0")</f>
        <v>0</v>
      </c>
      <c r="AA477" s="792"/>
      <c r="AB477" s="792"/>
      <c r="AC477" s="792"/>
    </row>
    <row r="478" spans="1:68" x14ac:dyDescent="0.2">
      <c r="A478" s="809"/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10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91">
        <f>IFERROR(SUM(X476:X476),"0")</f>
        <v>0</v>
      </c>
      <c r="Y478" s="791">
        <f>IFERROR(SUM(Y476:Y476),"0")</f>
        <v>0</v>
      </c>
      <c r="Z478" s="37"/>
      <c r="AA478" s="792"/>
      <c r="AB478" s="792"/>
      <c r="AC478" s="792"/>
    </row>
    <row r="479" spans="1:68" ht="14.25" customHeight="1" x14ac:dyDescent="0.25">
      <c r="A479" s="811" t="s">
        <v>64</v>
      </c>
      <c r="B479" s="809"/>
      <c r="C479" s="809"/>
      <c r="D479" s="809"/>
      <c r="E479" s="809"/>
      <c r="F479" s="809"/>
      <c r="G479" s="809"/>
      <c r="H479" s="809"/>
      <c r="I479" s="809"/>
      <c r="J479" s="809"/>
      <c r="K479" s="809"/>
      <c r="L479" s="809"/>
      <c r="M479" s="809"/>
      <c r="N479" s="809"/>
      <c r="O479" s="809"/>
      <c r="P479" s="809"/>
      <c r="Q479" s="809"/>
      <c r="R479" s="809"/>
      <c r="S479" s="809"/>
      <c r="T479" s="809"/>
      <c r="U479" s="809"/>
      <c r="V479" s="809"/>
      <c r="W479" s="809"/>
      <c r="X479" s="809"/>
      <c r="Y479" s="809"/>
      <c r="Z479" s="809"/>
      <c r="AA479" s="785"/>
      <c r="AB479" s="785"/>
      <c r="AC479" s="785"/>
    </row>
    <row r="480" spans="1:68" ht="27" customHeight="1" x14ac:dyDescent="0.25">
      <c r="A480" s="54" t="s">
        <v>755</v>
      </c>
      <c r="B480" s="54" t="s">
        <v>756</v>
      </c>
      <c r="C480" s="31">
        <v>4301031405</v>
      </c>
      <c r="D480" s="793">
        <v>4680115886100</v>
      </c>
      <c r="E480" s="794"/>
      <c r="F480" s="788">
        <v>0.9</v>
      </c>
      <c r="G480" s="32">
        <v>6</v>
      </c>
      <c r="H480" s="788">
        <v>5.4</v>
      </c>
      <c r="I480" s="788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3" t="s">
        <v>757</v>
      </c>
      <c r="Q480" s="799"/>
      <c r="R480" s="799"/>
      <c r="S480" s="799"/>
      <c r="T480" s="800"/>
      <c r="U480" s="34"/>
      <c r="V480" s="34"/>
      <c r="W480" s="35" t="s">
        <v>69</v>
      </c>
      <c r="X480" s="789">
        <v>0</v>
      </c>
      <c r="Y480" s="790">
        <f t="shared" ref="Y480:Y500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0" si="99">IFERROR(X480*I480/H480,"0")</f>
        <v>0</v>
      </c>
      <c r="BN480" s="64">
        <f t="shared" ref="BN480:BN500" si="100">IFERROR(Y480*I480/H480,"0")</f>
        <v>0</v>
      </c>
      <c r="BO480" s="64">
        <f t="shared" ref="BO480:BO500" si="101">IFERROR(1/J480*(X480/H480),"0")</f>
        <v>0</v>
      </c>
      <c r="BP480" s="64">
        <f t="shared" ref="BP480:BP500" si="102">IFERROR(1/J480*(Y480/H480),"0")</f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4301031406</v>
      </c>
      <c r="D481" s="793">
        <v>4680115886117</v>
      </c>
      <c r="E481" s="794"/>
      <c r="F481" s="788">
        <v>0.9</v>
      </c>
      <c r="G481" s="32">
        <v>6</v>
      </c>
      <c r="H481" s="788">
        <v>5.4</v>
      </c>
      <c r="I481" s="788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3" t="s">
        <v>761</v>
      </c>
      <c r="Q481" s="799"/>
      <c r="R481" s="799"/>
      <c r="S481" s="799"/>
      <c r="T481" s="800"/>
      <c r="U481" s="34"/>
      <c r="V481" s="34"/>
      <c r="W481" s="35" t="s">
        <v>69</v>
      </c>
      <c r="X481" s="789">
        <v>0</v>
      </c>
      <c r="Y481" s="790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762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759</v>
      </c>
      <c r="B482" s="54" t="s">
        <v>763</v>
      </c>
      <c r="C482" s="31">
        <v>4301031382</v>
      </c>
      <c r="D482" s="793">
        <v>4680115886117</v>
      </c>
      <c r="E482" s="794"/>
      <c r="F482" s="788">
        <v>0.9</v>
      </c>
      <c r="G482" s="32">
        <v>6</v>
      </c>
      <c r="H482" s="788">
        <v>5.4</v>
      </c>
      <c r="I482" s="788">
        <v>5.61</v>
      </c>
      <c r="J482" s="32">
        <v>120</v>
      </c>
      <c r="K482" s="32" t="s">
        <v>126</v>
      </c>
      <c r="L482" s="32"/>
      <c r="M482" s="33" t="s">
        <v>68</v>
      </c>
      <c r="N482" s="33"/>
      <c r="O482" s="32">
        <v>50</v>
      </c>
      <c r="P482" s="894" t="s">
        <v>761</v>
      </c>
      <c r="Q482" s="799"/>
      <c r="R482" s="799"/>
      <c r="S482" s="799"/>
      <c r="T482" s="800"/>
      <c r="U482" s="34"/>
      <c r="V482" s="34"/>
      <c r="W482" s="35" t="s">
        <v>69</v>
      </c>
      <c r="X482" s="789">
        <v>0</v>
      </c>
      <c r="Y482" s="790">
        <f t="shared" si="98"/>
        <v>0</v>
      </c>
      <c r="Z482" s="36" t="str">
        <f>IFERROR(IF(Y482=0,"",ROUNDUP(Y482/H482,0)*0.00937),"")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764</v>
      </c>
      <c r="B483" s="54" t="s">
        <v>765</v>
      </c>
      <c r="C483" s="31">
        <v>4301031325</v>
      </c>
      <c r="D483" s="793">
        <v>4607091389746</v>
      </c>
      <c r="E483" s="794"/>
      <c r="F483" s="788">
        <v>0.7</v>
      </c>
      <c r="G483" s="32">
        <v>6</v>
      </c>
      <c r="H483" s="788">
        <v>4.2</v>
      </c>
      <c r="I483" s="788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9"/>
      <c r="R483" s="799"/>
      <c r="S483" s="799"/>
      <c r="T483" s="800"/>
      <c r="U483" s="34"/>
      <c r="V483" s="34"/>
      <c r="W483" s="35" t="s">
        <v>69</v>
      </c>
      <c r="X483" s="789">
        <v>40</v>
      </c>
      <c r="Y483" s="790">
        <f t="shared" si="98"/>
        <v>42</v>
      </c>
      <c r="Z483" s="36">
        <f>IFERROR(IF(Y483=0,"",ROUNDUP(Y483/H483,0)*0.00902),"")</f>
        <v>9.0200000000000002E-2</v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9"/>
        <v>42.285714285714292</v>
      </c>
      <c r="BN483" s="64">
        <f t="shared" si="100"/>
        <v>44.400000000000006</v>
      </c>
      <c r="BO483" s="64">
        <f t="shared" si="101"/>
        <v>7.2150072150072145E-2</v>
      </c>
      <c r="BP483" s="64">
        <f t="shared" si="102"/>
        <v>7.575757575757576E-2</v>
      </c>
    </row>
    <row r="484" spans="1:68" ht="27" customHeight="1" x14ac:dyDescent="0.25">
      <c r="A484" s="54" t="s">
        <v>764</v>
      </c>
      <c r="B484" s="54" t="s">
        <v>767</v>
      </c>
      <c r="C484" s="31">
        <v>4301031356</v>
      </c>
      <c r="D484" s="793">
        <v>4607091389746</v>
      </c>
      <c r="E484" s="794"/>
      <c r="F484" s="788">
        <v>0.7</v>
      </c>
      <c r="G484" s="32">
        <v>6</v>
      </c>
      <c r="H484" s="788">
        <v>4.2</v>
      </c>
      <c r="I484" s="788">
        <v>4.4400000000000004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99"/>
      <c r="R484" s="799"/>
      <c r="S484" s="799"/>
      <c r="T484" s="800"/>
      <c r="U484" s="34"/>
      <c r="V484" s="34"/>
      <c r="W484" s="35" t="s">
        <v>69</v>
      </c>
      <c r="X484" s="789">
        <v>0</v>
      </c>
      <c r="Y484" s="790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768</v>
      </c>
      <c r="B485" s="54" t="s">
        <v>769</v>
      </c>
      <c r="C485" s="31">
        <v>4301031335</v>
      </c>
      <c r="D485" s="793">
        <v>4680115883147</v>
      </c>
      <c r="E485" s="794"/>
      <c r="F485" s="788">
        <v>0.28000000000000003</v>
      </c>
      <c r="G485" s="32">
        <v>6</v>
      </c>
      <c r="H485" s="788">
        <v>1.68</v>
      </c>
      <c r="I485" s="78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799"/>
      <c r="R485" s="799"/>
      <c r="S485" s="799"/>
      <c r="T485" s="800"/>
      <c r="U485" s="34"/>
      <c r="V485" s="34"/>
      <c r="W485" s="35" t="s">
        <v>69</v>
      </c>
      <c r="X485" s="789">
        <v>0</v>
      </c>
      <c r="Y485" s="790">
        <f t="shared" si="98"/>
        <v>0</v>
      </c>
      <c r="Z485" s="36" t="str">
        <f t="shared" ref="Z485:Z500" si="103">IFERROR(IF(Y485=0,"",ROUNDUP(Y485/H485,0)*0.00502),"")</f>
        <v/>
      </c>
      <c r="AA485" s="56"/>
      <c r="AB485" s="57"/>
      <c r="AC485" s="565" t="s">
        <v>758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770</v>
      </c>
      <c r="C486" s="31">
        <v>4301031366</v>
      </c>
      <c r="D486" s="793">
        <v>4680115883147</v>
      </c>
      <c r="E486" s="794"/>
      <c r="F486" s="788">
        <v>0.28000000000000003</v>
      </c>
      <c r="G486" s="32">
        <v>6</v>
      </c>
      <c r="H486" s="788">
        <v>1.68</v>
      </c>
      <c r="I486" s="78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0" t="s">
        <v>771</v>
      </c>
      <c r="Q486" s="799"/>
      <c r="R486" s="799"/>
      <c r="S486" s="799"/>
      <c r="T486" s="800"/>
      <c r="U486" s="34"/>
      <c r="V486" s="34"/>
      <c r="W486" s="35" t="s">
        <v>69</v>
      </c>
      <c r="X486" s="789">
        <v>0</v>
      </c>
      <c r="Y486" s="790">
        <f t="shared" si="98"/>
        <v>0</v>
      </c>
      <c r="Z486" s="36" t="str">
        <f t="shared" si="103"/>
        <v/>
      </c>
      <c r="AA486" s="56"/>
      <c r="AB486" s="57"/>
      <c r="AC486" s="567" t="s">
        <v>758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772</v>
      </c>
      <c r="B487" s="54" t="s">
        <v>773</v>
      </c>
      <c r="C487" s="31">
        <v>4301031330</v>
      </c>
      <c r="D487" s="793">
        <v>4607091384338</v>
      </c>
      <c r="E487" s="794"/>
      <c r="F487" s="788">
        <v>0.35</v>
      </c>
      <c r="G487" s="32">
        <v>6</v>
      </c>
      <c r="H487" s="788">
        <v>2.1</v>
      </c>
      <c r="I487" s="78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799"/>
      <c r="R487" s="799"/>
      <c r="S487" s="799"/>
      <c r="T487" s="800"/>
      <c r="U487" s="34"/>
      <c r="V487" s="34"/>
      <c r="W487" s="35" t="s">
        <v>69</v>
      </c>
      <c r="X487" s="789">
        <v>35</v>
      </c>
      <c r="Y487" s="790">
        <f t="shared" si="98"/>
        <v>35.700000000000003</v>
      </c>
      <c r="Z487" s="36">
        <f t="shared" si="103"/>
        <v>8.5339999999999999E-2</v>
      </c>
      <c r="AA487" s="56"/>
      <c r="AB487" s="57"/>
      <c r="AC487" s="569" t="s">
        <v>758</v>
      </c>
      <c r="AG487" s="64"/>
      <c r="AJ487" s="68"/>
      <c r="AK487" s="68">
        <v>0</v>
      </c>
      <c r="BB487" s="570" t="s">
        <v>1</v>
      </c>
      <c r="BM487" s="64">
        <f t="shared" si="99"/>
        <v>37.166666666666664</v>
      </c>
      <c r="BN487" s="64">
        <f t="shared" si="100"/>
        <v>37.910000000000004</v>
      </c>
      <c r="BO487" s="64">
        <f t="shared" si="101"/>
        <v>7.1225071225071226E-2</v>
      </c>
      <c r="BP487" s="64">
        <f t="shared" si="102"/>
        <v>7.2649572649572655E-2</v>
      </c>
    </row>
    <row r="488" spans="1:68" ht="27" customHeight="1" x14ac:dyDescent="0.25">
      <c r="A488" s="54" t="s">
        <v>772</v>
      </c>
      <c r="B488" s="54" t="s">
        <v>774</v>
      </c>
      <c r="C488" s="31">
        <v>4301031362</v>
      </c>
      <c r="D488" s="793">
        <v>4607091384338</v>
      </c>
      <c r="E488" s="794"/>
      <c r="F488" s="788">
        <v>0.35</v>
      </c>
      <c r="G488" s="32">
        <v>6</v>
      </c>
      <c r="H488" s="788">
        <v>2.1</v>
      </c>
      <c r="I488" s="78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99"/>
      <c r="R488" s="799"/>
      <c r="S488" s="799"/>
      <c r="T488" s="800"/>
      <c r="U488" s="34"/>
      <c r="V488" s="34"/>
      <c r="W488" s="35" t="s">
        <v>69</v>
      </c>
      <c r="X488" s="789">
        <v>0</v>
      </c>
      <c r="Y488" s="790">
        <f t="shared" si="98"/>
        <v>0</v>
      </c>
      <c r="Z488" s="36" t="str">
        <f t="shared" si="103"/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775</v>
      </c>
      <c r="B489" s="54" t="s">
        <v>776</v>
      </c>
      <c r="C489" s="31">
        <v>4301031336</v>
      </c>
      <c r="D489" s="793">
        <v>4680115883154</v>
      </c>
      <c r="E489" s="794"/>
      <c r="F489" s="788">
        <v>0.28000000000000003</v>
      </c>
      <c r="G489" s="32">
        <v>6</v>
      </c>
      <c r="H489" s="788">
        <v>1.68</v>
      </c>
      <c r="I489" s="78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99"/>
      <c r="R489" s="799"/>
      <c r="S489" s="799"/>
      <c r="T489" s="800"/>
      <c r="U489" s="34"/>
      <c r="V489" s="34"/>
      <c r="W489" s="35" t="s">
        <v>69</v>
      </c>
      <c r="X489" s="789">
        <v>0</v>
      </c>
      <c r="Y489" s="790">
        <f t="shared" si="98"/>
        <v>0</v>
      </c>
      <c r="Z489" s="36" t="str">
        <f t="shared" si="103"/>
        <v/>
      </c>
      <c r="AA489" s="56"/>
      <c r="AB489" s="57"/>
      <c r="AC489" s="573" t="s">
        <v>777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775</v>
      </c>
      <c r="B490" s="54" t="s">
        <v>778</v>
      </c>
      <c r="C490" s="31">
        <v>4301031374</v>
      </c>
      <c r="D490" s="793">
        <v>4680115883154</v>
      </c>
      <c r="E490" s="794"/>
      <c r="F490" s="788">
        <v>0.28000000000000003</v>
      </c>
      <c r="G490" s="32">
        <v>6</v>
      </c>
      <c r="H490" s="788">
        <v>1.68</v>
      </c>
      <c r="I490" s="78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1" t="s">
        <v>779</v>
      </c>
      <c r="Q490" s="799"/>
      <c r="R490" s="799"/>
      <c r="S490" s="799"/>
      <c r="T490" s="800"/>
      <c r="U490" s="34"/>
      <c r="V490" s="34"/>
      <c r="W490" s="35" t="s">
        <v>69</v>
      </c>
      <c r="X490" s="789">
        <v>0</v>
      </c>
      <c r="Y490" s="790">
        <f t="shared" si="98"/>
        <v>0</v>
      </c>
      <c r="Z490" s="36" t="str">
        <f t="shared" si="103"/>
        <v/>
      </c>
      <c r="AA490" s="56"/>
      <c r="AB490" s="57"/>
      <c r="AC490" s="575" t="s">
        <v>777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780</v>
      </c>
      <c r="B491" s="54" t="s">
        <v>781</v>
      </c>
      <c r="C491" s="31">
        <v>4301031331</v>
      </c>
      <c r="D491" s="793">
        <v>4607091389524</v>
      </c>
      <c r="E491" s="794"/>
      <c r="F491" s="788">
        <v>0.35</v>
      </c>
      <c r="G491" s="32">
        <v>6</v>
      </c>
      <c r="H491" s="788">
        <v>2.1</v>
      </c>
      <c r="I491" s="78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9"/>
      <c r="R491" s="799"/>
      <c r="S491" s="799"/>
      <c r="T491" s="800"/>
      <c r="U491" s="34"/>
      <c r="V491" s="34"/>
      <c r="W491" s="35" t="s">
        <v>69</v>
      </c>
      <c r="X491" s="789">
        <v>52.5</v>
      </c>
      <c r="Y491" s="790">
        <f t="shared" si="98"/>
        <v>52.5</v>
      </c>
      <c r="Z491" s="36">
        <f t="shared" si="103"/>
        <v>0.1255</v>
      </c>
      <c r="AA491" s="56"/>
      <c r="AB491" s="57"/>
      <c r="AC491" s="577" t="s">
        <v>777</v>
      </c>
      <c r="AG491" s="64"/>
      <c r="AJ491" s="68"/>
      <c r="AK491" s="68">
        <v>0</v>
      </c>
      <c r="BB491" s="578" t="s">
        <v>1</v>
      </c>
      <c r="BM491" s="64">
        <f t="shared" si="99"/>
        <v>55.75</v>
      </c>
      <c r="BN491" s="64">
        <f t="shared" si="100"/>
        <v>55.75</v>
      </c>
      <c r="BO491" s="64">
        <f t="shared" si="101"/>
        <v>0.10683760683760685</v>
      </c>
      <c r="BP491" s="64">
        <f t="shared" si="102"/>
        <v>0.10683760683760685</v>
      </c>
    </row>
    <row r="492" spans="1:68" ht="37.5" customHeight="1" x14ac:dyDescent="0.25">
      <c r="A492" s="54" t="s">
        <v>780</v>
      </c>
      <c r="B492" s="54" t="s">
        <v>782</v>
      </c>
      <c r="C492" s="31">
        <v>4301031361</v>
      </c>
      <c r="D492" s="793">
        <v>4607091389524</v>
      </c>
      <c r="E492" s="794"/>
      <c r="F492" s="788">
        <v>0.35</v>
      </c>
      <c r="G492" s="32">
        <v>6</v>
      </c>
      <c r="H492" s="788">
        <v>2.1</v>
      </c>
      <c r="I492" s="78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9"/>
      <c r="R492" s="799"/>
      <c r="S492" s="799"/>
      <c r="T492" s="800"/>
      <c r="U492" s="34"/>
      <c r="V492" s="34"/>
      <c r="W492" s="35" t="s">
        <v>69</v>
      </c>
      <c r="X492" s="789">
        <v>0</v>
      </c>
      <c r="Y492" s="790">
        <f t="shared" si="98"/>
        <v>0</v>
      </c>
      <c r="Z492" s="36" t="str">
        <f t="shared" si="103"/>
        <v/>
      </c>
      <c r="AA492" s="56"/>
      <c r="AB492" s="57"/>
      <c r="AC492" s="579" t="s">
        <v>777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783</v>
      </c>
      <c r="B493" s="54" t="s">
        <v>784</v>
      </c>
      <c r="C493" s="31">
        <v>4301031337</v>
      </c>
      <c r="D493" s="793">
        <v>4680115883161</v>
      </c>
      <c r="E493" s="794"/>
      <c r="F493" s="788">
        <v>0.28000000000000003</v>
      </c>
      <c r="G493" s="32">
        <v>6</v>
      </c>
      <c r="H493" s="788">
        <v>1.68</v>
      </c>
      <c r="I493" s="78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99"/>
      <c r="R493" s="799"/>
      <c r="S493" s="799"/>
      <c r="T493" s="800"/>
      <c r="U493" s="34"/>
      <c r="V493" s="34"/>
      <c r="W493" s="35" t="s">
        <v>69</v>
      </c>
      <c r="X493" s="789">
        <v>0</v>
      </c>
      <c r="Y493" s="790">
        <f t="shared" si="98"/>
        <v>0</v>
      </c>
      <c r="Z493" s="36" t="str">
        <f t="shared" si="103"/>
        <v/>
      </c>
      <c r="AA493" s="56"/>
      <c r="AB493" s="57"/>
      <c r="AC493" s="581" t="s">
        <v>785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783</v>
      </c>
      <c r="B494" s="54" t="s">
        <v>786</v>
      </c>
      <c r="C494" s="31">
        <v>4301031364</v>
      </c>
      <c r="D494" s="793">
        <v>4680115883161</v>
      </c>
      <c r="E494" s="794"/>
      <c r="F494" s="788">
        <v>0.28000000000000003</v>
      </c>
      <c r="G494" s="32">
        <v>6</v>
      </c>
      <c r="H494" s="788">
        <v>1.68</v>
      </c>
      <c r="I494" s="78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0" t="s">
        <v>787</v>
      </c>
      <c r="Q494" s="799"/>
      <c r="R494" s="799"/>
      <c r="S494" s="799"/>
      <c r="T494" s="800"/>
      <c r="U494" s="34"/>
      <c r="V494" s="34"/>
      <c r="W494" s="35" t="s">
        <v>69</v>
      </c>
      <c r="X494" s="789">
        <v>0</v>
      </c>
      <c r="Y494" s="790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788</v>
      </c>
      <c r="B495" s="54" t="s">
        <v>789</v>
      </c>
      <c r="C495" s="31">
        <v>4301031333</v>
      </c>
      <c r="D495" s="793">
        <v>4607091389531</v>
      </c>
      <c r="E495" s="794"/>
      <c r="F495" s="788">
        <v>0.35</v>
      </c>
      <c r="G495" s="32">
        <v>6</v>
      </c>
      <c r="H495" s="788">
        <v>2.1</v>
      </c>
      <c r="I495" s="78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9"/>
      <c r="R495" s="799"/>
      <c r="S495" s="799"/>
      <c r="T495" s="800"/>
      <c r="U495" s="34"/>
      <c r="V495" s="34"/>
      <c r="W495" s="35" t="s">
        <v>69</v>
      </c>
      <c r="X495" s="789">
        <v>0</v>
      </c>
      <c r="Y495" s="790">
        <f t="shared" si="98"/>
        <v>0</v>
      </c>
      <c r="Z495" s="36" t="str">
        <f t="shared" si="103"/>
        <v/>
      </c>
      <c r="AA495" s="56"/>
      <c r="AB495" s="57"/>
      <c r="AC495" s="585" t="s">
        <v>790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788</v>
      </c>
      <c r="B496" s="54" t="s">
        <v>791</v>
      </c>
      <c r="C496" s="31">
        <v>4301031358</v>
      </c>
      <c r="D496" s="793">
        <v>4607091389531</v>
      </c>
      <c r="E496" s="794"/>
      <c r="F496" s="788">
        <v>0.35</v>
      </c>
      <c r="G496" s="32">
        <v>6</v>
      </c>
      <c r="H496" s="788">
        <v>2.1</v>
      </c>
      <c r="I496" s="78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9"/>
      <c r="R496" s="799"/>
      <c r="S496" s="799"/>
      <c r="T496" s="800"/>
      <c r="U496" s="34"/>
      <c r="V496" s="34"/>
      <c r="W496" s="35" t="s">
        <v>69</v>
      </c>
      <c r="X496" s="789">
        <v>52.5</v>
      </c>
      <c r="Y496" s="790">
        <f t="shared" si="98"/>
        <v>52.5</v>
      </c>
      <c r="Z496" s="36">
        <f t="shared" si="103"/>
        <v>0.1255</v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55.75</v>
      </c>
      <c r="BN496" s="64">
        <f t="shared" si="100"/>
        <v>55.75</v>
      </c>
      <c r="BO496" s="64">
        <f t="shared" si="101"/>
        <v>0.10683760683760685</v>
      </c>
      <c r="BP496" s="64">
        <f t="shared" si="102"/>
        <v>0.10683760683760685</v>
      </c>
    </row>
    <row r="497" spans="1:68" ht="37.5" customHeight="1" x14ac:dyDescent="0.25">
      <c r="A497" s="54" t="s">
        <v>792</v>
      </c>
      <c r="B497" s="54" t="s">
        <v>793</v>
      </c>
      <c r="C497" s="31">
        <v>4301031360</v>
      </c>
      <c r="D497" s="793">
        <v>4607091384345</v>
      </c>
      <c r="E497" s="794"/>
      <c r="F497" s="788">
        <v>0.35</v>
      </c>
      <c r="G497" s="32">
        <v>6</v>
      </c>
      <c r="H497" s="788">
        <v>2.1</v>
      </c>
      <c r="I497" s="78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99"/>
      <c r="R497" s="799"/>
      <c r="S497" s="799"/>
      <c r="T497" s="800"/>
      <c r="U497" s="34"/>
      <c r="V497" s="34"/>
      <c r="W497" s="35" t="s">
        <v>69</v>
      </c>
      <c r="X497" s="789">
        <v>0</v>
      </c>
      <c r="Y497" s="790">
        <f t="shared" si="98"/>
        <v>0</v>
      </c>
      <c r="Z497" s="36" t="str">
        <f t="shared" si="103"/>
        <v/>
      </c>
      <c r="AA497" s="56"/>
      <c r="AB497" s="57"/>
      <c r="AC497" s="589" t="s">
        <v>785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4301031338</v>
      </c>
      <c r="D498" s="793">
        <v>4680115883185</v>
      </c>
      <c r="E498" s="794"/>
      <c r="F498" s="788">
        <v>0.28000000000000003</v>
      </c>
      <c r="G498" s="32">
        <v>6</v>
      </c>
      <c r="H498" s="788">
        <v>1.68</v>
      </c>
      <c r="I498" s="78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9"/>
      <c r="R498" s="799"/>
      <c r="S498" s="799"/>
      <c r="T498" s="800"/>
      <c r="U498" s="34"/>
      <c r="V498" s="34"/>
      <c r="W498" s="35" t="s">
        <v>69</v>
      </c>
      <c r="X498" s="789">
        <v>0</v>
      </c>
      <c r="Y498" s="790">
        <f t="shared" si="98"/>
        <v>0</v>
      </c>
      <c r="Z498" s="36" t="str">
        <f t="shared" si="103"/>
        <v/>
      </c>
      <c r="AA498" s="56"/>
      <c r="AB498" s="57"/>
      <c r="AC498" s="591" t="s">
        <v>762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796</v>
      </c>
      <c r="C499" s="31">
        <v>4301031368</v>
      </c>
      <c r="D499" s="793">
        <v>4680115883185</v>
      </c>
      <c r="E499" s="794"/>
      <c r="F499" s="788">
        <v>0.28000000000000003</v>
      </c>
      <c r="G499" s="32">
        <v>6</v>
      </c>
      <c r="H499" s="788">
        <v>1.68</v>
      </c>
      <c r="I499" s="78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12" t="s">
        <v>797</v>
      </c>
      <c r="Q499" s="799"/>
      <c r="R499" s="799"/>
      <c r="S499" s="799"/>
      <c r="T499" s="800"/>
      <c r="U499" s="34"/>
      <c r="V499" s="34"/>
      <c r="W499" s="35" t="s">
        <v>69</v>
      </c>
      <c r="X499" s="789">
        <v>0</v>
      </c>
      <c r="Y499" s="790">
        <f t="shared" si="98"/>
        <v>0</v>
      </c>
      <c r="Z499" s="36" t="str">
        <f t="shared" si="103"/>
        <v/>
      </c>
      <c r="AA499" s="56"/>
      <c r="AB499" s="57"/>
      <c r="AC499" s="593" t="s">
        <v>762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798</v>
      </c>
      <c r="C500" s="31">
        <v>4301031255</v>
      </c>
      <c r="D500" s="793">
        <v>4680115883185</v>
      </c>
      <c r="E500" s="794"/>
      <c r="F500" s="788">
        <v>0.28000000000000003</v>
      </c>
      <c r="G500" s="32">
        <v>6</v>
      </c>
      <c r="H500" s="788">
        <v>1.68</v>
      </c>
      <c r="I500" s="788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99"/>
      <c r="R500" s="799"/>
      <c r="S500" s="799"/>
      <c r="T500" s="800"/>
      <c r="U500" s="34"/>
      <c r="V500" s="34"/>
      <c r="W500" s="35" t="s">
        <v>69</v>
      </c>
      <c r="X500" s="789">
        <v>0</v>
      </c>
      <c r="Y500" s="790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808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795" t="s">
        <v>71</v>
      </c>
      <c r="Q501" s="796"/>
      <c r="R501" s="796"/>
      <c r="S501" s="796"/>
      <c r="T501" s="796"/>
      <c r="U501" s="796"/>
      <c r="V501" s="797"/>
      <c r="W501" s="37" t="s">
        <v>72</v>
      </c>
      <c r="X501" s="79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76.19047619047619</v>
      </c>
      <c r="Y501" s="79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77</v>
      </c>
      <c r="Z501" s="79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0.42653999999999997</v>
      </c>
      <c r="AA501" s="792"/>
      <c r="AB501" s="792"/>
      <c r="AC501" s="792"/>
    </row>
    <row r="502" spans="1:68" x14ac:dyDescent="0.2">
      <c r="A502" s="809"/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10"/>
      <c r="P502" s="795" t="s">
        <v>71</v>
      </c>
      <c r="Q502" s="796"/>
      <c r="R502" s="796"/>
      <c r="S502" s="796"/>
      <c r="T502" s="796"/>
      <c r="U502" s="796"/>
      <c r="V502" s="797"/>
      <c r="W502" s="37" t="s">
        <v>69</v>
      </c>
      <c r="X502" s="791">
        <f>IFERROR(SUM(X480:X500),"0")</f>
        <v>180</v>
      </c>
      <c r="Y502" s="791">
        <f>IFERROR(SUM(Y480:Y500),"0")</f>
        <v>182.7</v>
      </c>
      <c r="Z502" s="37"/>
      <c r="AA502" s="792"/>
      <c r="AB502" s="792"/>
      <c r="AC502" s="792"/>
    </row>
    <row r="503" spans="1:68" ht="14.25" customHeight="1" x14ac:dyDescent="0.25">
      <c r="A503" s="811" t="s">
        <v>73</v>
      </c>
      <c r="B503" s="809"/>
      <c r="C503" s="809"/>
      <c r="D503" s="809"/>
      <c r="E503" s="809"/>
      <c r="F503" s="809"/>
      <c r="G503" s="809"/>
      <c r="H503" s="809"/>
      <c r="I503" s="809"/>
      <c r="J503" s="809"/>
      <c r="K503" s="809"/>
      <c r="L503" s="809"/>
      <c r="M503" s="809"/>
      <c r="N503" s="809"/>
      <c r="O503" s="809"/>
      <c r="P503" s="809"/>
      <c r="Q503" s="809"/>
      <c r="R503" s="809"/>
      <c r="S503" s="809"/>
      <c r="T503" s="809"/>
      <c r="U503" s="809"/>
      <c r="V503" s="809"/>
      <c r="W503" s="809"/>
      <c r="X503" s="809"/>
      <c r="Y503" s="809"/>
      <c r="Z503" s="809"/>
      <c r="AA503" s="785"/>
      <c r="AB503" s="785"/>
      <c r="AC503" s="785"/>
    </row>
    <row r="504" spans="1:68" ht="27" customHeight="1" x14ac:dyDescent="0.25">
      <c r="A504" s="54" t="s">
        <v>800</v>
      </c>
      <c r="B504" s="54" t="s">
        <v>801</v>
      </c>
      <c r="C504" s="31">
        <v>4301051284</v>
      </c>
      <c r="D504" s="793">
        <v>4607091384352</v>
      </c>
      <c r="E504" s="794"/>
      <c r="F504" s="788">
        <v>0.6</v>
      </c>
      <c r="G504" s="32">
        <v>4</v>
      </c>
      <c r="H504" s="788">
        <v>2.4</v>
      </c>
      <c r="I504" s="788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99"/>
      <c r="R504" s="799"/>
      <c r="S504" s="799"/>
      <c r="T504" s="800"/>
      <c r="U504" s="34"/>
      <c r="V504" s="34"/>
      <c r="W504" s="35" t="s">
        <v>69</v>
      </c>
      <c r="X504" s="789">
        <v>0</v>
      </c>
      <c r="Y504" s="790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803</v>
      </c>
      <c r="B505" s="54" t="s">
        <v>804</v>
      </c>
      <c r="C505" s="31">
        <v>4301051431</v>
      </c>
      <c r="D505" s="793">
        <v>4607091389654</v>
      </c>
      <c r="E505" s="794"/>
      <c r="F505" s="788">
        <v>0.33</v>
      </c>
      <c r="G505" s="32">
        <v>6</v>
      </c>
      <c r="H505" s="788">
        <v>1.98</v>
      </c>
      <c r="I505" s="788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99"/>
      <c r="R505" s="799"/>
      <c r="S505" s="799"/>
      <c r="T505" s="800"/>
      <c r="U505" s="34"/>
      <c r="V505" s="34"/>
      <c r="W505" s="35" t="s">
        <v>69</v>
      </c>
      <c r="X505" s="789">
        <v>0</v>
      </c>
      <c r="Y505" s="790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805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808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795" t="s">
        <v>71</v>
      </c>
      <c r="Q506" s="796"/>
      <c r="R506" s="796"/>
      <c r="S506" s="796"/>
      <c r="T506" s="796"/>
      <c r="U506" s="796"/>
      <c r="V506" s="797"/>
      <c r="W506" s="37" t="s">
        <v>72</v>
      </c>
      <c r="X506" s="791">
        <f>IFERROR(X504/H504,"0")+IFERROR(X505/H505,"0")</f>
        <v>0</v>
      </c>
      <c r="Y506" s="791">
        <f>IFERROR(Y504/H504,"0")+IFERROR(Y505/H505,"0")</f>
        <v>0</v>
      </c>
      <c r="Z506" s="791">
        <f>IFERROR(IF(Z504="",0,Z504),"0")+IFERROR(IF(Z505="",0,Z505),"0")</f>
        <v>0</v>
      </c>
      <c r="AA506" s="792"/>
      <c r="AB506" s="792"/>
      <c r="AC506" s="792"/>
    </row>
    <row r="507" spans="1:68" x14ac:dyDescent="0.2">
      <c r="A507" s="809"/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10"/>
      <c r="P507" s="795" t="s">
        <v>71</v>
      </c>
      <c r="Q507" s="796"/>
      <c r="R507" s="796"/>
      <c r="S507" s="796"/>
      <c r="T507" s="796"/>
      <c r="U507" s="796"/>
      <c r="V507" s="797"/>
      <c r="W507" s="37" t="s">
        <v>69</v>
      </c>
      <c r="X507" s="791">
        <f>IFERROR(SUM(X504:X505),"0")</f>
        <v>0</v>
      </c>
      <c r="Y507" s="791">
        <f>IFERROR(SUM(Y504:Y505),"0")</f>
        <v>0</v>
      </c>
      <c r="Z507" s="37"/>
      <c r="AA507" s="792"/>
      <c r="AB507" s="792"/>
      <c r="AC507" s="792"/>
    </row>
    <row r="508" spans="1:68" ht="14.25" customHeight="1" x14ac:dyDescent="0.25">
      <c r="A508" s="811" t="s">
        <v>102</v>
      </c>
      <c r="B508" s="809"/>
      <c r="C508" s="809"/>
      <c r="D508" s="809"/>
      <c r="E508" s="809"/>
      <c r="F508" s="809"/>
      <c r="G508" s="809"/>
      <c r="H508" s="809"/>
      <c r="I508" s="809"/>
      <c r="J508" s="809"/>
      <c r="K508" s="809"/>
      <c r="L508" s="809"/>
      <c r="M508" s="809"/>
      <c r="N508" s="809"/>
      <c r="O508" s="809"/>
      <c r="P508" s="809"/>
      <c r="Q508" s="809"/>
      <c r="R508" s="809"/>
      <c r="S508" s="809"/>
      <c r="T508" s="809"/>
      <c r="U508" s="809"/>
      <c r="V508" s="809"/>
      <c r="W508" s="809"/>
      <c r="X508" s="809"/>
      <c r="Y508" s="809"/>
      <c r="Z508" s="809"/>
      <c r="AA508" s="785"/>
      <c r="AB508" s="785"/>
      <c r="AC508" s="785"/>
    </row>
    <row r="509" spans="1:68" ht="27" customHeight="1" x14ac:dyDescent="0.25">
      <c r="A509" s="54" t="s">
        <v>806</v>
      </c>
      <c r="B509" s="54" t="s">
        <v>807</v>
      </c>
      <c r="C509" s="31">
        <v>4301032045</v>
      </c>
      <c r="D509" s="793">
        <v>4680115884335</v>
      </c>
      <c r="E509" s="794"/>
      <c r="F509" s="788">
        <v>0.06</v>
      </c>
      <c r="G509" s="32">
        <v>20</v>
      </c>
      <c r="H509" s="788">
        <v>1.2</v>
      </c>
      <c r="I509" s="788">
        <v>1.8</v>
      </c>
      <c r="J509" s="32">
        <v>200</v>
      </c>
      <c r="K509" s="32" t="s">
        <v>808</v>
      </c>
      <c r="L509" s="32"/>
      <c r="M509" s="33" t="s">
        <v>809</v>
      </c>
      <c r="N509" s="33"/>
      <c r="O509" s="32">
        <v>60</v>
      </c>
      <c r="P509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99"/>
      <c r="R509" s="799"/>
      <c r="S509" s="799"/>
      <c r="T509" s="800"/>
      <c r="U509" s="34"/>
      <c r="V509" s="34"/>
      <c r="W509" s="35" t="s">
        <v>69</v>
      </c>
      <c r="X509" s="789">
        <v>0</v>
      </c>
      <c r="Y509" s="79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811</v>
      </c>
      <c r="B510" s="54" t="s">
        <v>812</v>
      </c>
      <c r="C510" s="31">
        <v>4301170011</v>
      </c>
      <c r="D510" s="793">
        <v>4680115884113</v>
      </c>
      <c r="E510" s="794"/>
      <c r="F510" s="788">
        <v>0.11</v>
      </c>
      <c r="G510" s="32">
        <v>12</v>
      </c>
      <c r="H510" s="788">
        <v>1.32</v>
      </c>
      <c r="I510" s="788">
        <v>1.88</v>
      </c>
      <c r="J510" s="32">
        <v>200</v>
      </c>
      <c r="K510" s="32" t="s">
        <v>808</v>
      </c>
      <c r="L510" s="32"/>
      <c r="M510" s="33" t="s">
        <v>809</v>
      </c>
      <c r="N510" s="33"/>
      <c r="O510" s="32">
        <v>150</v>
      </c>
      <c r="P510" s="12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99"/>
      <c r="R510" s="799"/>
      <c r="S510" s="799"/>
      <c r="T510" s="800"/>
      <c r="U510" s="34"/>
      <c r="V510" s="34"/>
      <c r="W510" s="35" t="s">
        <v>69</v>
      </c>
      <c r="X510" s="789">
        <v>0</v>
      </c>
      <c r="Y510" s="790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813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808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795" t="s">
        <v>71</v>
      </c>
      <c r="Q511" s="796"/>
      <c r="R511" s="796"/>
      <c r="S511" s="796"/>
      <c r="T511" s="796"/>
      <c r="U511" s="796"/>
      <c r="V511" s="797"/>
      <c r="W511" s="37" t="s">
        <v>72</v>
      </c>
      <c r="X511" s="791">
        <f>IFERROR(X509/H509,"0")+IFERROR(X510/H510,"0")</f>
        <v>0</v>
      </c>
      <c r="Y511" s="791">
        <f>IFERROR(Y509/H509,"0")+IFERROR(Y510/H510,"0")</f>
        <v>0</v>
      </c>
      <c r="Z511" s="791">
        <f>IFERROR(IF(Z509="",0,Z509),"0")+IFERROR(IF(Z510="",0,Z510),"0")</f>
        <v>0</v>
      </c>
      <c r="AA511" s="792"/>
      <c r="AB511" s="792"/>
      <c r="AC511" s="792"/>
    </row>
    <row r="512" spans="1:68" x14ac:dyDescent="0.2">
      <c r="A512" s="809"/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10"/>
      <c r="P512" s="795" t="s">
        <v>71</v>
      </c>
      <c r="Q512" s="796"/>
      <c r="R512" s="796"/>
      <c r="S512" s="796"/>
      <c r="T512" s="796"/>
      <c r="U512" s="796"/>
      <c r="V512" s="797"/>
      <c r="W512" s="37" t="s">
        <v>69</v>
      </c>
      <c r="X512" s="791">
        <f>IFERROR(SUM(X509:X510),"0")</f>
        <v>0</v>
      </c>
      <c r="Y512" s="791">
        <f>IFERROR(SUM(Y509:Y510),"0")</f>
        <v>0</v>
      </c>
      <c r="Z512" s="37"/>
      <c r="AA512" s="792"/>
      <c r="AB512" s="792"/>
      <c r="AC512" s="792"/>
    </row>
    <row r="513" spans="1:68" ht="16.5" customHeight="1" x14ac:dyDescent="0.25">
      <c r="A513" s="839" t="s">
        <v>814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84"/>
      <c r="AB513" s="784"/>
      <c r="AC513" s="784"/>
    </row>
    <row r="514" spans="1:68" ht="14.25" customHeight="1" x14ac:dyDescent="0.25">
      <c r="A514" s="811" t="s">
        <v>166</v>
      </c>
      <c r="B514" s="809"/>
      <c r="C514" s="809"/>
      <c r="D514" s="809"/>
      <c r="E514" s="809"/>
      <c r="F514" s="809"/>
      <c r="G514" s="809"/>
      <c r="H514" s="809"/>
      <c r="I514" s="809"/>
      <c r="J514" s="809"/>
      <c r="K514" s="809"/>
      <c r="L514" s="809"/>
      <c r="M514" s="809"/>
      <c r="N514" s="809"/>
      <c r="O514" s="809"/>
      <c r="P514" s="809"/>
      <c r="Q514" s="809"/>
      <c r="R514" s="809"/>
      <c r="S514" s="809"/>
      <c r="T514" s="809"/>
      <c r="U514" s="809"/>
      <c r="V514" s="809"/>
      <c r="W514" s="809"/>
      <c r="X514" s="809"/>
      <c r="Y514" s="809"/>
      <c r="Z514" s="809"/>
      <c r="AA514" s="785"/>
      <c r="AB514" s="785"/>
      <c r="AC514" s="785"/>
    </row>
    <row r="515" spans="1:68" ht="27" customHeight="1" x14ac:dyDescent="0.25">
      <c r="A515" s="54" t="s">
        <v>815</v>
      </c>
      <c r="B515" s="54" t="s">
        <v>816</v>
      </c>
      <c r="C515" s="31">
        <v>4301020315</v>
      </c>
      <c r="D515" s="793">
        <v>4607091389364</v>
      </c>
      <c r="E515" s="794"/>
      <c r="F515" s="788">
        <v>0.42</v>
      </c>
      <c r="G515" s="32">
        <v>6</v>
      </c>
      <c r="H515" s="788">
        <v>2.52</v>
      </c>
      <c r="I515" s="788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99"/>
      <c r="R515" s="799"/>
      <c r="S515" s="799"/>
      <c r="T515" s="800"/>
      <c r="U515" s="34"/>
      <c r="V515" s="34"/>
      <c r="W515" s="35" t="s">
        <v>69</v>
      </c>
      <c r="X515" s="789">
        <v>0</v>
      </c>
      <c r="Y515" s="790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817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808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795" t="s">
        <v>71</v>
      </c>
      <c r="Q516" s="796"/>
      <c r="R516" s="796"/>
      <c r="S516" s="796"/>
      <c r="T516" s="796"/>
      <c r="U516" s="796"/>
      <c r="V516" s="797"/>
      <c r="W516" s="37" t="s">
        <v>72</v>
      </c>
      <c r="X516" s="791">
        <f>IFERROR(X515/H515,"0")</f>
        <v>0</v>
      </c>
      <c r="Y516" s="791">
        <f>IFERROR(Y515/H515,"0")</f>
        <v>0</v>
      </c>
      <c r="Z516" s="791">
        <f>IFERROR(IF(Z515="",0,Z515),"0")</f>
        <v>0</v>
      </c>
      <c r="AA516" s="792"/>
      <c r="AB516" s="792"/>
      <c r="AC516" s="792"/>
    </row>
    <row r="517" spans="1:68" x14ac:dyDescent="0.2">
      <c r="A517" s="809"/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10"/>
      <c r="P517" s="795" t="s">
        <v>71</v>
      </c>
      <c r="Q517" s="796"/>
      <c r="R517" s="796"/>
      <c r="S517" s="796"/>
      <c r="T517" s="796"/>
      <c r="U517" s="796"/>
      <c r="V517" s="797"/>
      <c r="W517" s="37" t="s">
        <v>69</v>
      </c>
      <c r="X517" s="791">
        <f>IFERROR(SUM(X515:X515),"0")</f>
        <v>0</v>
      </c>
      <c r="Y517" s="791">
        <f>IFERROR(SUM(Y515:Y515),"0")</f>
        <v>0</v>
      </c>
      <c r="Z517" s="37"/>
      <c r="AA517" s="792"/>
      <c r="AB517" s="792"/>
      <c r="AC517" s="792"/>
    </row>
    <row r="518" spans="1:68" ht="14.25" customHeight="1" x14ac:dyDescent="0.25">
      <c r="A518" s="811" t="s">
        <v>64</v>
      </c>
      <c r="B518" s="809"/>
      <c r="C518" s="809"/>
      <c r="D518" s="809"/>
      <c r="E518" s="809"/>
      <c r="F518" s="809"/>
      <c r="G518" s="809"/>
      <c r="H518" s="809"/>
      <c r="I518" s="809"/>
      <c r="J518" s="809"/>
      <c r="K518" s="809"/>
      <c r="L518" s="809"/>
      <c r="M518" s="809"/>
      <c r="N518" s="809"/>
      <c r="O518" s="809"/>
      <c r="P518" s="809"/>
      <c r="Q518" s="809"/>
      <c r="R518" s="809"/>
      <c r="S518" s="809"/>
      <c r="T518" s="809"/>
      <c r="U518" s="809"/>
      <c r="V518" s="809"/>
      <c r="W518" s="809"/>
      <c r="X518" s="809"/>
      <c r="Y518" s="809"/>
      <c r="Z518" s="809"/>
      <c r="AA518" s="785"/>
      <c r="AB518" s="785"/>
      <c r="AC518" s="785"/>
    </row>
    <row r="519" spans="1:68" ht="27" customHeight="1" x14ac:dyDescent="0.25">
      <c r="A519" s="54" t="s">
        <v>818</v>
      </c>
      <c r="B519" s="54" t="s">
        <v>819</v>
      </c>
      <c r="C519" s="31">
        <v>4301031403</v>
      </c>
      <c r="D519" s="793">
        <v>4680115886094</v>
      </c>
      <c r="E519" s="794"/>
      <c r="F519" s="788">
        <v>0.9</v>
      </c>
      <c r="G519" s="32">
        <v>6</v>
      </c>
      <c r="H519" s="788">
        <v>5.4</v>
      </c>
      <c r="I519" s="788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91" t="s">
        <v>820</v>
      </c>
      <c r="Q519" s="799"/>
      <c r="R519" s="799"/>
      <c r="S519" s="799"/>
      <c r="T519" s="800"/>
      <c r="U519" s="34"/>
      <c r="V519" s="34"/>
      <c r="W519" s="35" t="s">
        <v>69</v>
      </c>
      <c r="X519" s="789">
        <v>20</v>
      </c>
      <c r="Y519" s="790">
        <f>IFERROR(IF(X519="",0,CEILING((X519/$H519),1)*$H519),"")</f>
        <v>21.6</v>
      </c>
      <c r="Z519" s="36">
        <f>IFERROR(IF(Y519=0,"",ROUNDUP(Y519/H519,0)*0.00902),"")</f>
        <v>3.6080000000000001E-2</v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20.777777777777779</v>
      </c>
      <c r="BN519" s="64">
        <f>IFERROR(Y519*I519/H519,"0")</f>
        <v>22.44</v>
      </c>
      <c r="BO519" s="64">
        <f>IFERROR(1/J519*(X519/H519),"0")</f>
        <v>2.8058361391694722E-2</v>
      </c>
      <c r="BP519" s="64">
        <f>IFERROR(1/J519*(Y519/H519),"0")</f>
        <v>3.0303030303030304E-2</v>
      </c>
    </row>
    <row r="520" spans="1:68" ht="27" customHeight="1" x14ac:dyDescent="0.25">
      <c r="A520" s="54" t="s">
        <v>822</v>
      </c>
      <c r="B520" s="54" t="s">
        <v>823</v>
      </c>
      <c r="C520" s="31">
        <v>4301031363</v>
      </c>
      <c r="D520" s="793">
        <v>4607091389425</v>
      </c>
      <c r="E520" s="794"/>
      <c r="F520" s="788">
        <v>0.35</v>
      </c>
      <c r="G520" s="32">
        <v>6</v>
      </c>
      <c r="H520" s="788">
        <v>2.1</v>
      </c>
      <c r="I520" s="78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99"/>
      <c r="R520" s="799"/>
      <c r="S520" s="799"/>
      <c r="T520" s="800"/>
      <c r="U520" s="34"/>
      <c r="V520" s="34"/>
      <c r="W520" s="35" t="s">
        <v>69</v>
      </c>
      <c r="X520" s="789">
        <v>0</v>
      </c>
      <c r="Y520" s="79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824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825</v>
      </c>
      <c r="B521" s="54" t="s">
        <v>826</v>
      </c>
      <c r="C521" s="31">
        <v>4301031373</v>
      </c>
      <c r="D521" s="793">
        <v>4680115880771</v>
      </c>
      <c r="E521" s="794"/>
      <c r="F521" s="788">
        <v>0.28000000000000003</v>
      </c>
      <c r="G521" s="32">
        <v>6</v>
      </c>
      <c r="H521" s="788">
        <v>1.68</v>
      </c>
      <c r="I521" s="788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0" t="s">
        <v>827</v>
      </c>
      <c r="Q521" s="799"/>
      <c r="R521" s="799"/>
      <c r="S521" s="799"/>
      <c r="T521" s="800"/>
      <c r="U521" s="34"/>
      <c r="V521" s="34"/>
      <c r="W521" s="35" t="s">
        <v>69</v>
      </c>
      <c r="X521" s="789">
        <v>0</v>
      </c>
      <c r="Y521" s="79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828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4301031327</v>
      </c>
      <c r="D522" s="793">
        <v>4607091389500</v>
      </c>
      <c r="E522" s="794"/>
      <c r="F522" s="788">
        <v>0.35</v>
      </c>
      <c r="G522" s="32">
        <v>6</v>
      </c>
      <c r="H522" s="788">
        <v>2.1</v>
      </c>
      <c r="I522" s="78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9"/>
      <c r="R522" s="799"/>
      <c r="S522" s="799"/>
      <c r="T522" s="800"/>
      <c r="U522" s="34"/>
      <c r="V522" s="34"/>
      <c r="W522" s="35" t="s">
        <v>69</v>
      </c>
      <c r="X522" s="789">
        <v>0</v>
      </c>
      <c r="Y522" s="79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828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829</v>
      </c>
      <c r="B523" s="54" t="s">
        <v>831</v>
      </c>
      <c r="C523" s="31">
        <v>4301031359</v>
      </c>
      <c r="D523" s="793">
        <v>4607091389500</v>
      </c>
      <c r="E523" s="794"/>
      <c r="F523" s="788">
        <v>0.35</v>
      </c>
      <c r="G523" s="32">
        <v>6</v>
      </c>
      <c r="H523" s="788">
        <v>2.1</v>
      </c>
      <c r="I523" s="788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9"/>
      <c r="R523" s="799"/>
      <c r="S523" s="799"/>
      <c r="T523" s="800"/>
      <c r="U523" s="34"/>
      <c r="V523" s="34"/>
      <c r="W523" s="35" t="s">
        <v>69</v>
      </c>
      <c r="X523" s="789">
        <v>10.5</v>
      </c>
      <c r="Y523" s="790">
        <f>IFERROR(IF(X523="",0,CEILING((X523/$H523),1)*$H523),"")</f>
        <v>10.5</v>
      </c>
      <c r="Z523" s="36">
        <f>IFERROR(IF(Y523=0,"",ROUNDUP(Y523/H523,0)*0.00502),"")</f>
        <v>2.5100000000000001E-2</v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>IFERROR(X523*I523/H523,"0")</f>
        <v>11.149999999999999</v>
      </c>
      <c r="BN523" s="64">
        <f>IFERROR(Y523*I523/H523,"0")</f>
        <v>11.149999999999999</v>
      </c>
      <c r="BO523" s="64">
        <f>IFERROR(1/J523*(X523/H523),"0")</f>
        <v>2.1367521367521368E-2</v>
      </c>
      <c r="BP523" s="64">
        <f>IFERROR(1/J523*(Y523/H523),"0")</f>
        <v>2.1367521367521368E-2</v>
      </c>
    </row>
    <row r="524" spans="1:68" x14ac:dyDescent="0.2">
      <c r="A524" s="808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795" t="s">
        <v>71</v>
      </c>
      <c r="Q524" s="796"/>
      <c r="R524" s="796"/>
      <c r="S524" s="796"/>
      <c r="T524" s="796"/>
      <c r="U524" s="796"/>
      <c r="V524" s="797"/>
      <c r="W524" s="37" t="s">
        <v>72</v>
      </c>
      <c r="X524" s="791">
        <f>IFERROR(X519/H519,"0")+IFERROR(X520/H520,"0")+IFERROR(X521/H521,"0")+IFERROR(X522/H522,"0")+IFERROR(X523/H523,"0")</f>
        <v>8.7037037037037024</v>
      </c>
      <c r="Y524" s="791">
        <f>IFERROR(Y519/H519,"0")+IFERROR(Y520/H520,"0")+IFERROR(Y521/H521,"0")+IFERROR(Y522/H522,"0")+IFERROR(Y523/H523,"0")</f>
        <v>9</v>
      </c>
      <c r="Z524" s="791">
        <f>IFERROR(IF(Z519="",0,Z519),"0")+IFERROR(IF(Z520="",0,Z520),"0")+IFERROR(IF(Z521="",0,Z521),"0")+IFERROR(IF(Z522="",0,Z522),"0")+IFERROR(IF(Z523="",0,Z523),"0")</f>
        <v>6.1179999999999998E-2</v>
      </c>
      <c r="AA524" s="792"/>
      <c r="AB524" s="792"/>
      <c r="AC524" s="792"/>
    </row>
    <row r="525" spans="1:68" x14ac:dyDescent="0.2">
      <c r="A525" s="809"/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10"/>
      <c r="P525" s="795" t="s">
        <v>71</v>
      </c>
      <c r="Q525" s="796"/>
      <c r="R525" s="796"/>
      <c r="S525" s="796"/>
      <c r="T525" s="796"/>
      <c r="U525" s="796"/>
      <c r="V525" s="797"/>
      <c r="W525" s="37" t="s">
        <v>69</v>
      </c>
      <c r="X525" s="791">
        <f>IFERROR(SUM(X519:X523),"0")</f>
        <v>30.5</v>
      </c>
      <c r="Y525" s="791">
        <f>IFERROR(SUM(Y519:Y523),"0")</f>
        <v>32.1</v>
      </c>
      <c r="Z525" s="37"/>
      <c r="AA525" s="792"/>
      <c r="AB525" s="792"/>
      <c r="AC525" s="792"/>
    </row>
    <row r="526" spans="1:68" ht="14.25" customHeight="1" x14ac:dyDescent="0.25">
      <c r="A526" s="811" t="s">
        <v>832</v>
      </c>
      <c r="B526" s="809"/>
      <c r="C526" s="809"/>
      <c r="D526" s="809"/>
      <c r="E526" s="809"/>
      <c r="F526" s="809"/>
      <c r="G526" s="809"/>
      <c r="H526" s="809"/>
      <c r="I526" s="809"/>
      <c r="J526" s="809"/>
      <c r="K526" s="809"/>
      <c r="L526" s="809"/>
      <c r="M526" s="809"/>
      <c r="N526" s="809"/>
      <c r="O526" s="809"/>
      <c r="P526" s="809"/>
      <c r="Q526" s="809"/>
      <c r="R526" s="809"/>
      <c r="S526" s="809"/>
      <c r="T526" s="809"/>
      <c r="U526" s="809"/>
      <c r="V526" s="809"/>
      <c r="W526" s="809"/>
      <c r="X526" s="809"/>
      <c r="Y526" s="809"/>
      <c r="Z526" s="809"/>
      <c r="AA526" s="785"/>
      <c r="AB526" s="785"/>
      <c r="AC526" s="785"/>
    </row>
    <row r="527" spans="1:68" ht="27" customHeight="1" x14ac:dyDescent="0.25">
      <c r="A527" s="54" t="s">
        <v>833</v>
      </c>
      <c r="B527" s="54" t="s">
        <v>834</v>
      </c>
      <c r="C527" s="31">
        <v>4301040357</v>
      </c>
      <c r="D527" s="793">
        <v>4680115884564</v>
      </c>
      <c r="E527" s="794"/>
      <c r="F527" s="788">
        <v>0.15</v>
      </c>
      <c r="G527" s="32">
        <v>20</v>
      </c>
      <c r="H527" s="788">
        <v>3</v>
      </c>
      <c r="I527" s="788">
        <v>3.6</v>
      </c>
      <c r="J527" s="32">
        <v>200</v>
      </c>
      <c r="K527" s="32" t="s">
        <v>808</v>
      </c>
      <c r="L527" s="32"/>
      <c r="M527" s="33" t="s">
        <v>809</v>
      </c>
      <c r="N527" s="33"/>
      <c r="O527" s="32">
        <v>60</v>
      </c>
      <c r="P527" s="8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99"/>
      <c r="R527" s="799"/>
      <c r="S527" s="799"/>
      <c r="T527" s="800"/>
      <c r="U527" s="34"/>
      <c r="V527" s="34"/>
      <c r="W527" s="35" t="s">
        <v>69</v>
      </c>
      <c r="X527" s="789">
        <v>0</v>
      </c>
      <c r="Y527" s="790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835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808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795" t="s">
        <v>71</v>
      </c>
      <c r="Q528" s="796"/>
      <c r="R528" s="796"/>
      <c r="S528" s="796"/>
      <c r="T528" s="796"/>
      <c r="U528" s="796"/>
      <c r="V528" s="797"/>
      <c r="W528" s="37" t="s">
        <v>72</v>
      </c>
      <c r="X528" s="791">
        <f>IFERROR(X527/H527,"0")</f>
        <v>0</v>
      </c>
      <c r="Y528" s="791">
        <f>IFERROR(Y527/H527,"0")</f>
        <v>0</v>
      </c>
      <c r="Z528" s="791">
        <f>IFERROR(IF(Z527="",0,Z527),"0")</f>
        <v>0</v>
      </c>
      <c r="AA528" s="792"/>
      <c r="AB528" s="792"/>
      <c r="AC528" s="792"/>
    </row>
    <row r="529" spans="1:68" x14ac:dyDescent="0.2">
      <c r="A529" s="809"/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10"/>
      <c r="P529" s="795" t="s">
        <v>71</v>
      </c>
      <c r="Q529" s="796"/>
      <c r="R529" s="796"/>
      <c r="S529" s="796"/>
      <c r="T529" s="796"/>
      <c r="U529" s="796"/>
      <c r="V529" s="797"/>
      <c r="W529" s="37" t="s">
        <v>69</v>
      </c>
      <c r="X529" s="791">
        <f>IFERROR(SUM(X527:X527),"0")</f>
        <v>0</v>
      </c>
      <c r="Y529" s="791">
        <f>IFERROR(SUM(Y527:Y527),"0")</f>
        <v>0</v>
      </c>
      <c r="Z529" s="37"/>
      <c r="AA529" s="792"/>
      <c r="AB529" s="792"/>
      <c r="AC529" s="792"/>
    </row>
    <row r="530" spans="1:68" ht="16.5" customHeight="1" x14ac:dyDescent="0.25">
      <c r="A530" s="839" t="s">
        <v>836</v>
      </c>
      <c r="B530" s="809"/>
      <c r="C530" s="809"/>
      <c r="D530" s="809"/>
      <c r="E530" s="809"/>
      <c r="F530" s="809"/>
      <c r="G530" s="809"/>
      <c r="H530" s="809"/>
      <c r="I530" s="809"/>
      <c r="J530" s="809"/>
      <c r="K530" s="809"/>
      <c r="L530" s="809"/>
      <c r="M530" s="809"/>
      <c r="N530" s="809"/>
      <c r="O530" s="809"/>
      <c r="P530" s="809"/>
      <c r="Q530" s="809"/>
      <c r="R530" s="809"/>
      <c r="S530" s="809"/>
      <c r="T530" s="809"/>
      <c r="U530" s="809"/>
      <c r="V530" s="809"/>
      <c r="W530" s="809"/>
      <c r="X530" s="809"/>
      <c r="Y530" s="809"/>
      <c r="Z530" s="809"/>
      <c r="AA530" s="784"/>
      <c r="AB530" s="784"/>
      <c r="AC530" s="784"/>
    </row>
    <row r="531" spans="1:68" ht="14.25" customHeight="1" x14ac:dyDescent="0.25">
      <c r="A531" s="811" t="s">
        <v>64</v>
      </c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09"/>
      <c r="P531" s="809"/>
      <c r="Q531" s="809"/>
      <c r="R531" s="809"/>
      <c r="S531" s="809"/>
      <c r="T531" s="809"/>
      <c r="U531" s="809"/>
      <c r="V531" s="809"/>
      <c r="W531" s="809"/>
      <c r="X531" s="809"/>
      <c r="Y531" s="809"/>
      <c r="Z531" s="809"/>
      <c r="AA531" s="785"/>
      <c r="AB531" s="785"/>
      <c r="AC531" s="785"/>
    </row>
    <row r="532" spans="1:68" ht="27" customHeight="1" x14ac:dyDescent="0.25">
      <c r="A532" s="54" t="s">
        <v>837</v>
      </c>
      <c r="B532" s="54" t="s">
        <v>838</v>
      </c>
      <c r="C532" s="31">
        <v>4301031294</v>
      </c>
      <c r="D532" s="793">
        <v>4680115885189</v>
      </c>
      <c r="E532" s="794"/>
      <c r="F532" s="788">
        <v>0.2</v>
      </c>
      <c r="G532" s="32">
        <v>6</v>
      </c>
      <c r="H532" s="788">
        <v>1.2</v>
      </c>
      <c r="I532" s="788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99"/>
      <c r="R532" s="799"/>
      <c r="S532" s="799"/>
      <c r="T532" s="800"/>
      <c r="U532" s="34"/>
      <c r="V532" s="34"/>
      <c r="W532" s="35" t="s">
        <v>69</v>
      </c>
      <c r="X532" s="789">
        <v>6</v>
      </c>
      <c r="Y532" s="790">
        <f t="shared" ref="Y532:Y537" si="104">IFERROR(IF(X532="",0,CEILING((X532/$H532),1)*$H532),"")</f>
        <v>6</v>
      </c>
      <c r="Z532" s="36">
        <f>IFERROR(IF(Y532=0,"",ROUNDUP(Y532/H532,0)*0.00502),"")</f>
        <v>2.5100000000000001E-2</v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6.8600000000000012</v>
      </c>
      <c r="BN532" s="64">
        <f t="shared" ref="BN532:BN537" si="106">IFERROR(Y532*I532/H532,"0")</f>
        <v>6.8600000000000012</v>
      </c>
      <c r="BO532" s="64">
        <f t="shared" ref="BO532:BO537" si="107">IFERROR(1/J532*(X532/H532),"0")</f>
        <v>2.1367521367521368E-2</v>
      </c>
      <c r="BP532" s="64">
        <f t="shared" ref="BP532:BP537" si="108">IFERROR(1/J532*(Y532/H532),"0")</f>
        <v>2.1367521367521368E-2</v>
      </c>
    </row>
    <row r="533" spans="1:68" ht="27" customHeight="1" x14ac:dyDescent="0.25">
      <c r="A533" s="54" t="s">
        <v>840</v>
      </c>
      <c r="B533" s="54" t="s">
        <v>841</v>
      </c>
      <c r="C533" s="31">
        <v>4301031293</v>
      </c>
      <c r="D533" s="793">
        <v>4680115885172</v>
      </c>
      <c r="E533" s="794"/>
      <c r="F533" s="788">
        <v>0.2</v>
      </c>
      <c r="G533" s="32">
        <v>6</v>
      </c>
      <c r="H533" s="788">
        <v>1.2</v>
      </c>
      <c r="I533" s="788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99"/>
      <c r="R533" s="799"/>
      <c r="S533" s="799"/>
      <c r="T533" s="800"/>
      <c r="U533" s="34"/>
      <c r="V533" s="34"/>
      <c r="W533" s="35" t="s">
        <v>69</v>
      </c>
      <c r="X533" s="789">
        <v>0</v>
      </c>
      <c r="Y533" s="790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839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842</v>
      </c>
      <c r="B534" s="54" t="s">
        <v>843</v>
      </c>
      <c r="C534" s="31">
        <v>4301031347</v>
      </c>
      <c r="D534" s="793">
        <v>4680115885110</v>
      </c>
      <c r="E534" s="794"/>
      <c r="F534" s="788">
        <v>0.2</v>
      </c>
      <c r="G534" s="32">
        <v>6</v>
      </c>
      <c r="H534" s="788">
        <v>1.2</v>
      </c>
      <c r="I534" s="788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38" t="s">
        <v>844</v>
      </c>
      <c r="Q534" s="799"/>
      <c r="R534" s="799"/>
      <c r="S534" s="799"/>
      <c r="T534" s="800"/>
      <c r="U534" s="34"/>
      <c r="V534" s="34"/>
      <c r="W534" s="35" t="s">
        <v>69</v>
      </c>
      <c r="X534" s="789">
        <v>0</v>
      </c>
      <c r="Y534" s="790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845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842</v>
      </c>
      <c r="B535" s="54" t="s">
        <v>846</v>
      </c>
      <c r="C535" s="31">
        <v>4301031291</v>
      </c>
      <c r="D535" s="793">
        <v>4680115885110</v>
      </c>
      <c r="E535" s="794"/>
      <c r="F535" s="788">
        <v>0.2</v>
      </c>
      <c r="G535" s="32">
        <v>6</v>
      </c>
      <c r="H535" s="788">
        <v>1.2</v>
      </c>
      <c r="I535" s="788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99"/>
      <c r="R535" s="799"/>
      <c r="S535" s="799"/>
      <c r="T535" s="800"/>
      <c r="U535" s="34"/>
      <c r="V535" s="34"/>
      <c r="W535" s="35" t="s">
        <v>69</v>
      </c>
      <c r="X535" s="789">
        <v>16</v>
      </c>
      <c r="Y535" s="790">
        <f t="shared" si="104"/>
        <v>16.8</v>
      </c>
      <c r="Z535" s="36">
        <f>IFERROR(IF(Y535=0,"",ROUNDUP(Y535/H535,0)*0.00502),"")</f>
        <v>7.0280000000000009E-2</v>
      </c>
      <c r="AA535" s="56"/>
      <c r="AB535" s="57"/>
      <c r="AC535" s="625" t="s">
        <v>845</v>
      </c>
      <c r="AG535" s="64"/>
      <c r="AJ535" s="68"/>
      <c r="AK535" s="68">
        <v>0</v>
      </c>
      <c r="BB535" s="626" t="s">
        <v>1</v>
      </c>
      <c r="BM535" s="64">
        <f t="shared" si="105"/>
        <v>26.933333333333334</v>
      </c>
      <c r="BN535" s="64">
        <f t="shared" si="106"/>
        <v>28.28</v>
      </c>
      <c r="BO535" s="64">
        <f t="shared" si="107"/>
        <v>5.6980056980056988E-2</v>
      </c>
      <c r="BP535" s="64">
        <f t="shared" si="108"/>
        <v>5.9829059829059845E-2</v>
      </c>
    </row>
    <row r="536" spans="1:68" ht="27" customHeight="1" x14ac:dyDescent="0.25">
      <c r="A536" s="54" t="s">
        <v>847</v>
      </c>
      <c r="B536" s="54" t="s">
        <v>848</v>
      </c>
      <c r="C536" s="31">
        <v>4301031329</v>
      </c>
      <c r="D536" s="793">
        <v>4680115885219</v>
      </c>
      <c r="E536" s="794"/>
      <c r="F536" s="788">
        <v>0.28000000000000003</v>
      </c>
      <c r="G536" s="32">
        <v>6</v>
      </c>
      <c r="H536" s="788">
        <v>1.68</v>
      </c>
      <c r="I536" s="788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9"/>
      <c r="R536" s="799"/>
      <c r="S536" s="799"/>
      <c r="T536" s="800"/>
      <c r="U536" s="34"/>
      <c r="V536" s="34"/>
      <c r="W536" s="35" t="s">
        <v>69</v>
      </c>
      <c r="X536" s="789">
        <v>84.000000000000014</v>
      </c>
      <c r="Y536" s="790">
        <f t="shared" si="104"/>
        <v>84</v>
      </c>
      <c r="Z536" s="36">
        <f>IFERROR(IF(Y536=0,"",ROUNDUP(Y536/H536,0)*0.00502),"")</f>
        <v>0.251</v>
      </c>
      <c r="AA536" s="56"/>
      <c r="AB536" s="57"/>
      <c r="AC536" s="627" t="s">
        <v>849</v>
      </c>
      <c r="AG536" s="64"/>
      <c r="AJ536" s="68"/>
      <c r="AK536" s="68">
        <v>0</v>
      </c>
      <c r="BB536" s="628" t="s">
        <v>1</v>
      </c>
      <c r="BM536" s="64">
        <f t="shared" si="105"/>
        <v>125.00000000000003</v>
      </c>
      <c r="BN536" s="64">
        <f t="shared" si="106"/>
        <v>125</v>
      </c>
      <c r="BO536" s="64">
        <f t="shared" si="107"/>
        <v>0.21367521367521372</v>
      </c>
      <c r="BP536" s="64">
        <f t="shared" si="108"/>
        <v>0.21367521367521369</v>
      </c>
    </row>
    <row r="537" spans="1:68" ht="27" customHeight="1" x14ac:dyDescent="0.25">
      <c r="A537" s="54" t="s">
        <v>847</v>
      </c>
      <c r="B537" s="54" t="s">
        <v>850</v>
      </c>
      <c r="C537" s="31">
        <v>4301031416</v>
      </c>
      <c r="D537" s="793">
        <v>4680115885219</v>
      </c>
      <c r="E537" s="794"/>
      <c r="F537" s="788">
        <v>0.28000000000000003</v>
      </c>
      <c r="G537" s="32">
        <v>6</v>
      </c>
      <c r="H537" s="788">
        <v>1.68</v>
      </c>
      <c r="I537" s="788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98" t="s">
        <v>851</v>
      </c>
      <c r="Q537" s="799"/>
      <c r="R537" s="799"/>
      <c r="S537" s="799"/>
      <c r="T537" s="800"/>
      <c r="U537" s="34"/>
      <c r="V537" s="34"/>
      <c r="W537" s="35" t="s">
        <v>69</v>
      </c>
      <c r="X537" s="789">
        <v>0</v>
      </c>
      <c r="Y537" s="790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849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808"/>
      <c r="B538" s="809"/>
      <c r="C538" s="809"/>
      <c r="D538" s="809"/>
      <c r="E538" s="809"/>
      <c r="F538" s="809"/>
      <c r="G538" s="809"/>
      <c r="H538" s="809"/>
      <c r="I538" s="809"/>
      <c r="J538" s="809"/>
      <c r="K538" s="809"/>
      <c r="L538" s="809"/>
      <c r="M538" s="809"/>
      <c r="N538" s="809"/>
      <c r="O538" s="810"/>
      <c r="P538" s="795" t="s">
        <v>71</v>
      </c>
      <c r="Q538" s="796"/>
      <c r="R538" s="796"/>
      <c r="S538" s="796"/>
      <c r="T538" s="796"/>
      <c r="U538" s="796"/>
      <c r="V538" s="797"/>
      <c r="W538" s="37" t="s">
        <v>72</v>
      </c>
      <c r="X538" s="791">
        <f>IFERROR(X532/H532,"0")+IFERROR(X533/H533,"0")+IFERROR(X534/H534,"0")+IFERROR(X535/H535,"0")+IFERROR(X536/H536,"0")+IFERROR(X537/H537,"0")</f>
        <v>68.333333333333343</v>
      </c>
      <c r="Y538" s="791">
        <f>IFERROR(Y532/H532,"0")+IFERROR(Y533/H533,"0")+IFERROR(Y534/H534,"0")+IFERROR(Y535/H535,"0")+IFERROR(Y536/H536,"0")+IFERROR(Y537/H537,"0")</f>
        <v>69</v>
      </c>
      <c r="Z538" s="791">
        <f>IFERROR(IF(Z532="",0,Z532),"0")+IFERROR(IF(Z533="",0,Z533),"0")+IFERROR(IF(Z534="",0,Z534),"0")+IFERROR(IF(Z535="",0,Z535),"0")+IFERROR(IF(Z536="",0,Z536),"0")+IFERROR(IF(Z537="",0,Z537),"0")</f>
        <v>0.34638000000000002</v>
      </c>
      <c r="AA538" s="792"/>
      <c r="AB538" s="792"/>
      <c r="AC538" s="792"/>
    </row>
    <row r="539" spans="1:68" x14ac:dyDescent="0.2">
      <c r="A539" s="809"/>
      <c r="B539" s="809"/>
      <c r="C539" s="809"/>
      <c r="D539" s="809"/>
      <c r="E539" s="809"/>
      <c r="F539" s="809"/>
      <c r="G539" s="809"/>
      <c r="H539" s="809"/>
      <c r="I539" s="809"/>
      <c r="J539" s="809"/>
      <c r="K539" s="809"/>
      <c r="L539" s="809"/>
      <c r="M539" s="809"/>
      <c r="N539" s="809"/>
      <c r="O539" s="810"/>
      <c r="P539" s="795" t="s">
        <v>71</v>
      </c>
      <c r="Q539" s="796"/>
      <c r="R539" s="796"/>
      <c r="S539" s="796"/>
      <c r="T539" s="796"/>
      <c r="U539" s="796"/>
      <c r="V539" s="797"/>
      <c r="W539" s="37" t="s">
        <v>69</v>
      </c>
      <c r="X539" s="791">
        <f>IFERROR(SUM(X532:X537),"0")</f>
        <v>106.00000000000001</v>
      </c>
      <c r="Y539" s="791">
        <f>IFERROR(SUM(Y532:Y537),"0")</f>
        <v>106.8</v>
      </c>
      <c r="Z539" s="37"/>
      <c r="AA539" s="792"/>
      <c r="AB539" s="792"/>
      <c r="AC539" s="792"/>
    </row>
    <row r="540" spans="1:68" ht="16.5" customHeight="1" x14ac:dyDescent="0.25">
      <c r="A540" s="839" t="s">
        <v>852</v>
      </c>
      <c r="B540" s="809"/>
      <c r="C540" s="809"/>
      <c r="D540" s="809"/>
      <c r="E540" s="809"/>
      <c r="F540" s="809"/>
      <c r="G540" s="809"/>
      <c r="H540" s="809"/>
      <c r="I540" s="809"/>
      <c r="J540" s="809"/>
      <c r="K540" s="809"/>
      <c r="L540" s="809"/>
      <c r="M540" s="809"/>
      <c r="N540" s="809"/>
      <c r="O540" s="809"/>
      <c r="P540" s="809"/>
      <c r="Q540" s="809"/>
      <c r="R540" s="809"/>
      <c r="S540" s="809"/>
      <c r="T540" s="809"/>
      <c r="U540" s="809"/>
      <c r="V540" s="809"/>
      <c r="W540" s="809"/>
      <c r="X540" s="809"/>
      <c r="Y540" s="809"/>
      <c r="Z540" s="809"/>
      <c r="AA540" s="784"/>
      <c r="AB540" s="784"/>
      <c r="AC540" s="784"/>
    </row>
    <row r="541" spans="1:68" ht="14.25" customHeight="1" x14ac:dyDescent="0.25">
      <c r="A541" s="811" t="s">
        <v>64</v>
      </c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09"/>
      <c r="P541" s="809"/>
      <c r="Q541" s="809"/>
      <c r="R541" s="809"/>
      <c r="S541" s="809"/>
      <c r="T541" s="809"/>
      <c r="U541" s="809"/>
      <c r="V541" s="809"/>
      <c r="W541" s="809"/>
      <c r="X541" s="809"/>
      <c r="Y541" s="809"/>
      <c r="Z541" s="809"/>
      <c r="AA541" s="785"/>
      <c r="AB541" s="785"/>
      <c r="AC541" s="785"/>
    </row>
    <row r="542" spans="1:68" ht="27" customHeight="1" x14ac:dyDescent="0.25">
      <c r="A542" s="54" t="s">
        <v>853</v>
      </c>
      <c r="B542" s="54" t="s">
        <v>854</v>
      </c>
      <c r="C542" s="31">
        <v>4301031261</v>
      </c>
      <c r="D542" s="793">
        <v>4680115885103</v>
      </c>
      <c r="E542" s="794"/>
      <c r="F542" s="788">
        <v>0.27</v>
      </c>
      <c r="G542" s="32">
        <v>6</v>
      </c>
      <c r="H542" s="788">
        <v>1.62</v>
      </c>
      <c r="I542" s="788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99"/>
      <c r="R542" s="799"/>
      <c r="S542" s="799"/>
      <c r="T542" s="800"/>
      <c r="U542" s="34"/>
      <c r="V542" s="34"/>
      <c r="W542" s="35" t="s">
        <v>69</v>
      </c>
      <c r="X542" s="789">
        <v>0</v>
      </c>
      <c r="Y542" s="790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855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8"/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10"/>
      <c r="P543" s="795" t="s">
        <v>71</v>
      </c>
      <c r="Q543" s="796"/>
      <c r="R543" s="796"/>
      <c r="S543" s="796"/>
      <c r="T543" s="796"/>
      <c r="U543" s="796"/>
      <c r="V543" s="797"/>
      <c r="W543" s="37" t="s">
        <v>72</v>
      </c>
      <c r="X543" s="791">
        <f>IFERROR(X542/H542,"0")</f>
        <v>0</v>
      </c>
      <c r="Y543" s="791">
        <f>IFERROR(Y542/H542,"0")</f>
        <v>0</v>
      </c>
      <c r="Z543" s="791">
        <f>IFERROR(IF(Z542="",0,Z542),"0")</f>
        <v>0</v>
      </c>
      <c r="AA543" s="792"/>
      <c r="AB543" s="792"/>
      <c r="AC543" s="792"/>
    </row>
    <row r="544" spans="1:68" x14ac:dyDescent="0.2">
      <c r="A544" s="809"/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10"/>
      <c r="P544" s="795" t="s">
        <v>71</v>
      </c>
      <c r="Q544" s="796"/>
      <c r="R544" s="796"/>
      <c r="S544" s="796"/>
      <c r="T544" s="796"/>
      <c r="U544" s="796"/>
      <c r="V544" s="797"/>
      <c r="W544" s="37" t="s">
        <v>69</v>
      </c>
      <c r="X544" s="791">
        <f>IFERROR(SUM(X542:X542),"0")</f>
        <v>0</v>
      </c>
      <c r="Y544" s="791">
        <f>IFERROR(SUM(Y542:Y542),"0")</f>
        <v>0</v>
      </c>
      <c r="Z544" s="37"/>
      <c r="AA544" s="792"/>
      <c r="AB544" s="792"/>
      <c r="AC544" s="792"/>
    </row>
    <row r="545" spans="1:68" ht="27.75" customHeight="1" x14ac:dyDescent="0.2">
      <c r="A545" s="911" t="s">
        <v>856</v>
      </c>
      <c r="B545" s="912"/>
      <c r="C545" s="912"/>
      <c r="D545" s="912"/>
      <c r="E545" s="912"/>
      <c r="F545" s="912"/>
      <c r="G545" s="912"/>
      <c r="H545" s="912"/>
      <c r="I545" s="912"/>
      <c r="J545" s="912"/>
      <c r="K545" s="912"/>
      <c r="L545" s="912"/>
      <c r="M545" s="912"/>
      <c r="N545" s="912"/>
      <c r="O545" s="912"/>
      <c r="P545" s="912"/>
      <c r="Q545" s="912"/>
      <c r="R545" s="912"/>
      <c r="S545" s="912"/>
      <c r="T545" s="912"/>
      <c r="U545" s="912"/>
      <c r="V545" s="912"/>
      <c r="W545" s="912"/>
      <c r="X545" s="912"/>
      <c r="Y545" s="912"/>
      <c r="Z545" s="912"/>
      <c r="AA545" s="48"/>
      <c r="AB545" s="48"/>
      <c r="AC545" s="48"/>
    </row>
    <row r="546" spans="1:68" ht="16.5" customHeight="1" x14ac:dyDescent="0.25">
      <c r="A546" s="839" t="s">
        <v>856</v>
      </c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09"/>
      <c r="P546" s="809"/>
      <c r="Q546" s="809"/>
      <c r="R546" s="809"/>
      <c r="S546" s="809"/>
      <c r="T546" s="809"/>
      <c r="U546" s="809"/>
      <c r="V546" s="809"/>
      <c r="W546" s="809"/>
      <c r="X546" s="809"/>
      <c r="Y546" s="809"/>
      <c r="Z546" s="809"/>
      <c r="AA546" s="784"/>
      <c r="AB546" s="784"/>
      <c r="AC546" s="784"/>
    </row>
    <row r="547" spans="1:68" ht="14.25" customHeight="1" x14ac:dyDescent="0.25">
      <c r="A547" s="811" t="s">
        <v>113</v>
      </c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09"/>
      <c r="P547" s="809"/>
      <c r="Q547" s="809"/>
      <c r="R547" s="809"/>
      <c r="S547" s="809"/>
      <c r="T547" s="809"/>
      <c r="U547" s="809"/>
      <c r="V547" s="809"/>
      <c r="W547" s="809"/>
      <c r="X547" s="809"/>
      <c r="Y547" s="809"/>
      <c r="Z547" s="809"/>
      <c r="AA547" s="785"/>
      <c r="AB547" s="785"/>
      <c r="AC547" s="785"/>
    </row>
    <row r="548" spans="1:68" ht="27" customHeight="1" x14ac:dyDescent="0.25">
      <c r="A548" s="54" t="s">
        <v>857</v>
      </c>
      <c r="B548" s="54" t="s">
        <v>858</v>
      </c>
      <c r="C548" s="31">
        <v>4301011795</v>
      </c>
      <c r="D548" s="793">
        <v>4607091389067</v>
      </c>
      <c r="E548" s="794"/>
      <c r="F548" s="788">
        <v>0.88</v>
      </c>
      <c r="G548" s="32">
        <v>6</v>
      </c>
      <c r="H548" s="788">
        <v>5.28</v>
      </c>
      <c r="I548" s="788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99"/>
      <c r="R548" s="799"/>
      <c r="S548" s="799"/>
      <c r="T548" s="800"/>
      <c r="U548" s="34"/>
      <c r="V548" s="34"/>
      <c r="W548" s="35" t="s">
        <v>69</v>
      </c>
      <c r="X548" s="789">
        <v>150</v>
      </c>
      <c r="Y548" s="790">
        <f t="shared" ref="Y548:Y562" si="109">IFERROR(IF(X548="",0,CEILING((X548/$H548),1)*$H548),"")</f>
        <v>153.12</v>
      </c>
      <c r="Z548" s="36">
        <f t="shared" ref="Z548:Z553" si="110">IFERROR(IF(Y548=0,"",ROUNDUP(Y548/H548,0)*0.01196),"")</f>
        <v>0.34683999999999998</v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160.22727272727272</v>
      </c>
      <c r="BN548" s="64">
        <f t="shared" ref="BN548:BN562" si="112">IFERROR(Y548*I548/H548,"0")</f>
        <v>163.56</v>
      </c>
      <c r="BO548" s="64">
        <f t="shared" ref="BO548:BO562" si="113">IFERROR(1/J548*(X548/H548),"0")</f>
        <v>0.27316433566433568</v>
      </c>
      <c r="BP548" s="64">
        <f t="shared" ref="BP548:BP562" si="114">IFERROR(1/J548*(Y548/H548),"0")</f>
        <v>0.27884615384615385</v>
      </c>
    </row>
    <row r="549" spans="1:68" ht="27" customHeight="1" x14ac:dyDescent="0.25">
      <c r="A549" s="54" t="s">
        <v>859</v>
      </c>
      <c r="B549" s="54" t="s">
        <v>860</v>
      </c>
      <c r="C549" s="31">
        <v>4301011961</v>
      </c>
      <c r="D549" s="793">
        <v>4680115885271</v>
      </c>
      <c r="E549" s="794"/>
      <c r="F549" s="788">
        <v>0.88</v>
      </c>
      <c r="G549" s="32">
        <v>6</v>
      </c>
      <c r="H549" s="788">
        <v>5.28</v>
      </c>
      <c r="I549" s="788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99"/>
      <c r="R549" s="799"/>
      <c r="S549" s="799"/>
      <c r="T549" s="800"/>
      <c r="U549" s="34"/>
      <c r="V549" s="34"/>
      <c r="W549" s="35" t="s">
        <v>69</v>
      </c>
      <c r="X549" s="789">
        <v>0</v>
      </c>
      <c r="Y549" s="790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862</v>
      </c>
      <c r="B550" s="54" t="s">
        <v>863</v>
      </c>
      <c r="C550" s="31">
        <v>4301011774</v>
      </c>
      <c r="D550" s="793">
        <v>4680115884502</v>
      </c>
      <c r="E550" s="794"/>
      <c r="F550" s="788">
        <v>0.88</v>
      </c>
      <c r="G550" s="32">
        <v>6</v>
      </c>
      <c r="H550" s="788">
        <v>5.28</v>
      </c>
      <c r="I550" s="788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99"/>
      <c r="R550" s="799"/>
      <c r="S550" s="799"/>
      <c r="T550" s="800"/>
      <c r="U550" s="34"/>
      <c r="V550" s="34"/>
      <c r="W550" s="35" t="s">
        <v>69</v>
      </c>
      <c r="X550" s="789">
        <v>0</v>
      </c>
      <c r="Y550" s="790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865</v>
      </c>
      <c r="B551" s="54" t="s">
        <v>866</v>
      </c>
      <c r="C551" s="31">
        <v>4301011771</v>
      </c>
      <c r="D551" s="793">
        <v>4607091389104</v>
      </c>
      <c r="E551" s="794"/>
      <c r="F551" s="788">
        <v>0.88</v>
      </c>
      <c r="G551" s="32">
        <v>6</v>
      </c>
      <c r="H551" s="788">
        <v>5.28</v>
      </c>
      <c r="I551" s="788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99"/>
      <c r="R551" s="799"/>
      <c r="S551" s="799"/>
      <c r="T551" s="800"/>
      <c r="U551" s="34"/>
      <c r="V551" s="34"/>
      <c r="W551" s="35" t="s">
        <v>69</v>
      </c>
      <c r="X551" s="789">
        <v>200</v>
      </c>
      <c r="Y551" s="790">
        <f t="shared" si="109"/>
        <v>200.64000000000001</v>
      </c>
      <c r="Z551" s="36">
        <f t="shared" si="110"/>
        <v>0.45448</v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213.63636363636363</v>
      </c>
      <c r="BN551" s="64">
        <f t="shared" si="112"/>
        <v>214.32</v>
      </c>
      <c r="BO551" s="64">
        <f t="shared" si="113"/>
        <v>0.36421911421911418</v>
      </c>
      <c r="BP551" s="64">
        <f t="shared" si="114"/>
        <v>0.36538461538461542</v>
      </c>
    </row>
    <row r="552" spans="1:68" ht="16.5" customHeight="1" x14ac:dyDescent="0.25">
      <c r="A552" s="54" t="s">
        <v>868</v>
      </c>
      <c r="B552" s="54" t="s">
        <v>869</v>
      </c>
      <c r="C552" s="31">
        <v>4301011799</v>
      </c>
      <c r="D552" s="793">
        <v>4680115884519</v>
      </c>
      <c r="E552" s="794"/>
      <c r="F552" s="788">
        <v>0.88</v>
      </c>
      <c r="G552" s="32">
        <v>6</v>
      </c>
      <c r="H552" s="788">
        <v>5.28</v>
      </c>
      <c r="I552" s="788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99"/>
      <c r="R552" s="799"/>
      <c r="S552" s="799"/>
      <c r="T552" s="800"/>
      <c r="U552" s="34"/>
      <c r="V552" s="34"/>
      <c r="W552" s="35" t="s">
        <v>69</v>
      </c>
      <c r="X552" s="789">
        <v>0</v>
      </c>
      <c r="Y552" s="790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4301011376</v>
      </c>
      <c r="D553" s="793">
        <v>4680115885226</v>
      </c>
      <c r="E553" s="794"/>
      <c r="F553" s="788">
        <v>0.88</v>
      </c>
      <c r="G553" s="32">
        <v>6</v>
      </c>
      <c r="H553" s="788">
        <v>5.28</v>
      </c>
      <c r="I553" s="788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99"/>
      <c r="R553" s="799"/>
      <c r="S553" s="799"/>
      <c r="T553" s="800"/>
      <c r="U553" s="34"/>
      <c r="V553" s="34"/>
      <c r="W553" s="35" t="s">
        <v>69</v>
      </c>
      <c r="X553" s="789">
        <v>150</v>
      </c>
      <c r="Y553" s="790">
        <f t="shared" si="109"/>
        <v>153.12</v>
      </c>
      <c r="Z553" s="36">
        <f t="shared" si="110"/>
        <v>0.34683999999999998</v>
      </c>
      <c r="AA553" s="56"/>
      <c r="AB553" s="57"/>
      <c r="AC553" s="643" t="s">
        <v>873</v>
      </c>
      <c r="AG553" s="64"/>
      <c r="AJ553" s="68"/>
      <c r="AK553" s="68">
        <v>0</v>
      </c>
      <c r="BB553" s="644" t="s">
        <v>1</v>
      </c>
      <c r="BM553" s="64">
        <f t="shared" si="111"/>
        <v>160.22727272727272</v>
      </c>
      <c r="BN553" s="64">
        <f t="shared" si="112"/>
        <v>163.56</v>
      </c>
      <c r="BO553" s="64">
        <f t="shared" si="113"/>
        <v>0.27316433566433568</v>
      </c>
      <c r="BP553" s="64">
        <f t="shared" si="114"/>
        <v>0.27884615384615385</v>
      </c>
    </row>
    <row r="554" spans="1:68" ht="27" customHeight="1" x14ac:dyDescent="0.25">
      <c r="A554" s="54" t="s">
        <v>874</v>
      </c>
      <c r="B554" s="54" t="s">
        <v>875</v>
      </c>
      <c r="C554" s="31">
        <v>4301011778</v>
      </c>
      <c r="D554" s="793">
        <v>4680115880603</v>
      </c>
      <c r="E554" s="794"/>
      <c r="F554" s="788">
        <v>0.6</v>
      </c>
      <c r="G554" s="32">
        <v>6</v>
      </c>
      <c r="H554" s="788">
        <v>3.6</v>
      </c>
      <c r="I554" s="788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99"/>
      <c r="R554" s="799"/>
      <c r="S554" s="799"/>
      <c r="T554" s="800"/>
      <c r="U554" s="34"/>
      <c r="V554" s="34"/>
      <c r="W554" s="35" t="s">
        <v>69</v>
      </c>
      <c r="X554" s="789">
        <v>120</v>
      </c>
      <c r="Y554" s="790">
        <f t="shared" si="109"/>
        <v>122.4</v>
      </c>
      <c r="Z554" s="36">
        <f>IFERROR(IF(Y554=0,"",ROUNDUP(Y554/H554,0)*0.00902),"")</f>
        <v>0.30668000000000001</v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127</v>
      </c>
      <c r="BN554" s="64">
        <f t="shared" si="112"/>
        <v>129.54000000000002</v>
      </c>
      <c r="BO554" s="64">
        <f t="shared" si="113"/>
        <v>0.25252525252525254</v>
      </c>
      <c r="BP554" s="64">
        <f t="shared" si="114"/>
        <v>0.25757575757575757</v>
      </c>
    </row>
    <row r="555" spans="1:68" ht="27" customHeight="1" x14ac:dyDescent="0.25">
      <c r="A555" s="54" t="s">
        <v>874</v>
      </c>
      <c r="B555" s="54" t="s">
        <v>876</v>
      </c>
      <c r="C555" s="31">
        <v>4301012035</v>
      </c>
      <c r="D555" s="793">
        <v>4680115880603</v>
      </c>
      <c r="E555" s="794"/>
      <c r="F555" s="788">
        <v>0.6</v>
      </c>
      <c r="G555" s="32">
        <v>8</v>
      </c>
      <c r="H555" s="788">
        <v>4.8</v>
      </c>
      <c r="I555" s="788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99"/>
      <c r="R555" s="799"/>
      <c r="S555" s="799"/>
      <c r="T555" s="800"/>
      <c r="U555" s="34"/>
      <c r="V555" s="34"/>
      <c r="W555" s="35" t="s">
        <v>69</v>
      </c>
      <c r="X555" s="789">
        <v>0</v>
      </c>
      <c r="Y555" s="790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877</v>
      </c>
      <c r="B556" s="54" t="s">
        <v>878</v>
      </c>
      <c r="C556" s="31">
        <v>4301012036</v>
      </c>
      <c r="D556" s="793">
        <v>4680115882782</v>
      </c>
      <c r="E556" s="794"/>
      <c r="F556" s="788">
        <v>0.6</v>
      </c>
      <c r="G556" s="32">
        <v>8</v>
      </c>
      <c r="H556" s="788">
        <v>4.8</v>
      </c>
      <c r="I556" s="788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99"/>
      <c r="R556" s="799"/>
      <c r="S556" s="799"/>
      <c r="T556" s="800"/>
      <c r="U556" s="34"/>
      <c r="V556" s="34"/>
      <c r="W556" s="35" t="s">
        <v>69</v>
      </c>
      <c r="X556" s="789">
        <v>0</v>
      </c>
      <c r="Y556" s="790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861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4301012050</v>
      </c>
      <c r="D557" s="793">
        <v>4680115885479</v>
      </c>
      <c r="E557" s="794"/>
      <c r="F557" s="788">
        <v>0.4</v>
      </c>
      <c r="G557" s="32">
        <v>6</v>
      </c>
      <c r="H557" s="788">
        <v>2.4</v>
      </c>
      <c r="I557" s="788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35" t="s">
        <v>881</v>
      </c>
      <c r="Q557" s="799"/>
      <c r="R557" s="799"/>
      <c r="S557" s="799"/>
      <c r="T557" s="800"/>
      <c r="U557" s="34"/>
      <c r="V557" s="34"/>
      <c r="W557" s="35" t="s">
        <v>69</v>
      </c>
      <c r="X557" s="789">
        <v>0</v>
      </c>
      <c r="Y557" s="790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867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882</v>
      </c>
      <c r="B558" s="54" t="s">
        <v>883</v>
      </c>
      <c r="C558" s="31">
        <v>4301011784</v>
      </c>
      <c r="D558" s="793">
        <v>4607091389982</v>
      </c>
      <c r="E558" s="794"/>
      <c r="F558" s="788">
        <v>0.6</v>
      </c>
      <c r="G558" s="32">
        <v>6</v>
      </c>
      <c r="H558" s="788">
        <v>3.6</v>
      </c>
      <c r="I558" s="788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9"/>
      <c r="R558" s="799"/>
      <c r="S558" s="799"/>
      <c r="T558" s="800"/>
      <c r="U558" s="34"/>
      <c r="V558" s="34"/>
      <c r="W558" s="35" t="s">
        <v>69</v>
      </c>
      <c r="X558" s="789">
        <v>150</v>
      </c>
      <c r="Y558" s="790">
        <f t="shared" si="109"/>
        <v>151.20000000000002</v>
      </c>
      <c r="Z558" s="36">
        <f>IFERROR(IF(Y558=0,"",ROUNDUP(Y558/H558,0)*0.00902),"")</f>
        <v>0.37884000000000001</v>
      </c>
      <c r="AA558" s="56"/>
      <c r="AB558" s="57"/>
      <c r="AC558" s="653" t="s">
        <v>867</v>
      </c>
      <c r="AG558" s="64"/>
      <c r="AJ558" s="68"/>
      <c r="AK558" s="68">
        <v>0</v>
      </c>
      <c r="BB558" s="654" t="s">
        <v>1</v>
      </c>
      <c r="BM558" s="64">
        <f t="shared" si="111"/>
        <v>158.75</v>
      </c>
      <c r="BN558" s="64">
        <f t="shared" si="112"/>
        <v>160.02000000000004</v>
      </c>
      <c r="BO558" s="64">
        <f t="shared" si="113"/>
        <v>0.31565656565656564</v>
      </c>
      <c r="BP558" s="64">
        <f t="shared" si="114"/>
        <v>0.31818181818181823</v>
      </c>
    </row>
    <row r="559" spans="1:68" ht="27" customHeight="1" x14ac:dyDescent="0.25">
      <c r="A559" s="54" t="s">
        <v>882</v>
      </c>
      <c r="B559" s="54" t="s">
        <v>884</v>
      </c>
      <c r="C559" s="31">
        <v>4301012034</v>
      </c>
      <c r="D559" s="793">
        <v>4607091389982</v>
      </c>
      <c r="E559" s="794"/>
      <c r="F559" s="788">
        <v>0.6</v>
      </c>
      <c r="G559" s="32">
        <v>8</v>
      </c>
      <c r="H559" s="788">
        <v>4.8</v>
      </c>
      <c r="I559" s="788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99"/>
      <c r="R559" s="799"/>
      <c r="S559" s="799"/>
      <c r="T559" s="800"/>
      <c r="U559" s="34"/>
      <c r="V559" s="34"/>
      <c r="W559" s="35" t="s">
        <v>69</v>
      </c>
      <c r="X559" s="789">
        <v>0</v>
      </c>
      <c r="Y559" s="790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867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4301012057</v>
      </c>
      <c r="D560" s="793">
        <v>4680115886483</v>
      </c>
      <c r="E560" s="794"/>
      <c r="F560" s="788">
        <v>0.55000000000000004</v>
      </c>
      <c r="G560" s="32">
        <v>8</v>
      </c>
      <c r="H560" s="788">
        <v>4.4000000000000004</v>
      </c>
      <c r="I560" s="788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41" t="s">
        <v>887</v>
      </c>
      <c r="Q560" s="799"/>
      <c r="R560" s="799"/>
      <c r="S560" s="799"/>
      <c r="T560" s="800"/>
      <c r="U560" s="34"/>
      <c r="V560" s="34"/>
      <c r="W560" s="35" t="s">
        <v>69</v>
      </c>
      <c r="X560" s="789">
        <v>0</v>
      </c>
      <c r="Y560" s="790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864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4301012058</v>
      </c>
      <c r="D561" s="793">
        <v>4680115886490</v>
      </c>
      <c r="E561" s="794"/>
      <c r="F561" s="788">
        <v>0.55000000000000004</v>
      </c>
      <c r="G561" s="32">
        <v>8</v>
      </c>
      <c r="H561" s="788">
        <v>4.4000000000000004</v>
      </c>
      <c r="I561" s="788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73" t="s">
        <v>890</v>
      </c>
      <c r="Q561" s="799"/>
      <c r="R561" s="799"/>
      <c r="S561" s="799"/>
      <c r="T561" s="800"/>
      <c r="U561" s="34"/>
      <c r="V561" s="34"/>
      <c r="W561" s="35" t="s">
        <v>69</v>
      </c>
      <c r="X561" s="789">
        <v>0</v>
      </c>
      <c r="Y561" s="790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891</v>
      </c>
      <c r="B562" s="54" t="s">
        <v>892</v>
      </c>
      <c r="C562" s="31">
        <v>4301012055</v>
      </c>
      <c r="D562" s="793">
        <v>4680115886469</v>
      </c>
      <c r="E562" s="794"/>
      <c r="F562" s="788">
        <v>0.55000000000000004</v>
      </c>
      <c r="G562" s="32">
        <v>8</v>
      </c>
      <c r="H562" s="788">
        <v>4.4000000000000004</v>
      </c>
      <c r="I562" s="788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13" t="s">
        <v>893</v>
      </c>
      <c r="Q562" s="799"/>
      <c r="R562" s="799"/>
      <c r="S562" s="799"/>
      <c r="T562" s="800"/>
      <c r="U562" s="34"/>
      <c r="V562" s="34"/>
      <c r="W562" s="35" t="s">
        <v>69</v>
      </c>
      <c r="X562" s="789">
        <v>0</v>
      </c>
      <c r="Y562" s="790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873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808"/>
      <c r="B563" s="809"/>
      <c r="C563" s="809"/>
      <c r="D563" s="809"/>
      <c r="E563" s="809"/>
      <c r="F563" s="809"/>
      <c r="G563" s="809"/>
      <c r="H563" s="809"/>
      <c r="I563" s="809"/>
      <c r="J563" s="809"/>
      <c r="K563" s="809"/>
      <c r="L563" s="809"/>
      <c r="M563" s="809"/>
      <c r="N563" s="809"/>
      <c r="O563" s="810"/>
      <c r="P563" s="795" t="s">
        <v>71</v>
      </c>
      <c r="Q563" s="796"/>
      <c r="R563" s="796"/>
      <c r="S563" s="796"/>
      <c r="T563" s="796"/>
      <c r="U563" s="796"/>
      <c r="V563" s="797"/>
      <c r="W563" s="37" t="s">
        <v>72</v>
      </c>
      <c r="X563" s="79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169.69696969696969</v>
      </c>
      <c r="Y563" s="79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172</v>
      </c>
      <c r="Z563" s="79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1.8336800000000002</v>
      </c>
      <c r="AA563" s="792"/>
      <c r="AB563" s="792"/>
      <c r="AC563" s="792"/>
    </row>
    <row r="564" spans="1:68" x14ac:dyDescent="0.2">
      <c r="A564" s="809"/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10"/>
      <c r="P564" s="795" t="s">
        <v>71</v>
      </c>
      <c r="Q564" s="796"/>
      <c r="R564" s="796"/>
      <c r="S564" s="796"/>
      <c r="T564" s="796"/>
      <c r="U564" s="796"/>
      <c r="V564" s="797"/>
      <c r="W564" s="37" t="s">
        <v>69</v>
      </c>
      <c r="X564" s="791">
        <f>IFERROR(SUM(X548:X562),"0")</f>
        <v>770</v>
      </c>
      <c r="Y564" s="791">
        <f>IFERROR(SUM(Y548:Y562),"0")</f>
        <v>780.48</v>
      </c>
      <c r="Z564" s="37"/>
      <c r="AA564" s="792"/>
      <c r="AB564" s="792"/>
      <c r="AC564" s="792"/>
    </row>
    <row r="565" spans="1:68" ht="14.25" customHeight="1" x14ac:dyDescent="0.25">
      <c r="A565" s="811" t="s">
        <v>166</v>
      </c>
      <c r="B565" s="809"/>
      <c r="C565" s="809"/>
      <c r="D565" s="809"/>
      <c r="E565" s="809"/>
      <c r="F565" s="809"/>
      <c r="G565" s="809"/>
      <c r="H565" s="809"/>
      <c r="I565" s="809"/>
      <c r="J565" s="809"/>
      <c r="K565" s="809"/>
      <c r="L565" s="809"/>
      <c r="M565" s="809"/>
      <c r="N565" s="809"/>
      <c r="O565" s="809"/>
      <c r="P565" s="809"/>
      <c r="Q565" s="809"/>
      <c r="R565" s="809"/>
      <c r="S565" s="809"/>
      <c r="T565" s="809"/>
      <c r="U565" s="809"/>
      <c r="V565" s="809"/>
      <c r="W565" s="809"/>
      <c r="X565" s="809"/>
      <c r="Y565" s="809"/>
      <c r="Z565" s="809"/>
      <c r="AA565" s="785"/>
      <c r="AB565" s="785"/>
      <c r="AC565" s="785"/>
    </row>
    <row r="566" spans="1:68" ht="16.5" customHeight="1" x14ac:dyDescent="0.25">
      <c r="A566" s="54" t="s">
        <v>894</v>
      </c>
      <c r="B566" s="54" t="s">
        <v>895</v>
      </c>
      <c r="C566" s="31">
        <v>4301020222</v>
      </c>
      <c r="D566" s="793">
        <v>4607091388930</v>
      </c>
      <c r="E566" s="794"/>
      <c r="F566" s="788">
        <v>0.88</v>
      </c>
      <c r="G566" s="32">
        <v>6</v>
      </c>
      <c r="H566" s="788">
        <v>5.28</v>
      </c>
      <c r="I566" s="788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9"/>
      <c r="R566" s="799"/>
      <c r="S566" s="799"/>
      <c r="T566" s="800"/>
      <c r="U566" s="34"/>
      <c r="V566" s="34"/>
      <c r="W566" s="35" t="s">
        <v>69</v>
      </c>
      <c r="X566" s="789">
        <v>100</v>
      </c>
      <c r="Y566" s="790">
        <f>IFERROR(IF(X566="",0,CEILING((X566/$H566),1)*$H566),"")</f>
        <v>100.32000000000001</v>
      </c>
      <c r="Z566" s="36">
        <f>IFERROR(IF(Y566=0,"",ROUNDUP(Y566/H566,0)*0.01196),"")</f>
        <v>0.22724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106.81818181818181</v>
      </c>
      <c r="BN566" s="64">
        <f>IFERROR(Y566*I566/H566,"0")</f>
        <v>107.16</v>
      </c>
      <c r="BO566" s="64">
        <f>IFERROR(1/J566*(X566/H566),"0")</f>
        <v>0.18210955710955709</v>
      </c>
      <c r="BP566" s="64">
        <f>IFERROR(1/J566*(Y566/H566),"0")</f>
        <v>0.18269230769230771</v>
      </c>
    </row>
    <row r="567" spans="1:68" ht="16.5" customHeight="1" x14ac:dyDescent="0.25">
      <c r="A567" s="54" t="s">
        <v>894</v>
      </c>
      <c r="B567" s="54" t="s">
        <v>897</v>
      </c>
      <c r="C567" s="31">
        <v>4301020334</v>
      </c>
      <c r="D567" s="793">
        <v>4607091388930</v>
      </c>
      <c r="E567" s="794"/>
      <c r="F567" s="788">
        <v>0.88</v>
      </c>
      <c r="G567" s="32">
        <v>6</v>
      </c>
      <c r="H567" s="788">
        <v>5.28</v>
      </c>
      <c r="I567" s="788">
        <v>5.64</v>
      </c>
      <c r="J567" s="32">
        <v>104</v>
      </c>
      <c r="K567" s="32" t="s">
        <v>116</v>
      </c>
      <c r="L567" s="32"/>
      <c r="M567" s="33" t="s">
        <v>77</v>
      </c>
      <c r="N567" s="33"/>
      <c r="O567" s="32">
        <v>70</v>
      </c>
      <c r="P567" s="1105" t="s">
        <v>898</v>
      </c>
      <c r="Q567" s="799"/>
      <c r="R567" s="799"/>
      <c r="S567" s="799"/>
      <c r="T567" s="800"/>
      <c r="U567" s="34"/>
      <c r="V567" s="34"/>
      <c r="W567" s="35" t="s">
        <v>69</v>
      </c>
      <c r="X567" s="789">
        <v>0</v>
      </c>
      <c r="Y567" s="790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899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900</v>
      </c>
      <c r="B568" s="54" t="s">
        <v>901</v>
      </c>
      <c r="C568" s="31">
        <v>4301020206</v>
      </c>
      <c r="D568" s="793">
        <v>4680115880054</v>
      </c>
      <c r="E568" s="794"/>
      <c r="F568" s="788">
        <v>0.6</v>
      </c>
      <c r="G568" s="32">
        <v>6</v>
      </c>
      <c r="H568" s="788">
        <v>3.6</v>
      </c>
      <c r="I568" s="788">
        <v>3.81</v>
      </c>
      <c r="J568" s="32">
        <v>132</v>
      </c>
      <c r="K568" s="32" t="s">
        <v>126</v>
      </c>
      <c r="L568" s="32"/>
      <c r="M568" s="33" t="s">
        <v>117</v>
      </c>
      <c r="N568" s="33"/>
      <c r="O568" s="32">
        <v>55</v>
      </c>
      <c r="P568" s="12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99"/>
      <c r="R568" s="799"/>
      <c r="S568" s="799"/>
      <c r="T568" s="800"/>
      <c r="U568" s="34"/>
      <c r="V568" s="34"/>
      <c r="W568" s="35" t="s">
        <v>69</v>
      </c>
      <c r="X568" s="789">
        <v>0</v>
      </c>
      <c r="Y568" s="790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896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900</v>
      </c>
      <c r="B569" s="54" t="s">
        <v>902</v>
      </c>
      <c r="C569" s="31">
        <v>4301020364</v>
      </c>
      <c r="D569" s="793">
        <v>4680115880054</v>
      </c>
      <c r="E569" s="794"/>
      <c r="F569" s="788">
        <v>0.6</v>
      </c>
      <c r="G569" s="32">
        <v>8</v>
      </c>
      <c r="H569" s="788">
        <v>4.8</v>
      </c>
      <c r="I569" s="788">
        <v>6.96</v>
      </c>
      <c r="J569" s="32">
        <v>120</v>
      </c>
      <c r="K569" s="32" t="s">
        <v>126</v>
      </c>
      <c r="L569" s="32"/>
      <c r="M569" s="33" t="s">
        <v>117</v>
      </c>
      <c r="N569" s="33"/>
      <c r="O569" s="32">
        <v>55</v>
      </c>
      <c r="P569" s="111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99"/>
      <c r="R569" s="799"/>
      <c r="S569" s="799"/>
      <c r="T569" s="800"/>
      <c r="U569" s="34"/>
      <c r="V569" s="34"/>
      <c r="W569" s="35" t="s">
        <v>69</v>
      </c>
      <c r="X569" s="789">
        <v>0</v>
      </c>
      <c r="Y569" s="790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900</v>
      </c>
      <c r="B570" s="54" t="s">
        <v>903</v>
      </c>
      <c r="C570" s="31">
        <v>4301020385</v>
      </c>
      <c r="D570" s="793">
        <v>4680115880054</v>
      </c>
      <c r="E570" s="794"/>
      <c r="F570" s="788">
        <v>0.6</v>
      </c>
      <c r="G570" s="32">
        <v>8</v>
      </c>
      <c r="H570" s="788">
        <v>4.8</v>
      </c>
      <c r="I570" s="788">
        <v>6.93</v>
      </c>
      <c r="J570" s="32">
        <v>132</v>
      </c>
      <c r="K570" s="32" t="s">
        <v>126</v>
      </c>
      <c r="L570" s="32"/>
      <c r="M570" s="33" t="s">
        <v>117</v>
      </c>
      <c r="N570" s="33"/>
      <c r="O570" s="32">
        <v>70</v>
      </c>
      <c r="P570" s="859" t="s">
        <v>904</v>
      </c>
      <c r="Q570" s="799"/>
      <c r="R570" s="799"/>
      <c r="S570" s="799"/>
      <c r="T570" s="800"/>
      <c r="U570" s="34"/>
      <c r="V570" s="34"/>
      <c r="W570" s="35" t="s">
        <v>69</v>
      </c>
      <c r="X570" s="789">
        <v>0</v>
      </c>
      <c r="Y570" s="790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71" t="s">
        <v>899</v>
      </c>
      <c r="AG570" s="64"/>
      <c r="AJ570" s="68"/>
      <c r="AK570" s="68">
        <v>0</v>
      </c>
      <c r="BB570" s="67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808"/>
      <c r="B571" s="809"/>
      <c r="C571" s="809"/>
      <c r="D571" s="809"/>
      <c r="E571" s="809"/>
      <c r="F571" s="809"/>
      <c r="G571" s="809"/>
      <c r="H571" s="809"/>
      <c r="I571" s="809"/>
      <c r="J571" s="809"/>
      <c r="K571" s="809"/>
      <c r="L571" s="809"/>
      <c r="M571" s="809"/>
      <c r="N571" s="809"/>
      <c r="O571" s="810"/>
      <c r="P571" s="795" t="s">
        <v>71</v>
      </c>
      <c r="Q571" s="796"/>
      <c r="R571" s="796"/>
      <c r="S571" s="796"/>
      <c r="T571" s="796"/>
      <c r="U571" s="796"/>
      <c r="V571" s="797"/>
      <c r="W571" s="37" t="s">
        <v>72</v>
      </c>
      <c r="X571" s="791">
        <f>IFERROR(X566/H566,"0")+IFERROR(X567/H567,"0")+IFERROR(X568/H568,"0")+IFERROR(X569/H569,"0")+IFERROR(X570/H570,"0")</f>
        <v>18.939393939393938</v>
      </c>
      <c r="Y571" s="791">
        <f>IFERROR(Y566/H566,"0")+IFERROR(Y567/H567,"0")+IFERROR(Y568/H568,"0")+IFERROR(Y569/H569,"0")+IFERROR(Y570/H570,"0")</f>
        <v>19</v>
      </c>
      <c r="Z571" s="791">
        <f>IFERROR(IF(Z566="",0,Z566),"0")+IFERROR(IF(Z567="",0,Z567),"0")+IFERROR(IF(Z568="",0,Z568),"0")+IFERROR(IF(Z569="",0,Z569),"0")+IFERROR(IF(Z570="",0,Z570),"0")</f>
        <v>0.22724</v>
      </c>
      <c r="AA571" s="792"/>
      <c r="AB571" s="792"/>
      <c r="AC571" s="792"/>
    </row>
    <row r="572" spans="1:68" x14ac:dyDescent="0.2">
      <c r="A572" s="809"/>
      <c r="B572" s="809"/>
      <c r="C572" s="809"/>
      <c r="D572" s="809"/>
      <c r="E572" s="809"/>
      <c r="F572" s="809"/>
      <c r="G572" s="809"/>
      <c r="H572" s="809"/>
      <c r="I572" s="809"/>
      <c r="J572" s="809"/>
      <c r="K572" s="809"/>
      <c r="L572" s="809"/>
      <c r="M572" s="809"/>
      <c r="N572" s="809"/>
      <c r="O572" s="810"/>
      <c r="P572" s="795" t="s">
        <v>71</v>
      </c>
      <c r="Q572" s="796"/>
      <c r="R572" s="796"/>
      <c r="S572" s="796"/>
      <c r="T572" s="796"/>
      <c r="U572" s="796"/>
      <c r="V572" s="797"/>
      <c r="W572" s="37" t="s">
        <v>69</v>
      </c>
      <c r="X572" s="791">
        <f>IFERROR(SUM(X566:X570),"0")</f>
        <v>100</v>
      </c>
      <c r="Y572" s="791">
        <f>IFERROR(SUM(Y566:Y570),"0")</f>
        <v>100.32000000000001</v>
      </c>
      <c r="Z572" s="37"/>
      <c r="AA572" s="792"/>
      <c r="AB572" s="792"/>
      <c r="AC572" s="792"/>
    </row>
    <row r="573" spans="1:68" ht="14.25" customHeight="1" x14ac:dyDescent="0.25">
      <c r="A573" s="811" t="s">
        <v>64</v>
      </c>
      <c r="B573" s="809"/>
      <c r="C573" s="809"/>
      <c r="D573" s="809"/>
      <c r="E573" s="809"/>
      <c r="F573" s="809"/>
      <c r="G573" s="809"/>
      <c r="H573" s="809"/>
      <c r="I573" s="809"/>
      <c r="J573" s="809"/>
      <c r="K573" s="809"/>
      <c r="L573" s="809"/>
      <c r="M573" s="809"/>
      <c r="N573" s="809"/>
      <c r="O573" s="809"/>
      <c r="P573" s="809"/>
      <c r="Q573" s="809"/>
      <c r="R573" s="809"/>
      <c r="S573" s="809"/>
      <c r="T573" s="809"/>
      <c r="U573" s="809"/>
      <c r="V573" s="809"/>
      <c r="W573" s="809"/>
      <c r="X573" s="809"/>
      <c r="Y573" s="809"/>
      <c r="Z573" s="809"/>
      <c r="AA573" s="785"/>
      <c r="AB573" s="785"/>
      <c r="AC573" s="785"/>
    </row>
    <row r="574" spans="1:68" ht="27" customHeight="1" x14ac:dyDescent="0.25">
      <c r="A574" s="54" t="s">
        <v>905</v>
      </c>
      <c r="B574" s="54" t="s">
        <v>906</v>
      </c>
      <c r="C574" s="31">
        <v>4301031349</v>
      </c>
      <c r="D574" s="793">
        <v>4680115883116</v>
      </c>
      <c r="E574" s="794"/>
      <c r="F574" s="788">
        <v>0.88</v>
      </c>
      <c r="G574" s="32">
        <v>6</v>
      </c>
      <c r="H574" s="788">
        <v>5.28</v>
      </c>
      <c r="I574" s="788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70</v>
      </c>
      <c r="P574" s="950" t="s">
        <v>907</v>
      </c>
      <c r="Q574" s="799"/>
      <c r="R574" s="799"/>
      <c r="S574" s="799"/>
      <c r="T574" s="800"/>
      <c r="U574" s="34"/>
      <c r="V574" s="34"/>
      <c r="W574" s="35" t="s">
        <v>69</v>
      </c>
      <c r="X574" s="789">
        <v>0</v>
      </c>
      <c r="Y574" s="790">
        <f t="shared" ref="Y574:Y586" si="115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73" t="s">
        <v>908</v>
      </c>
      <c r="AG574" s="64"/>
      <c r="AJ574" s="68"/>
      <c r="AK574" s="68">
        <v>0</v>
      </c>
      <c r="BB574" s="674" t="s">
        <v>1</v>
      </c>
      <c r="BM574" s="64">
        <f t="shared" ref="BM574:BM586" si="116">IFERROR(X574*I574/H574,"0")</f>
        <v>0</v>
      </c>
      <c r="BN574" s="64">
        <f t="shared" ref="BN574:BN586" si="117">IFERROR(Y574*I574/H574,"0")</f>
        <v>0</v>
      </c>
      <c r="BO574" s="64">
        <f t="shared" ref="BO574:BO586" si="118">IFERROR(1/J574*(X574/H574),"0")</f>
        <v>0</v>
      </c>
      <c r="BP574" s="64">
        <f t="shared" ref="BP574:BP586" si="119">IFERROR(1/J574*(Y574/H574),"0")</f>
        <v>0</v>
      </c>
    </row>
    <row r="575" spans="1:68" ht="27" customHeight="1" x14ac:dyDescent="0.25">
      <c r="A575" s="54" t="s">
        <v>905</v>
      </c>
      <c r="B575" s="54" t="s">
        <v>909</v>
      </c>
      <c r="C575" s="31">
        <v>4301031252</v>
      </c>
      <c r="D575" s="793">
        <v>4680115883116</v>
      </c>
      <c r="E575" s="794"/>
      <c r="F575" s="788">
        <v>0.88</v>
      </c>
      <c r="G575" s="32">
        <v>6</v>
      </c>
      <c r="H575" s="788">
        <v>5.28</v>
      </c>
      <c r="I575" s="788">
        <v>5.64</v>
      </c>
      <c r="J575" s="32">
        <v>104</v>
      </c>
      <c r="K575" s="32" t="s">
        <v>116</v>
      </c>
      <c r="L575" s="32"/>
      <c r="M575" s="33" t="s">
        <v>117</v>
      </c>
      <c r="N575" s="33"/>
      <c r="O575" s="32">
        <v>60</v>
      </c>
      <c r="P575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9"/>
      <c r="R575" s="799"/>
      <c r="S575" s="799"/>
      <c r="T575" s="800"/>
      <c r="U575" s="34"/>
      <c r="V575" s="34"/>
      <c r="W575" s="35" t="s">
        <v>69</v>
      </c>
      <c r="X575" s="789">
        <v>90</v>
      </c>
      <c r="Y575" s="790">
        <f t="shared" si="115"/>
        <v>95.04</v>
      </c>
      <c r="Z575" s="36">
        <f>IFERROR(IF(Y575=0,"",ROUNDUP(Y575/H575,0)*0.01196),"")</f>
        <v>0.21528</v>
      </c>
      <c r="AA575" s="56"/>
      <c r="AB575" s="57"/>
      <c r="AC575" s="675" t="s">
        <v>910</v>
      </c>
      <c r="AG575" s="64"/>
      <c r="AJ575" s="68"/>
      <c r="AK575" s="68">
        <v>0</v>
      </c>
      <c r="BB575" s="676" t="s">
        <v>1</v>
      </c>
      <c r="BM575" s="64">
        <f t="shared" si="116"/>
        <v>96.136363636363626</v>
      </c>
      <c r="BN575" s="64">
        <f t="shared" si="117"/>
        <v>101.52000000000001</v>
      </c>
      <c r="BO575" s="64">
        <f t="shared" si="118"/>
        <v>0.16389860139860138</v>
      </c>
      <c r="BP575" s="64">
        <f t="shared" si="119"/>
        <v>0.17307692307692307</v>
      </c>
    </row>
    <row r="576" spans="1:68" ht="27" customHeight="1" x14ac:dyDescent="0.25">
      <c r="A576" s="54" t="s">
        <v>911</v>
      </c>
      <c r="B576" s="54" t="s">
        <v>912</v>
      </c>
      <c r="C576" s="31">
        <v>4301031350</v>
      </c>
      <c r="D576" s="793">
        <v>4680115883093</v>
      </c>
      <c r="E576" s="794"/>
      <c r="F576" s="788">
        <v>0.88</v>
      </c>
      <c r="G576" s="32">
        <v>6</v>
      </c>
      <c r="H576" s="788">
        <v>5.28</v>
      </c>
      <c r="I576" s="788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70</v>
      </c>
      <c r="P576" s="1157" t="s">
        <v>913</v>
      </c>
      <c r="Q576" s="799"/>
      <c r="R576" s="799"/>
      <c r="S576" s="799"/>
      <c r="T576" s="800"/>
      <c r="U576" s="34" t="s">
        <v>914</v>
      </c>
      <c r="V576" s="34"/>
      <c r="W576" s="35" t="s">
        <v>69</v>
      </c>
      <c r="X576" s="789">
        <v>0</v>
      </c>
      <c r="Y576" s="790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915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916</v>
      </c>
      <c r="C577" s="31">
        <v>4301031248</v>
      </c>
      <c r="D577" s="793">
        <v>4680115883093</v>
      </c>
      <c r="E577" s="794"/>
      <c r="F577" s="788">
        <v>0.88</v>
      </c>
      <c r="G577" s="32">
        <v>6</v>
      </c>
      <c r="H577" s="788">
        <v>5.28</v>
      </c>
      <c r="I577" s="788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9"/>
      <c r="R577" s="799"/>
      <c r="S577" s="799"/>
      <c r="T577" s="800"/>
      <c r="U577" s="34"/>
      <c r="V577" s="34"/>
      <c r="W577" s="35" t="s">
        <v>69</v>
      </c>
      <c r="X577" s="789">
        <v>130</v>
      </c>
      <c r="Y577" s="790">
        <f t="shared" si="115"/>
        <v>132</v>
      </c>
      <c r="Z577" s="36">
        <f>IFERROR(IF(Y577=0,"",ROUNDUP(Y577/H577,0)*0.01196),"")</f>
        <v>0.29899999999999999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138.86363636363635</v>
      </c>
      <c r="BN577" s="64">
        <f t="shared" si="117"/>
        <v>140.99999999999997</v>
      </c>
      <c r="BO577" s="64">
        <f t="shared" si="118"/>
        <v>0.23674242424242425</v>
      </c>
      <c r="BP577" s="64">
        <f t="shared" si="119"/>
        <v>0.24038461538461539</v>
      </c>
    </row>
    <row r="578" spans="1:68" ht="27" customHeight="1" x14ac:dyDescent="0.25">
      <c r="A578" s="54" t="s">
        <v>918</v>
      </c>
      <c r="B578" s="54" t="s">
        <v>919</v>
      </c>
      <c r="C578" s="31">
        <v>4301031250</v>
      </c>
      <c r="D578" s="793">
        <v>4680115883109</v>
      </c>
      <c r="E578" s="794"/>
      <c r="F578" s="788">
        <v>0.88</v>
      </c>
      <c r="G578" s="32">
        <v>6</v>
      </c>
      <c r="H578" s="788">
        <v>5.28</v>
      </c>
      <c r="I578" s="788">
        <v>5.64</v>
      </c>
      <c r="J578" s="32">
        <v>104</v>
      </c>
      <c r="K578" s="32" t="s">
        <v>116</v>
      </c>
      <c r="L578" s="32"/>
      <c r="M578" s="33" t="s">
        <v>68</v>
      </c>
      <c r="N578" s="33"/>
      <c r="O578" s="32">
        <v>60</v>
      </c>
      <c r="P578" s="11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9"/>
      <c r="R578" s="799"/>
      <c r="S578" s="799"/>
      <c r="T578" s="800"/>
      <c r="U578" s="34"/>
      <c r="V578" s="34"/>
      <c r="W578" s="35" t="s">
        <v>69</v>
      </c>
      <c r="X578" s="789">
        <v>120</v>
      </c>
      <c r="Y578" s="790">
        <f t="shared" si="115"/>
        <v>121.44000000000001</v>
      </c>
      <c r="Z578" s="36">
        <f>IFERROR(IF(Y578=0,"",ROUNDUP(Y578/H578,0)*0.01196),"")</f>
        <v>0.27507999999999999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128.18181818181816</v>
      </c>
      <c r="BN578" s="64">
        <f t="shared" si="117"/>
        <v>129.72</v>
      </c>
      <c r="BO578" s="64">
        <f t="shared" si="118"/>
        <v>0.21853146853146854</v>
      </c>
      <c r="BP578" s="64">
        <f t="shared" si="119"/>
        <v>0.22115384615384617</v>
      </c>
    </row>
    <row r="579" spans="1:68" ht="27" customHeight="1" x14ac:dyDescent="0.25">
      <c r="A579" s="54" t="s">
        <v>921</v>
      </c>
      <c r="B579" s="54" t="s">
        <v>922</v>
      </c>
      <c r="C579" s="31">
        <v>4301031249</v>
      </c>
      <c r="D579" s="793">
        <v>4680115882072</v>
      </c>
      <c r="E579" s="794"/>
      <c r="F579" s="788">
        <v>0.6</v>
      </c>
      <c r="G579" s="32">
        <v>6</v>
      </c>
      <c r="H579" s="788">
        <v>3.6</v>
      </c>
      <c r="I579" s="788">
        <v>3.81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60</v>
      </c>
      <c r="P579" s="11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9"/>
      <c r="R579" s="799"/>
      <c r="S579" s="799"/>
      <c r="T579" s="800"/>
      <c r="U579" s="34"/>
      <c r="V579" s="34"/>
      <c r="W579" s="35" t="s">
        <v>69</v>
      </c>
      <c r="X579" s="789">
        <v>54</v>
      </c>
      <c r="Y579" s="790">
        <f t="shared" si="115"/>
        <v>54</v>
      </c>
      <c r="Z579" s="36">
        <f>IFERROR(IF(Y579=0,"",ROUNDUP(Y579/H579,0)*0.00902),"")</f>
        <v>0.1353</v>
      </c>
      <c r="AA579" s="56"/>
      <c r="AB579" s="57"/>
      <c r="AC579" s="683" t="s">
        <v>923</v>
      </c>
      <c r="AG579" s="64"/>
      <c r="AJ579" s="68"/>
      <c r="AK579" s="68">
        <v>0</v>
      </c>
      <c r="BB579" s="684" t="s">
        <v>1</v>
      </c>
      <c r="BM579" s="64">
        <f t="shared" si="116"/>
        <v>57.15</v>
      </c>
      <c r="BN579" s="64">
        <f t="shared" si="117"/>
        <v>57.15</v>
      </c>
      <c r="BO579" s="64">
        <f t="shared" si="118"/>
        <v>0.11363636363636365</v>
      </c>
      <c r="BP579" s="64">
        <f t="shared" si="119"/>
        <v>0.11363636363636365</v>
      </c>
    </row>
    <row r="580" spans="1:68" ht="27" customHeight="1" x14ac:dyDescent="0.25">
      <c r="A580" s="54" t="s">
        <v>921</v>
      </c>
      <c r="B580" s="54" t="s">
        <v>924</v>
      </c>
      <c r="C580" s="31">
        <v>4301031419</v>
      </c>
      <c r="D580" s="793">
        <v>4680115882072</v>
      </c>
      <c r="E580" s="794"/>
      <c r="F580" s="788">
        <v>0.6</v>
      </c>
      <c r="G580" s="32">
        <v>8</v>
      </c>
      <c r="H580" s="788">
        <v>4.8</v>
      </c>
      <c r="I580" s="788">
        <v>6.93</v>
      </c>
      <c r="J580" s="32">
        <v>132</v>
      </c>
      <c r="K580" s="32" t="s">
        <v>126</v>
      </c>
      <c r="L580" s="32"/>
      <c r="M580" s="33" t="s">
        <v>117</v>
      </c>
      <c r="N580" s="33"/>
      <c r="O580" s="32">
        <v>70</v>
      </c>
      <c r="P580" s="1127" t="s">
        <v>925</v>
      </c>
      <c r="Q580" s="799"/>
      <c r="R580" s="799"/>
      <c r="S580" s="799"/>
      <c r="T580" s="800"/>
      <c r="U580" s="34"/>
      <c r="V580" s="34"/>
      <c r="W580" s="35" t="s">
        <v>69</v>
      </c>
      <c r="X580" s="789">
        <v>0</v>
      </c>
      <c r="Y580" s="790">
        <f t="shared" si="115"/>
        <v>0</v>
      </c>
      <c r="Z580" s="36" t="str">
        <f>IFERROR(IF(Y580=0,"",ROUNDUP(Y580/H580,0)*0.00902),"")</f>
        <v/>
      </c>
      <c r="AA580" s="56"/>
      <c r="AB580" s="57"/>
      <c r="AC580" s="685" t="s">
        <v>908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921</v>
      </c>
      <c r="B581" s="54" t="s">
        <v>926</v>
      </c>
      <c r="C581" s="31">
        <v>4301031383</v>
      </c>
      <c r="D581" s="793">
        <v>4680115882072</v>
      </c>
      <c r="E581" s="794"/>
      <c r="F581" s="788">
        <v>0.6</v>
      </c>
      <c r="G581" s="32">
        <v>8</v>
      </c>
      <c r="H581" s="788">
        <v>4.8</v>
      </c>
      <c r="I581" s="788">
        <v>6.96</v>
      </c>
      <c r="J581" s="32">
        <v>120</v>
      </c>
      <c r="K581" s="32" t="s">
        <v>126</v>
      </c>
      <c r="L581" s="32"/>
      <c r="M581" s="33" t="s">
        <v>117</v>
      </c>
      <c r="N581" s="33"/>
      <c r="O581" s="32">
        <v>60</v>
      </c>
      <c r="P581" s="9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9"/>
      <c r="R581" s="799"/>
      <c r="S581" s="799"/>
      <c r="T581" s="800"/>
      <c r="U581" s="34"/>
      <c r="V581" s="34"/>
      <c r="W581" s="35" t="s">
        <v>69</v>
      </c>
      <c r="X581" s="789">
        <v>0</v>
      </c>
      <c r="Y581" s="790">
        <f t="shared" si="115"/>
        <v>0</v>
      </c>
      <c r="Z581" s="36" t="str">
        <f>IFERROR(IF(Y581=0,"",ROUNDUP(Y581/H581,0)*0.00937),"")</f>
        <v/>
      </c>
      <c r="AA581" s="56"/>
      <c r="AB581" s="57"/>
      <c r="AC581" s="687" t="s">
        <v>923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927</v>
      </c>
      <c r="B582" s="54" t="s">
        <v>928</v>
      </c>
      <c r="C582" s="31">
        <v>4301031251</v>
      </c>
      <c r="D582" s="793">
        <v>4680115882102</v>
      </c>
      <c r="E582" s="794"/>
      <c r="F582" s="788">
        <v>0.6</v>
      </c>
      <c r="G582" s="32">
        <v>6</v>
      </c>
      <c r="H582" s="788">
        <v>3.6</v>
      </c>
      <c r="I582" s="788">
        <v>3.81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60</v>
      </c>
      <c r="P582" s="11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9"/>
      <c r="R582" s="799"/>
      <c r="S582" s="799"/>
      <c r="T582" s="800"/>
      <c r="U582" s="34"/>
      <c r="V582" s="34"/>
      <c r="W582" s="35" t="s">
        <v>69</v>
      </c>
      <c r="X582" s="789">
        <v>18</v>
      </c>
      <c r="Y582" s="790">
        <f t="shared" si="115"/>
        <v>18</v>
      </c>
      <c r="Z582" s="36">
        <f>IFERROR(IF(Y582=0,"",ROUNDUP(Y582/H582,0)*0.00902),"")</f>
        <v>4.5100000000000001E-2</v>
      </c>
      <c r="AA582" s="56"/>
      <c r="AB582" s="57"/>
      <c r="AC582" s="689" t="s">
        <v>917</v>
      </c>
      <c r="AG582" s="64"/>
      <c r="AJ582" s="68"/>
      <c r="AK582" s="68">
        <v>0</v>
      </c>
      <c r="BB582" s="690" t="s">
        <v>1</v>
      </c>
      <c r="BM582" s="64">
        <f t="shared" si="116"/>
        <v>19.05</v>
      </c>
      <c r="BN582" s="64">
        <f t="shared" si="117"/>
        <v>19.05</v>
      </c>
      <c r="BO582" s="64">
        <f t="shared" si="118"/>
        <v>3.787878787878788E-2</v>
      </c>
      <c r="BP582" s="64">
        <f t="shared" si="119"/>
        <v>3.787878787878788E-2</v>
      </c>
    </row>
    <row r="583" spans="1:68" ht="27" customHeight="1" x14ac:dyDescent="0.25">
      <c r="A583" s="54" t="s">
        <v>927</v>
      </c>
      <c r="B583" s="54" t="s">
        <v>929</v>
      </c>
      <c r="C583" s="31">
        <v>4301031418</v>
      </c>
      <c r="D583" s="793">
        <v>4680115882102</v>
      </c>
      <c r="E583" s="794"/>
      <c r="F583" s="788">
        <v>0.6</v>
      </c>
      <c r="G583" s="32">
        <v>8</v>
      </c>
      <c r="H583" s="788">
        <v>4.8</v>
      </c>
      <c r="I583" s="788">
        <v>6.69</v>
      </c>
      <c r="J583" s="32">
        <v>132</v>
      </c>
      <c r="K583" s="32" t="s">
        <v>126</v>
      </c>
      <c r="L583" s="32"/>
      <c r="M583" s="33" t="s">
        <v>68</v>
      </c>
      <c r="N583" s="33"/>
      <c r="O583" s="32">
        <v>70</v>
      </c>
      <c r="P583" s="1172" t="s">
        <v>930</v>
      </c>
      <c r="Q583" s="799"/>
      <c r="R583" s="799"/>
      <c r="S583" s="799"/>
      <c r="T583" s="800"/>
      <c r="U583" s="34" t="s">
        <v>914</v>
      </c>
      <c r="V583" s="34"/>
      <c r="W583" s="35" t="s">
        <v>69</v>
      </c>
      <c r="X583" s="789">
        <v>0</v>
      </c>
      <c r="Y583" s="790">
        <f t="shared" si="115"/>
        <v>0</v>
      </c>
      <c r="Z583" s="36" t="str">
        <f>IFERROR(IF(Y583=0,"",ROUNDUP(Y583/H583,0)*0.00902),"")</f>
        <v/>
      </c>
      <c r="AA583" s="56"/>
      <c r="AB583" s="57"/>
      <c r="AC583" s="691" t="s">
        <v>915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927</v>
      </c>
      <c r="B584" s="54" t="s">
        <v>931</v>
      </c>
      <c r="C584" s="31">
        <v>4301031385</v>
      </c>
      <c r="D584" s="793">
        <v>4680115882102</v>
      </c>
      <c r="E584" s="794"/>
      <c r="F584" s="788">
        <v>0.6</v>
      </c>
      <c r="G584" s="32">
        <v>8</v>
      </c>
      <c r="H584" s="788">
        <v>4.8</v>
      </c>
      <c r="I584" s="788">
        <v>6.69</v>
      </c>
      <c r="J584" s="32">
        <v>120</v>
      </c>
      <c r="K584" s="32" t="s">
        <v>126</v>
      </c>
      <c r="L584" s="32"/>
      <c r="M584" s="33" t="s">
        <v>68</v>
      </c>
      <c r="N584" s="33"/>
      <c r="O584" s="32">
        <v>60</v>
      </c>
      <c r="P584" s="9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9"/>
      <c r="R584" s="799"/>
      <c r="S584" s="799"/>
      <c r="T584" s="800"/>
      <c r="U584" s="34"/>
      <c r="V584" s="34"/>
      <c r="W584" s="35" t="s">
        <v>69</v>
      </c>
      <c r="X584" s="789">
        <v>0</v>
      </c>
      <c r="Y584" s="790">
        <f t="shared" si="115"/>
        <v>0</v>
      </c>
      <c r="Z584" s="36" t="str">
        <f>IFERROR(IF(Y584=0,"",ROUNDUP(Y584/H584,0)*0.00937),"")</f>
        <v/>
      </c>
      <c r="AA584" s="56"/>
      <c r="AB584" s="57"/>
      <c r="AC584" s="693" t="s">
        <v>915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4301031253</v>
      </c>
      <c r="D585" s="793">
        <v>4680115882096</v>
      </c>
      <c r="E585" s="794"/>
      <c r="F585" s="788">
        <v>0.6</v>
      </c>
      <c r="G585" s="32">
        <v>6</v>
      </c>
      <c r="H585" s="788">
        <v>3.6</v>
      </c>
      <c r="I585" s="788">
        <v>3.81</v>
      </c>
      <c r="J585" s="32">
        <v>132</v>
      </c>
      <c r="K585" s="32" t="s">
        <v>126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9"/>
      <c r="R585" s="799"/>
      <c r="S585" s="799"/>
      <c r="T585" s="800"/>
      <c r="U585" s="34"/>
      <c r="V585" s="34"/>
      <c r="W585" s="35" t="s">
        <v>69</v>
      </c>
      <c r="X585" s="789">
        <v>6</v>
      </c>
      <c r="Y585" s="790">
        <f t="shared" si="115"/>
        <v>7.2</v>
      </c>
      <c r="Z585" s="36">
        <f>IFERROR(IF(Y585=0,"",ROUNDUP(Y585/H585,0)*0.00902),"")</f>
        <v>1.804E-2</v>
      </c>
      <c r="AA585" s="56"/>
      <c r="AB585" s="57"/>
      <c r="AC585" s="695" t="s">
        <v>920</v>
      </c>
      <c r="AG585" s="64"/>
      <c r="AJ585" s="68"/>
      <c r="AK585" s="68">
        <v>0</v>
      </c>
      <c r="BB585" s="696" t="s">
        <v>1</v>
      </c>
      <c r="BM585" s="64">
        <f t="shared" si="116"/>
        <v>6.35</v>
      </c>
      <c r="BN585" s="64">
        <f t="shared" si="117"/>
        <v>7.62</v>
      </c>
      <c r="BO585" s="64">
        <f t="shared" si="118"/>
        <v>1.2626262626262626E-2</v>
      </c>
      <c r="BP585" s="64">
        <f t="shared" si="119"/>
        <v>1.5151515151515152E-2</v>
      </c>
    </row>
    <row r="586" spans="1:68" ht="27" customHeight="1" x14ac:dyDescent="0.25">
      <c r="A586" s="54" t="s">
        <v>932</v>
      </c>
      <c r="B586" s="54" t="s">
        <v>934</v>
      </c>
      <c r="C586" s="31">
        <v>4301031384</v>
      </c>
      <c r="D586" s="793">
        <v>4680115882096</v>
      </c>
      <c r="E586" s="794"/>
      <c r="F586" s="788">
        <v>0.6</v>
      </c>
      <c r="G586" s="32">
        <v>8</v>
      </c>
      <c r="H586" s="788">
        <v>4.8</v>
      </c>
      <c r="I586" s="788">
        <v>6.69</v>
      </c>
      <c r="J586" s="32">
        <v>120</v>
      </c>
      <c r="K586" s="32" t="s">
        <v>126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9"/>
      <c r="R586" s="799"/>
      <c r="S586" s="799"/>
      <c r="T586" s="800"/>
      <c r="U586" s="34"/>
      <c r="V586" s="34"/>
      <c r="W586" s="35" t="s">
        <v>69</v>
      </c>
      <c r="X586" s="789">
        <v>0</v>
      </c>
      <c r="Y586" s="790">
        <f t="shared" si="115"/>
        <v>0</v>
      </c>
      <c r="Z586" s="36" t="str">
        <f>IFERROR(IF(Y586=0,"",ROUNDUP(Y586/H586,0)*0.00937),"")</f>
        <v/>
      </c>
      <c r="AA586" s="56"/>
      <c r="AB586" s="57"/>
      <c r="AC586" s="697" t="s">
        <v>935</v>
      </c>
      <c r="AG586" s="64"/>
      <c r="AJ586" s="68"/>
      <c r="AK586" s="68">
        <v>0</v>
      </c>
      <c r="BB586" s="698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8"/>
      <c r="B587" s="809"/>
      <c r="C587" s="809"/>
      <c r="D587" s="809"/>
      <c r="E587" s="809"/>
      <c r="F587" s="809"/>
      <c r="G587" s="809"/>
      <c r="H587" s="809"/>
      <c r="I587" s="809"/>
      <c r="J587" s="809"/>
      <c r="K587" s="809"/>
      <c r="L587" s="809"/>
      <c r="M587" s="809"/>
      <c r="N587" s="809"/>
      <c r="O587" s="810"/>
      <c r="P587" s="795" t="s">
        <v>71</v>
      </c>
      <c r="Q587" s="796"/>
      <c r="R587" s="796"/>
      <c r="S587" s="796"/>
      <c r="T587" s="796"/>
      <c r="U587" s="796"/>
      <c r="V587" s="797"/>
      <c r="W587" s="37" t="s">
        <v>72</v>
      </c>
      <c r="X587" s="791">
        <f>IFERROR(X574/H574,"0")+IFERROR(X575/H575,"0")+IFERROR(X576/H576,"0")+IFERROR(X577/H577,"0")+IFERROR(X578/H578,"0")+IFERROR(X579/H579,"0")+IFERROR(X580/H580,"0")+IFERROR(X581/H581,"0")+IFERROR(X582/H582,"0")+IFERROR(X583/H583,"0")+IFERROR(X584/H584,"0")+IFERROR(X585/H585,"0")+IFERROR(X586/H586,"0")</f>
        <v>86.060606060606062</v>
      </c>
      <c r="Y587" s="791">
        <f>IFERROR(Y574/H574,"0")+IFERROR(Y575/H575,"0")+IFERROR(Y576/H576,"0")+IFERROR(Y577/H577,"0")+IFERROR(Y578/H578,"0")+IFERROR(Y579/H579,"0")+IFERROR(Y580/H580,"0")+IFERROR(Y581/H581,"0")+IFERROR(Y582/H582,"0")+IFERROR(Y583/H583,"0")+IFERROR(Y584/H584,"0")+IFERROR(Y585/H585,"0")+IFERROR(Y586/H586,"0")</f>
        <v>88</v>
      </c>
      <c r="Z587" s="791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0.98780000000000001</v>
      </c>
      <c r="AA587" s="792"/>
      <c r="AB587" s="792"/>
      <c r="AC587" s="792"/>
    </row>
    <row r="588" spans="1:68" x14ac:dyDescent="0.2">
      <c r="A588" s="809"/>
      <c r="B588" s="809"/>
      <c r="C588" s="809"/>
      <c r="D588" s="809"/>
      <c r="E588" s="809"/>
      <c r="F588" s="809"/>
      <c r="G588" s="809"/>
      <c r="H588" s="809"/>
      <c r="I588" s="809"/>
      <c r="J588" s="809"/>
      <c r="K588" s="809"/>
      <c r="L588" s="809"/>
      <c r="M588" s="809"/>
      <c r="N588" s="809"/>
      <c r="O588" s="810"/>
      <c r="P588" s="795" t="s">
        <v>71</v>
      </c>
      <c r="Q588" s="796"/>
      <c r="R588" s="796"/>
      <c r="S588" s="796"/>
      <c r="T588" s="796"/>
      <c r="U588" s="796"/>
      <c r="V588" s="797"/>
      <c r="W588" s="37" t="s">
        <v>69</v>
      </c>
      <c r="X588" s="791">
        <f>IFERROR(SUM(X574:X586),"0")</f>
        <v>418</v>
      </c>
      <c r="Y588" s="791">
        <f>IFERROR(SUM(Y574:Y586),"0")</f>
        <v>427.68</v>
      </c>
      <c r="Z588" s="37"/>
      <c r="AA588" s="792"/>
      <c r="AB588" s="792"/>
      <c r="AC588" s="792"/>
    </row>
    <row r="589" spans="1:68" ht="14.25" customHeight="1" x14ac:dyDescent="0.25">
      <c r="A589" s="811" t="s">
        <v>73</v>
      </c>
      <c r="B589" s="809"/>
      <c r="C589" s="809"/>
      <c r="D589" s="809"/>
      <c r="E589" s="809"/>
      <c r="F589" s="809"/>
      <c r="G589" s="809"/>
      <c r="H589" s="809"/>
      <c r="I589" s="809"/>
      <c r="J589" s="809"/>
      <c r="K589" s="809"/>
      <c r="L589" s="809"/>
      <c r="M589" s="809"/>
      <c r="N589" s="809"/>
      <c r="O589" s="809"/>
      <c r="P589" s="809"/>
      <c r="Q589" s="809"/>
      <c r="R589" s="809"/>
      <c r="S589" s="809"/>
      <c r="T589" s="809"/>
      <c r="U589" s="809"/>
      <c r="V589" s="809"/>
      <c r="W589" s="809"/>
      <c r="X589" s="809"/>
      <c r="Y589" s="809"/>
      <c r="Z589" s="809"/>
      <c r="AA589" s="785"/>
      <c r="AB589" s="785"/>
      <c r="AC589" s="785"/>
    </row>
    <row r="590" spans="1:68" ht="27" customHeight="1" x14ac:dyDescent="0.25">
      <c r="A590" s="54" t="s">
        <v>936</v>
      </c>
      <c r="B590" s="54" t="s">
        <v>937</v>
      </c>
      <c r="C590" s="31">
        <v>4301051230</v>
      </c>
      <c r="D590" s="793">
        <v>4607091383409</v>
      </c>
      <c r="E590" s="794"/>
      <c r="F590" s="788">
        <v>1.3</v>
      </c>
      <c r="G590" s="32">
        <v>6</v>
      </c>
      <c r="H590" s="788">
        <v>7.8</v>
      </c>
      <c r="I590" s="788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9"/>
      <c r="R590" s="799"/>
      <c r="S590" s="799"/>
      <c r="T590" s="800"/>
      <c r="U590" s="34"/>
      <c r="V590" s="34"/>
      <c r="W590" s="35" t="s">
        <v>69</v>
      </c>
      <c r="X590" s="789">
        <v>0</v>
      </c>
      <c r="Y590" s="79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939</v>
      </c>
      <c r="B591" s="54" t="s">
        <v>940</v>
      </c>
      <c r="C591" s="31">
        <v>4301051231</v>
      </c>
      <c r="D591" s="793">
        <v>4607091383416</v>
      </c>
      <c r="E591" s="794"/>
      <c r="F591" s="788">
        <v>1.3</v>
      </c>
      <c r="G591" s="32">
        <v>6</v>
      </c>
      <c r="H591" s="788">
        <v>7.8</v>
      </c>
      <c r="I591" s="788">
        <v>8.3460000000000001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9"/>
      <c r="R591" s="799"/>
      <c r="S591" s="799"/>
      <c r="T591" s="800"/>
      <c r="U591" s="34"/>
      <c r="V591" s="34"/>
      <c r="W591" s="35" t="s">
        <v>69</v>
      </c>
      <c r="X591" s="789">
        <v>0</v>
      </c>
      <c r="Y591" s="79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942</v>
      </c>
      <c r="B592" s="54" t="s">
        <v>943</v>
      </c>
      <c r="C592" s="31">
        <v>4301051058</v>
      </c>
      <c r="D592" s="793">
        <v>4680115883536</v>
      </c>
      <c r="E592" s="794"/>
      <c r="F592" s="788">
        <v>0.3</v>
      </c>
      <c r="G592" s="32">
        <v>6</v>
      </c>
      <c r="H592" s="788">
        <v>1.8</v>
      </c>
      <c r="I592" s="788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9"/>
      <c r="R592" s="799"/>
      <c r="S592" s="799"/>
      <c r="T592" s="800"/>
      <c r="U592" s="34"/>
      <c r="V592" s="34"/>
      <c r="W592" s="35" t="s">
        <v>69</v>
      </c>
      <c r="X592" s="789">
        <v>0</v>
      </c>
      <c r="Y592" s="790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703" t="s">
        <v>944</v>
      </c>
      <c r="AG592" s="64"/>
      <c r="AJ592" s="68"/>
      <c r="AK592" s="68">
        <v>0</v>
      </c>
      <c r="BB592" s="704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8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795" t="s">
        <v>71</v>
      </c>
      <c r="Q593" s="796"/>
      <c r="R593" s="796"/>
      <c r="S593" s="796"/>
      <c r="T593" s="796"/>
      <c r="U593" s="796"/>
      <c r="V593" s="797"/>
      <c r="W593" s="37" t="s">
        <v>72</v>
      </c>
      <c r="X593" s="791">
        <f>IFERROR(X590/H590,"0")+IFERROR(X591/H591,"0")+IFERROR(X592/H592,"0")</f>
        <v>0</v>
      </c>
      <c r="Y593" s="791">
        <f>IFERROR(Y590/H590,"0")+IFERROR(Y591/H591,"0")+IFERROR(Y592/H592,"0")</f>
        <v>0</v>
      </c>
      <c r="Z593" s="791">
        <f>IFERROR(IF(Z590="",0,Z590),"0")+IFERROR(IF(Z591="",0,Z591),"0")+IFERROR(IF(Z592="",0,Z592),"0")</f>
        <v>0</v>
      </c>
      <c r="AA593" s="792"/>
      <c r="AB593" s="792"/>
      <c r="AC593" s="792"/>
    </row>
    <row r="594" spans="1:68" x14ac:dyDescent="0.2">
      <c r="A594" s="809"/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10"/>
      <c r="P594" s="795" t="s">
        <v>71</v>
      </c>
      <c r="Q594" s="796"/>
      <c r="R594" s="796"/>
      <c r="S594" s="796"/>
      <c r="T594" s="796"/>
      <c r="U594" s="796"/>
      <c r="V594" s="797"/>
      <c r="W594" s="37" t="s">
        <v>69</v>
      </c>
      <c r="X594" s="791">
        <f>IFERROR(SUM(X590:X592),"0")</f>
        <v>0</v>
      </c>
      <c r="Y594" s="791">
        <f>IFERROR(SUM(Y590:Y592),"0")</f>
        <v>0</v>
      </c>
      <c r="Z594" s="37"/>
      <c r="AA594" s="792"/>
      <c r="AB594" s="792"/>
      <c r="AC594" s="792"/>
    </row>
    <row r="595" spans="1:68" ht="14.25" customHeight="1" x14ac:dyDescent="0.25">
      <c r="A595" s="811" t="s">
        <v>208</v>
      </c>
      <c r="B595" s="809"/>
      <c r="C595" s="809"/>
      <c r="D595" s="809"/>
      <c r="E595" s="809"/>
      <c r="F595" s="809"/>
      <c r="G595" s="809"/>
      <c r="H595" s="809"/>
      <c r="I595" s="809"/>
      <c r="J595" s="809"/>
      <c r="K595" s="809"/>
      <c r="L595" s="809"/>
      <c r="M595" s="809"/>
      <c r="N595" s="809"/>
      <c r="O595" s="809"/>
      <c r="P595" s="809"/>
      <c r="Q595" s="809"/>
      <c r="R595" s="809"/>
      <c r="S595" s="809"/>
      <c r="T595" s="809"/>
      <c r="U595" s="809"/>
      <c r="V595" s="809"/>
      <c r="W595" s="809"/>
      <c r="X595" s="809"/>
      <c r="Y595" s="809"/>
      <c r="Z595" s="809"/>
      <c r="AA595" s="785"/>
      <c r="AB595" s="785"/>
      <c r="AC595" s="785"/>
    </row>
    <row r="596" spans="1:68" ht="27" customHeight="1" x14ac:dyDescent="0.25">
      <c r="A596" s="54" t="s">
        <v>945</v>
      </c>
      <c r="B596" s="54" t="s">
        <v>946</v>
      </c>
      <c r="C596" s="31">
        <v>4301060363</v>
      </c>
      <c r="D596" s="793">
        <v>4680115885035</v>
      </c>
      <c r="E596" s="794"/>
      <c r="F596" s="788">
        <v>1</v>
      </c>
      <c r="G596" s="32">
        <v>4</v>
      </c>
      <c r="H596" s="788">
        <v>4</v>
      </c>
      <c r="I596" s="788">
        <v>4.4160000000000004</v>
      </c>
      <c r="J596" s="32">
        <v>104</v>
      </c>
      <c r="K596" s="32" t="s">
        <v>116</v>
      </c>
      <c r="L596" s="32"/>
      <c r="M596" s="33" t="s">
        <v>68</v>
      </c>
      <c r="N596" s="33"/>
      <c r="O596" s="32">
        <v>35</v>
      </c>
      <c r="P596" s="10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9"/>
      <c r="R596" s="799"/>
      <c r="S596" s="799"/>
      <c r="T596" s="800"/>
      <c r="U596" s="34"/>
      <c r="V596" s="34"/>
      <c r="W596" s="35" t="s">
        <v>69</v>
      </c>
      <c r="X596" s="789">
        <v>0</v>
      </c>
      <c r="Y596" s="790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705" t="s">
        <v>947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948</v>
      </c>
      <c r="B597" s="54" t="s">
        <v>949</v>
      </c>
      <c r="C597" s="31">
        <v>4301060436</v>
      </c>
      <c r="D597" s="793">
        <v>4680115885936</v>
      </c>
      <c r="E597" s="794"/>
      <c r="F597" s="788">
        <v>1.3</v>
      </c>
      <c r="G597" s="32">
        <v>6</v>
      </c>
      <c r="H597" s="788">
        <v>7.8</v>
      </c>
      <c r="I597" s="788">
        <v>8.2799999999999994</v>
      </c>
      <c r="J597" s="32">
        <v>56</v>
      </c>
      <c r="K597" s="32" t="s">
        <v>116</v>
      </c>
      <c r="L597" s="32"/>
      <c r="M597" s="33" t="s">
        <v>68</v>
      </c>
      <c r="N597" s="33"/>
      <c r="O597" s="32">
        <v>35</v>
      </c>
      <c r="P597" s="1213" t="s">
        <v>950</v>
      </c>
      <c r="Q597" s="799"/>
      <c r="R597" s="799"/>
      <c r="S597" s="799"/>
      <c r="T597" s="800"/>
      <c r="U597" s="34"/>
      <c r="V597" s="34"/>
      <c r="W597" s="35" t="s">
        <v>69</v>
      </c>
      <c r="X597" s="789">
        <v>0</v>
      </c>
      <c r="Y597" s="79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7" t="s">
        <v>947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795" t="s">
        <v>71</v>
      </c>
      <c r="Q598" s="796"/>
      <c r="R598" s="796"/>
      <c r="S598" s="796"/>
      <c r="T598" s="796"/>
      <c r="U598" s="796"/>
      <c r="V598" s="797"/>
      <c r="W598" s="37" t="s">
        <v>72</v>
      </c>
      <c r="X598" s="791">
        <f>IFERROR(X596/H596,"0")+IFERROR(X597/H597,"0")</f>
        <v>0</v>
      </c>
      <c r="Y598" s="791">
        <f>IFERROR(Y596/H596,"0")+IFERROR(Y597/H597,"0")</f>
        <v>0</v>
      </c>
      <c r="Z598" s="791">
        <f>IFERROR(IF(Z596="",0,Z596),"0")+IFERROR(IF(Z597="",0,Z597),"0")</f>
        <v>0</v>
      </c>
      <c r="AA598" s="792"/>
      <c r="AB598" s="792"/>
      <c r="AC598" s="792"/>
    </row>
    <row r="599" spans="1:68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795" t="s">
        <v>71</v>
      </c>
      <c r="Q599" s="796"/>
      <c r="R599" s="796"/>
      <c r="S599" s="796"/>
      <c r="T599" s="796"/>
      <c r="U599" s="796"/>
      <c r="V599" s="797"/>
      <c r="W599" s="37" t="s">
        <v>69</v>
      </c>
      <c r="X599" s="791">
        <f>IFERROR(SUM(X596:X597),"0")</f>
        <v>0</v>
      </c>
      <c r="Y599" s="791">
        <f>IFERROR(SUM(Y596:Y597),"0")</f>
        <v>0</v>
      </c>
      <c r="Z599" s="37"/>
      <c r="AA599" s="792"/>
      <c r="AB599" s="792"/>
      <c r="AC599" s="792"/>
    </row>
    <row r="600" spans="1:68" ht="27.75" customHeight="1" x14ac:dyDescent="0.2">
      <c r="A600" s="911" t="s">
        <v>951</v>
      </c>
      <c r="B600" s="912"/>
      <c r="C600" s="912"/>
      <c r="D600" s="912"/>
      <c r="E600" s="912"/>
      <c r="F600" s="912"/>
      <c r="G600" s="912"/>
      <c r="H600" s="912"/>
      <c r="I600" s="912"/>
      <c r="J600" s="912"/>
      <c r="K600" s="912"/>
      <c r="L600" s="912"/>
      <c r="M600" s="912"/>
      <c r="N600" s="912"/>
      <c r="O600" s="912"/>
      <c r="P600" s="912"/>
      <c r="Q600" s="912"/>
      <c r="R600" s="912"/>
      <c r="S600" s="912"/>
      <c r="T600" s="912"/>
      <c r="U600" s="912"/>
      <c r="V600" s="912"/>
      <c r="W600" s="912"/>
      <c r="X600" s="912"/>
      <c r="Y600" s="912"/>
      <c r="Z600" s="912"/>
      <c r="AA600" s="48"/>
      <c r="AB600" s="48"/>
      <c r="AC600" s="48"/>
    </row>
    <row r="601" spans="1:68" ht="16.5" customHeight="1" x14ac:dyDescent="0.25">
      <c r="A601" s="839" t="s">
        <v>951</v>
      </c>
      <c r="B601" s="809"/>
      <c r="C601" s="809"/>
      <c r="D601" s="809"/>
      <c r="E601" s="809"/>
      <c r="F601" s="809"/>
      <c r="G601" s="809"/>
      <c r="H601" s="809"/>
      <c r="I601" s="809"/>
      <c r="J601" s="809"/>
      <c r="K601" s="809"/>
      <c r="L601" s="809"/>
      <c r="M601" s="809"/>
      <c r="N601" s="809"/>
      <c r="O601" s="809"/>
      <c r="P601" s="809"/>
      <c r="Q601" s="809"/>
      <c r="R601" s="809"/>
      <c r="S601" s="809"/>
      <c r="T601" s="809"/>
      <c r="U601" s="809"/>
      <c r="V601" s="809"/>
      <c r="W601" s="809"/>
      <c r="X601" s="809"/>
      <c r="Y601" s="809"/>
      <c r="Z601" s="809"/>
      <c r="AA601" s="784"/>
      <c r="AB601" s="784"/>
      <c r="AC601" s="784"/>
    </row>
    <row r="602" spans="1:68" ht="14.25" customHeight="1" x14ac:dyDescent="0.25">
      <c r="A602" s="811" t="s">
        <v>64</v>
      </c>
      <c r="B602" s="809"/>
      <c r="C602" s="809"/>
      <c r="D602" s="809"/>
      <c r="E602" s="809"/>
      <c r="F602" s="809"/>
      <c r="G602" s="809"/>
      <c r="H602" s="809"/>
      <c r="I602" s="809"/>
      <c r="J602" s="809"/>
      <c r="K602" s="809"/>
      <c r="L602" s="809"/>
      <c r="M602" s="809"/>
      <c r="N602" s="809"/>
      <c r="O602" s="809"/>
      <c r="P602" s="809"/>
      <c r="Q602" s="809"/>
      <c r="R602" s="809"/>
      <c r="S602" s="809"/>
      <c r="T602" s="809"/>
      <c r="U602" s="809"/>
      <c r="V602" s="809"/>
      <c r="W602" s="809"/>
      <c r="X602" s="809"/>
      <c r="Y602" s="809"/>
      <c r="Z602" s="809"/>
      <c r="AA602" s="785"/>
      <c r="AB602" s="785"/>
      <c r="AC602" s="785"/>
    </row>
    <row r="603" spans="1:68" ht="27" customHeight="1" x14ac:dyDescent="0.25">
      <c r="A603" s="54" t="s">
        <v>952</v>
      </c>
      <c r="B603" s="54" t="s">
        <v>953</v>
      </c>
      <c r="C603" s="31">
        <v>4301031309</v>
      </c>
      <c r="D603" s="793">
        <v>4680115885530</v>
      </c>
      <c r="E603" s="794"/>
      <c r="F603" s="788">
        <v>0.7</v>
      </c>
      <c r="G603" s="32">
        <v>6</v>
      </c>
      <c r="H603" s="788">
        <v>4.2</v>
      </c>
      <c r="I603" s="788">
        <v>4.41</v>
      </c>
      <c r="J603" s="32">
        <v>120</v>
      </c>
      <c r="K603" s="32" t="s">
        <v>126</v>
      </c>
      <c r="L603" s="32"/>
      <c r="M603" s="33" t="s">
        <v>285</v>
      </c>
      <c r="N603" s="33"/>
      <c r="O603" s="32">
        <v>90</v>
      </c>
      <c r="P603" s="1189" t="s">
        <v>954</v>
      </c>
      <c r="Q603" s="799"/>
      <c r="R603" s="799"/>
      <c r="S603" s="799"/>
      <c r="T603" s="800"/>
      <c r="U603" s="34"/>
      <c r="V603" s="34"/>
      <c r="W603" s="35" t="s">
        <v>69</v>
      </c>
      <c r="X603" s="789">
        <v>0</v>
      </c>
      <c r="Y603" s="790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/>
      <c r="AC603" s="709" t="s">
        <v>955</v>
      </c>
      <c r="AG603" s="64"/>
      <c r="AJ603" s="68"/>
      <c r="AK603" s="68">
        <v>0</v>
      </c>
      <c r="BB603" s="71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795" t="s">
        <v>71</v>
      </c>
      <c r="Q604" s="796"/>
      <c r="R604" s="796"/>
      <c r="S604" s="796"/>
      <c r="T604" s="796"/>
      <c r="U604" s="796"/>
      <c r="V604" s="797"/>
      <c r="W604" s="37" t="s">
        <v>72</v>
      </c>
      <c r="X604" s="791">
        <f>IFERROR(X603/H603,"0")</f>
        <v>0</v>
      </c>
      <c r="Y604" s="791">
        <f>IFERROR(Y603/H603,"0")</f>
        <v>0</v>
      </c>
      <c r="Z604" s="791">
        <f>IFERROR(IF(Z603="",0,Z603),"0")</f>
        <v>0</v>
      </c>
      <c r="AA604" s="792"/>
      <c r="AB604" s="792"/>
      <c r="AC604" s="792"/>
    </row>
    <row r="605" spans="1:68" x14ac:dyDescent="0.2">
      <c r="A605" s="809"/>
      <c r="B605" s="809"/>
      <c r="C605" s="809"/>
      <c r="D605" s="809"/>
      <c r="E605" s="809"/>
      <c r="F605" s="809"/>
      <c r="G605" s="809"/>
      <c r="H605" s="809"/>
      <c r="I605" s="809"/>
      <c r="J605" s="809"/>
      <c r="K605" s="809"/>
      <c r="L605" s="809"/>
      <c r="M605" s="809"/>
      <c r="N605" s="809"/>
      <c r="O605" s="810"/>
      <c r="P605" s="795" t="s">
        <v>71</v>
      </c>
      <c r="Q605" s="796"/>
      <c r="R605" s="796"/>
      <c r="S605" s="796"/>
      <c r="T605" s="796"/>
      <c r="U605" s="796"/>
      <c r="V605" s="797"/>
      <c r="W605" s="37" t="s">
        <v>69</v>
      </c>
      <c r="X605" s="791">
        <f>IFERROR(SUM(X603:X603),"0")</f>
        <v>0</v>
      </c>
      <c r="Y605" s="791">
        <f>IFERROR(SUM(Y603:Y603),"0")</f>
        <v>0</v>
      </c>
      <c r="Z605" s="37"/>
      <c r="AA605" s="792"/>
      <c r="AB605" s="792"/>
      <c r="AC605" s="792"/>
    </row>
    <row r="606" spans="1:68" ht="27.75" customHeight="1" x14ac:dyDescent="0.2">
      <c r="A606" s="911" t="s">
        <v>956</v>
      </c>
      <c r="B606" s="912"/>
      <c r="C606" s="912"/>
      <c r="D606" s="912"/>
      <c r="E606" s="912"/>
      <c r="F606" s="912"/>
      <c r="G606" s="912"/>
      <c r="H606" s="912"/>
      <c r="I606" s="912"/>
      <c r="J606" s="912"/>
      <c r="K606" s="912"/>
      <c r="L606" s="912"/>
      <c r="M606" s="912"/>
      <c r="N606" s="912"/>
      <c r="O606" s="912"/>
      <c r="P606" s="912"/>
      <c r="Q606" s="912"/>
      <c r="R606" s="912"/>
      <c r="S606" s="912"/>
      <c r="T606" s="912"/>
      <c r="U606" s="912"/>
      <c r="V606" s="912"/>
      <c r="W606" s="912"/>
      <c r="X606" s="912"/>
      <c r="Y606" s="912"/>
      <c r="Z606" s="912"/>
      <c r="AA606" s="48"/>
      <c r="AB606" s="48"/>
      <c r="AC606" s="48"/>
    </row>
    <row r="607" spans="1:68" ht="16.5" customHeight="1" x14ac:dyDescent="0.25">
      <c r="A607" s="839" t="s">
        <v>956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84"/>
      <c r="AB607" s="784"/>
      <c r="AC607" s="784"/>
    </row>
    <row r="608" spans="1:68" ht="14.25" customHeight="1" x14ac:dyDescent="0.25">
      <c r="A608" s="811" t="s">
        <v>113</v>
      </c>
      <c r="B608" s="809"/>
      <c r="C608" s="809"/>
      <c r="D608" s="809"/>
      <c r="E608" s="809"/>
      <c r="F608" s="809"/>
      <c r="G608" s="809"/>
      <c r="H608" s="809"/>
      <c r="I608" s="809"/>
      <c r="J608" s="809"/>
      <c r="K608" s="809"/>
      <c r="L608" s="809"/>
      <c r="M608" s="809"/>
      <c r="N608" s="809"/>
      <c r="O608" s="809"/>
      <c r="P608" s="809"/>
      <c r="Q608" s="809"/>
      <c r="R608" s="809"/>
      <c r="S608" s="809"/>
      <c r="T608" s="809"/>
      <c r="U608" s="809"/>
      <c r="V608" s="809"/>
      <c r="W608" s="809"/>
      <c r="X608" s="809"/>
      <c r="Y608" s="809"/>
      <c r="Z608" s="809"/>
      <c r="AA608" s="785"/>
      <c r="AB608" s="785"/>
      <c r="AC608" s="785"/>
    </row>
    <row r="609" spans="1:68" ht="27" customHeight="1" x14ac:dyDescent="0.25">
      <c r="A609" s="54" t="s">
        <v>957</v>
      </c>
      <c r="B609" s="54" t="s">
        <v>958</v>
      </c>
      <c r="C609" s="31">
        <v>4301011763</v>
      </c>
      <c r="D609" s="793">
        <v>4640242181011</v>
      </c>
      <c r="E609" s="794"/>
      <c r="F609" s="788">
        <v>1.35</v>
      </c>
      <c r="G609" s="32">
        <v>8</v>
      </c>
      <c r="H609" s="788">
        <v>10.8</v>
      </c>
      <c r="I609" s="788">
        <v>11.28</v>
      </c>
      <c r="J609" s="32">
        <v>56</v>
      </c>
      <c r="K609" s="32" t="s">
        <v>116</v>
      </c>
      <c r="L609" s="32"/>
      <c r="M609" s="33" t="s">
        <v>77</v>
      </c>
      <c r="N609" s="33"/>
      <c r="O609" s="32">
        <v>55</v>
      </c>
      <c r="P609" s="1033" t="s">
        <v>959</v>
      </c>
      <c r="Q609" s="799"/>
      <c r="R609" s="799"/>
      <c r="S609" s="799"/>
      <c r="T609" s="800"/>
      <c r="U609" s="34"/>
      <c r="V609" s="34"/>
      <c r="W609" s="35" t="s">
        <v>69</v>
      </c>
      <c r="X609" s="789">
        <v>0</v>
      </c>
      <c r="Y609" s="790">
        <f t="shared" ref="Y609:Y615" si="120"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1" t="s">
        <v>960</v>
      </c>
      <c r="AG609" s="64"/>
      <c r="AJ609" s="68"/>
      <c r="AK609" s="68">
        <v>0</v>
      </c>
      <c r="BB609" s="712" t="s">
        <v>1</v>
      </c>
      <c r="BM609" s="64">
        <f t="shared" ref="BM609:BM615" si="121">IFERROR(X609*I609/H609,"0")</f>
        <v>0</v>
      </c>
      <c r="BN609" s="64">
        <f t="shared" ref="BN609:BN615" si="122">IFERROR(Y609*I609/H609,"0")</f>
        <v>0</v>
      </c>
      <c r="BO609" s="64">
        <f t="shared" ref="BO609:BO615" si="123">IFERROR(1/J609*(X609/H609),"0")</f>
        <v>0</v>
      </c>
      <c r="BP609" s="64">
        <f t="shared" ref="BP609:BP615" si="124">IFERROR(1/J609*(Y609/H609),"0")</f>
        <v>0</v>
      </c>
    </row>
    <row r="610" spans="1:68" ht="27" customHeight="1" x14ac:dyDescent="0.25">
      <c r="A610" s="54" t="s">
        <v>961</v>
      </c>
      <c r="B610" s="54" t="s">
        <v>962</v>
      </c>
      <c r="C610" s="31">
        <v>4301011585</v>
      </c>
      <c r="D610" s="793">
        <v>4640242180441</v>
      </c>
      <c r="E610" s="794"/>
      <c r="F610" s="788">
        <v>1.5</v>
      </c>
      <c r="G610" s="32">
        <v>8</v>
      </c>
      <c r="H610" s="788">
        <v>12</v>
      </c>
      <c r="I610" s="788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43" t="s">
        <v>963</v>
      </c>
      <c r="Q610" s="799"/>
      <c r="R610" s="799"/>
      <c r="S610" s="799"/>
      <c r="T610" s="800"/>
      <c r="U610" s="34"/>
      <c r="V610" s="34"/>
      <c r="W610" s="35" t="s">
        <v>69</v>
      </c>
      <c r="X610" s="789">
        <v>0</v>
      </c>
      <c r="Y610" s="790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964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965</v>
      </c>
      <c r="B611" s="54" t="s">
        <v>966</v>
      </c>
      <c r="C611" s="31">
        <v>4301011584</v>
      </c>
      <c r="D611" s="793">
        <v>4640242180564</v>
      </c>
      <c r="E611" s="794"/>
      <c r="F611" s="788">
        <v>1.5</v>
      </c>
      <c r="G611" s="32">
        <v>8</v>
      </c>
      <c r="H611" s="788">
        <v>12</v>
      </c>
      <c r="I611" s="788">
        <v>12.48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50</v>
      </c>
      <c r="P611" s="1044" t="s">
        <v>967</v>
      </c>
      <c r="Q611" s="799"/>
      <c r="R611" s="799"/>
      <c r="S611" s="799"/>
      <c r="T611" s="800"/>
      <c r="U611" s="34"/>
      <c r="V611" s="34"/>
      <c r="W611" s="35" t="s">
        <v>69</v>
      </c>
      <c r="X611" s="789">
        <v>20</v>
      </c>
      <c r="Y611" s="790">
        <f t="shared" si="120"/>
        <v>24</v>
      </c>
      <c r="Z611" s="36">
        <f>IFERROR(IF(Y611=0,"",ROUNDUP(Y611/H611,0)*0.02175),"")</f>
        <v>4.3499999999999997E-2</v>
      </c>
      <c r="AA611" s="56"/>
      <c r="AB611" s="57"/>
      <c r="AC611" s="715" t="s">
        <v>968</v>
      </c>
      <c r="AG611" s="64"/>
      <c r="AJ611" s="68"/>
      <c r="AK611" s="68">
        <v>0</v>
      </c>
      <c r="BB611" s="716" t="s">
        <v>1</v>
      </c>
      <c r="BM611" s="64">
        <f t="shared" si="121"/>
        <v>20.8</v>
      </c>
      <c r="BN611" s="64">
        <f t="shared" si="122"/>
        <v>24.959999999999997</v>
      </c>
      <c r="BO611" s="64">
        <f t="shared" si="123"/>
        <v>2.976190476190476E-2</v>
      </c>
      <c r="BP611" s="64">
        <f t="shared" si="124"/>
        <v>3.5714285714285712E-2</v>
      </c>
    </row>
    <row r="612" spans="1:68" ht="27" customHeight="1" x14ac:dyDescent="0.25">
      <c r="A612" s="54" t="s">
        <v>969</v>
      </c>
      <c r="B612" s="54" t="s">
        <v>970</v>
      </c>
      <c r="C612" s="31">
        <v>4301011762</v>
      </c>
      <c r="D612" s="793">
        <v>4640242180922</v>
      </c>
      <c r="E612" s="794"/>
      <c r="F612" s="788">
        <v>1.35</v>
      </c>
      <c r="G612" s="32">
        <v>8</v>
      </c>
      <c r="H612" s="788">
        <v>10.8</v>
      </c>
      <c r="I612" s="788">
        <v>11.28</v>
      </c>
      <c r="J612" s="32">
        <v>56</v>
      </c>
      <c r="K612" s="32" t="s">
        <v>116</v>
      </c>
      <c r="L612" s="32"/>
      <c r="M612" s="33" t="s">
        <v>117</v>
      </c>
      <c r="N612" s="33"/>
      <c r="O612" s="32">
        <v>55</v>
      </c>
      <c r="P612" s="1054" t="s">
        <v>971</v>
      </c>
      <c r="Q612" s="799"/>
      <c r="R612" s="799"/>
      <c r="S612" s="799"/>
      <c r="T612" s="800"/>
      <c r="U612" s="34"/>
      <c r="V612" s="34"/>
      <c r="W612" s="35" t="s">
        <v>69</v>
      </c>
      <c r="X612" s="789">
        <v>0</v>
      </c>
      <c r="Y612" s="790">
        <f t="shared" si="120"/>
        <v>0</v>
      </c>
      <c r="Z612" s="36" t="str">
        <f>IFERROR(IF(Y612=0,"",ROUNDUP(Y612/H612,0)*0.02175),"")</f>
        <v/>
      </c>
      <c r="AA612" s="56"/>
      <c r="AB612" s="57"/>
      <c r="AC612" s="717" t="s">
        <v>972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4301011764</v>
      </c>
      <c r="D613" s="793">
        <v>4640242181189</v>
      </c>
      <c r="E613" s="794"/>
      <c r="F613" s="788">
        <v>0.4</v>
      </c>
      <c r="G613" s="32">
        <v>10</v>
      </c>
      <c r="H613" s="788">
        <v>4</v>
      </c>
      <c r="I613" s="788">
        <v>4.21</v>
      </c>
      <c r="J613" s="32">
        <v>132</v>
      </c>
      <c r="K613" s="32" t="s">
        <v>126</v>
      </c>
      <c r="L613" s="32"/>
      <c r="M613" s="33" t="s">
        <v>77</v>
      </c>
      <c r="N613" s="33"/>
      <c r="O613" s="32">
        <v>55</v>
      </c>
      <c r="P613" s="802" t="s">
        <v>975</v>
      </c>
      <c r="Q613" s="799"/>
      <c r="R613" s="799"/>
      <c r="S613" s="799"/>
      <c r="T613" s="800"/>
      <c r="U613" s="34"/>
      <c r="V613" s="34"/>
      <c r="W613" s="35" t="s">
        <v>69</v>
      </c>
      <c r="X613" s="789">
        <v>0</v>
      </c>
      <c r="Y613" s="790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960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4301011551</v>
      </c>
      <c r="D614" s="793">
        <v>4640242180038</v>
      </c>
      <c r="E614" s="794"/>
      <c r="F614" s="788">
        <v>0.4</v>
      </c>
      <c r="G614" s="32">
        <v>10</v>
      </c>
      <c r="H614" s="788">
        <v>4</v>
      </c>
      <c r="I614" s="788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50</v>
      </c>
      <c r="P614" s="1022" t="s">
        <v>978</v>
      </c>
      <c r="Q614" s="799"/>
      <c r="R614" s="799"/>
      <c r="S614" s="799"/>
      <c r="T614" s="800"/>
      <c r="U614" s="34"/>
      <c r="V614" s="34"/>
      <c r="W614" s="35" t="s">
        <v>69</v>
      </c>
      <c r="X614" s="789">
        <v>0</v>
      </c>
      <c r="Y614" s="790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968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979</v>
      </c>
      <c r="B615" s="54" t="s">
        <v>980</v>
      </c>
      <c r="C615" s="31">
        <v>4301011765</v>
      </c>
      <c r="D615" s="793">
        <v>4640242181172</v>
      </c>
      <c r="E615" s="794"/>
      <c r="F615" s="788">
        <v>0.4</v>
      </c>
      <c r="G615" s="32">
        <v>10</v>
      </c>
      <c r="H615" s="788">
        <v>4</v>
      </c>
      <c r="I615" s="788">
        <v>4.21</v>
      </c>
      <c r="J615" s="32">
        <v>132</v>
      </c>
      <c r="K615" s="32" t="s">
        <v>126</v>
      </c>
      <c r="L615" s="32"/>
      <c r="M615" s="33" t="s">
        <v>117</v>
      </c>
      <c r="N615" s="33"/>
      <c r="O615" s="32">
        <v>55</v>
      </c>
      <c r="P615" s="843" t="s">
        <v>981</v>
      </c>
      <c r="Q615" s="799"/>
      <c r="R615" s="799"/>
      <c r="S615" s="799"/>
      <c r="T615" s="800"/>
      <c r="U615" s="34"/>
      <c r="V615" s="34"/>
      <c r="W615" s="35" t="s">
        <v>69</v>
      </c>
      <c r="X615" s="789">
        <v>0</v>
      </c>
      <c r="Y615" s="790">
        <f t="shared" si="120"/>
        <v>0</v>
      </c>
      <c r="Z615" s="36" t="str">
        <f>IFERROR(IF(Y615=0,"",ROUNDUP(Y615/H615,0)*0.00902),"")</f>
        <v/>
      </c>
      <c r="AA615" s="56"/>
      <c r="AB615" s="57"/>
      <c r="AC615" s="723" t="s">
        <v>972</v>
      </c>
      <c r="AG615" s="64"/>
      <c r="AJ615" s="68"/>
      <c r="AK615" s="68">
        <v>0</v>
      </c>
      <c r="BB615" s="724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x14ac:dyDescent="0.2">
      <c r="A616" s="808"/>
      <c r="B616" s="809"/>
      <c r="C616" s="809"/>
      <c r="D616" s="809"/>
      <c r="E616" s="809"/>
      <c r="F616" s="809"/>
      <c r="G616" s="809"/>
      <c r="H616" s="809"/>
      <c r="I616" s="809"/>
      <c r="J616" s="809"/>
      <c r="K616" s="809"/>
      <c r="L616" s="809"/>
      <c r="M616" s="809"/>
      <c r="N616" s="809"/>
      <c r="O616" s="810"/>
      <c r="P616" s="795" t="s">
        <v>71</v>
      </c>
      <c r="Q616" s="796"/>
      <c r="R616" s="796"/>
      <c r="S616" s="796"/>
      <c r="T616" s="796"/>
      <c r="U616" s="796"/>
      <c r="V616" s="797"/>
      <c r="W616" s="37" t="s">
        <v>72</v>
      </c>
      <c r="X616" s="791">
        <f>IFERROR(X609/H609,"0")+IFERROR(X610/H610,"0")+IFERROR(X611/H611,"0")+IFERROR(X612/H612,"0")+IFERROR(X613/H613,"0")+IFERROR(X614/H614,"0")+IFERROR(X615/H615,"0")</f>
        <v>1.6666666666666667</v>
      </c>
      <c r="Y616" s="791">
        <f>IFERROR(Y609/H609,"0")+IFERROR(Y610/H610,"0")+IFERROR(Y611/H611,"0")+IFERROR(Y612/H612,"0")+IFERROR(Y613/H613,"0")+IFERROR(Y614/H614,"0")+IFERROR(Y615/H615,"0")</f>
        <v>2</v>
      </c>
      <c r="Z616" s="791">
        <f>IFERROR(IF(Z609="",0,Z609),"0")+IFERROR(IF(Z610="",0,Z610),"0")+IFERROR(IF(Z611="",0,Z611),"0")+IFERROR(IF(Z612="",0,Z612),"0")+IFERROR(IF(Z613="",0,Z613),"0")+IFERROR(IF(Z614="",0,Z614),"0")+IFERROR(IF(Z615="",0,Z615),"0")</f>
        <v>4.3499999999999997E-2</v>
      </c>
      <c r="AA616" s="792"/>
      <c r="AB616" s="792"/>
      <c r="AC616" s="792"/>
    </row>
    <row r="617" spans="1:68" x14ac:dyDescent="0.2">
      <c r="A617" s="809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795" t="s">
        <v>71</v>
      </c>
      <c r="Q617" s="796"/>
      <c r="R617" s="796"/>
      <c r="S617" s="796"/>
      <c r="T617" s="796"/>
      <c r="U617" s="796"/>
      <c r="V617" s="797"/>
      <c r="W617" s="37" t="s">
        <v>69</v>
      </c>
      <c r="X617" s="791">
        <f>IFERROR(SUM(X609:X615),"0")</f>
        <v>20</v>
      </c>
      <c r="Y617" s="791">
        <f>IFERROR(SUM(Y609:Y615),"0")</f>
        <v>24</v>
      </c>
      <c r="Z617" s="37"/>
      <c r="AA617" s="792"/>
      <c r="AB617" s="792"/>
      <c r="AC617" s="792"/>
    </row>
    <row r="618" spans="1:68" ht="14.25" customHeight="1" x14ac:dyDescent="0.25">
      <c r="A618" s="811" t="s">
        <v>166</v>
      </c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09"/>
      <c r="P618" s="809"/>
      <c r="Q618" s="809"/>
      <c r="R618" s="809"/>
      <c r="S618" s="809"/>
      <c r="T618" s="809"/>
      <c r="U618" s="809"/>
      <c r="V618" s="809"/>
      <c r="W618" s="809"/>
      <c r="X618" s="809"/>
      <c r="Y618" s="809"/>
      <c r="Z618" s="809"/>
      <c r="AA618" s="785"/>
      <c r="AB618" s="785"/>
      <c r="AC618" s="785"/>
    </row>
    <row r="619" spans="1:68" ht="16.5" customHeight="1" x14ac:dyDescent="0.25">
      <c r="A619" s="54" t="s">
        <v>982</v>
      </c>
      <c r="B619" s="54" t="s">
        <v>983</v>
      </c>
      <c r="C619" s="31">
        <v>4301020269</v>
      </c>
      <c r="D619" s="793">
        <v>4640242180519</v>
      </c>
      <c r="E619" s="794"/>
      <c r="F619" s="788">
        <v>1.35</v>
      </c>
      <c r="G619" s="32">
        <v>8</v>
      </c>
      <c r="H619" s="788">
        <v>10.8</v>
      </c>
      <c r="I619" s="788">
        <v>11.28</v>
      </c>
      <c r="J619" s="32">
        <v>56</v>
      </c>
      <c r="K619" s="32" t="s">
        <v>116</v>
      </c>
      <c r="L619" s="32"/>
      <c r="M619" s="33" t="s">
        <v>77</v>
      </c>
      <c r="N619" s="33"/>
      <c r="O619" s="32">
        <v>50</v>
      </c>
      <c r="P619" s="1048" t="s">
        <v>984</v>
      </c>
      <c r="Q619" s="799"/>
      <c r="R619" s="799"/>
      <c r="S619" s="799"/>
      <c r="T619" s="800"/>
      <c r="U619" s="34"/>
      <c r="V619" s="34"/>
      <c r="W619" s="35" t="s">
        <v>69</v>
      </c>
      <c r="X619" s="789">
        <v>0</v>
      </c>
      <c r="Y619" s="790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985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4301020260</v>
      </c>
      <c r="D620" s="793">
        <v>4640242180526</v>
      </c>
      <c r="E620" s="794"/>
      <c r="F620" s="788">
        <v>1.8</v>
      </c>
      <c r="G620" s="32">
        <v>6</v>
      </c>
      <c r="H620" s="788">
        <v>10.8</v>
      </c>
      <c r="I620" s="788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103" t="s">
        <v>988</v>
      </c>
      <c r="Q620" s="799"/>
      <c r="R620" s="799"/>
      <c r="S620" s="799"/>
      <c r="T620" s="800"/>
      <c r="U620" s="34"/>
      <c r="V620" s="34"/>
      <c r="W620" s="35" t="s">
        <v>69</v>
      </c>
      <c r="X620" s="789">
        <v>0</v>
      </c>
      <c r="Y620" s="790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985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989</v>
      </c>
      <c r="B621" s="54" t="s">
        <v>990</v>
      </c>
      <c r="C621" s="31">
        <v>4301020309</v>
      </c>
      <c r="D621" s="793">
        <v>4640242180090</v>
      </c>
      <c r="E621" s="794"/>
      <c r="F621" s="788">
        <v>1.35</v>
      </c>
      <c r="G621" s="32">
        <v>8</v>
      </c>
      <c r="H621" s="788">
        <v>10.8</v>
      </c>
      <c r="I621" s="788">
        <v>11.28</v>
      </c>
      <c r="J621" s="32">
        <v>56</v>
      </c>
      <c r="K621" s="32" t="s">
        <v>116</v>
      </c>
      <c r="L621" s="32"/>
      <c r="M621" s="33" t="s">
        <v>117</v>
      </c>
      <c r="N621" s="33"/>
      <c r="O621" s="32">
        <v>50</v>
      </c>
      <c r="P621" s="842" t="s">
        <v>991</v>
      </c>
      <c r="Q621" s="799"/>
      <c r="R621" s="799"/>
      <c r="S621" s="799"/>
      <c r="T621" s="800"/>
      <c r="U621" s="34"/>
      <c r="V621" s="34"/>
      <c r="W621" s="35" t="s">
        <v>69</v>
      </c>
      <c r="X621" s="789">
        <v>0</v>
      </c>
      <c r="Y621" s="790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29" t="s">
        <v>992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993</v>
      </c>
      <c r="B622" s="54" t="s">
        <v>994</v>
      </c>
      <c r="C622" s="31">
        <v>4301020295</v>
      </c>
      <c r="D622" s="793">
        <v>4640242181363</v>
      </c>
      <c r="E622" s="794"/>
      <c r="F622" s="788">
        <v>0.4</v>
      </c>
      <c r="G622" s="32">
        <v>10</v>
      </c>
      <c r="H622" s="788">
        <v>4</v>
      </c>
      <c r="I622" s="788">
        <v>4.21</v>
      </c>
      <c r="J622" s="32">
        <v>132</v>
      </c>
      <c r="K622" s="32" t="s">
        <v>126</v>
      </c>
      <c r="L622" s="32"/>
      <c r="M622" s="33" t="s">
        <v>117</v>
      </c>
      <c r="N622" s="33"/>
      <c r="O622" s="32">
        <v>50</v>
      </c>
      <c r="P622" s="1031" t="s">
        <v>995</v>
      </c>
      <c r="Q622" s="799"/>
      <c r="R622" s="799"/>
      <c r="S622" s="799"/>
      <c r="T622" s="800"/>
      <c r="U622" s="34"/>
      <c r="V622" s="34"/>
      <c r="W622" s="35" t="s">
        <v>69</v>
      </c>
      <c r="X622" s="789">
        <v>0</v>
      </c>
      <c r="Y622" s="790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31" t="s">
        <v>992</v>
      </c>
      <c r="AG622" s="64"/>
      <c r="AJ622" s="68"/>
      <c r="AK622" s="68">
        <v>0</v>
      </c>
      <c r="BB622" s="732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808"/>
      <c r="B623" s="809"/>
      <c r="C623" s="809"/>
      <c r="D623" s="809"/>
      <c r="E623" s="809"/>
      <c r="F623" s="809"/>
      <c r="G623" s="809"/>
      <c r="H623" s="809"/>
      <c r="I623" s="809"/>
      <c r="J623" s="809"/>
      <c r="K623" s="809"/>
      <c r="L623" s="809"/>
      <c r="M623" s="809"/>
      <c r="N623" s="809"/>
      <c r="O623" s="810"/>
      <c r="P623" s="795" t="s">
        <v>71</v>
      </c>
      <c r="Q623" s="796"/>
      <c r="R623" s="796"/>
      <c r="S623" s="796"/>
      <c r="T623" s="796"/>
      <c r="U623" s="796"/>
      <c r="V623" s="797"/>
      <c r="W623" s="37" t="s">
        <v>72</v>
      </c>
      <c r="X623" s="791">
        <f>IFERROR(X619/H619,"0")+IFERROR(X620/H620,"0")+IFERROR(X621/H621,"0")+IFERROR(X622/H622,"0")</f>
        <v>0</v>
      </c>
      <c r="Y623" s="791">
        <f>IFERROR(Y619/H619,"0")+IFERROR(Y620/H620,"0")+IFERROR(Y621/H621,"0")+IFERROR(Y622/H622,"0")</f>
        <v>0</v>
      </c>
      <c r="Z623" s="791">
        <f>IFERROR(IF(Z619="",0,Z619),"0")+IFERROR(IF(Z620="",0,Z620),"0")+IFERROR(IF(Z621="",0,Z621),"0")+IFERROR(IF(Z622="",0,Z622),"0")</f>
        <v>0</v>
      </c>
      <c r="AA623" s="792"/>
      <c r="AB623" s="792"/>
      <c r="AC623" s="792"/>
    </row>
    <row r="624" spans="1:68" x14ac:dyDescent="0.2">
      <c r="A624" s="809"/>
      <c r="B624" s="809"/>
      <c r="C624" s="809"/>
      <c r="D624" s="809"/>
      <c r="E624" s="809"/>
      <c r="F624" s="809"/>
      <c r="G624" s="809"/>
      <c r="H624" s="809"/>
      <c r="I624" s="809"/>
      <c r="J624" s="809"/>
      <c r="K624" s="809"/>
      <c r="L624" s="809"/>
      <c r="M624" s="809"/>
      <c r="N624" s="809"/>
      <c r="O624" s="810"/>
      <c r="P624" s="795" t="s">
        <v>71</v>
      </c>
      <c r="Q624" s="796"/>
      <c r="R624" s="796"/>
      <c r="S624" s="796"/>
      <c r="T624" s="796"/>
      <c r="U624" s="796"/>
      <c r="V624" s="797"/>
      <c r="W624" s="37" t="s">
        <v>69</v>
      </c>
      <c r="X624" s="791">
        <f>IFERROR(SUM(X619:X622),"0")</f>
        <v>0</v>
      </c>
      <c r="Y624" s="791">
        <f>IFERROR(SUM(Y619:Y622),"0")</f>
        <v>0</v>
      </c>
      <c r="Z624" s="37"/>
      <c r="AA624" s="792"/>
      <c r="AB624" s="792"/>
      <c r="AC624" s="792"/>
    </row>
    <row r="625" spans="1:68" ht="14.25" customHeight="1" x14ac:dyDescent="0.25">
      <c r="A625" s="811" t="s">
        <v>64</v>
      </c>
      <c r="B625" s="809"/>
      <c r="C625" s="809"/>
      <c r="D625" s="809"/>
      <c r="E625" s="809"/>
      <c r="F625" s="809"/>
      <c r="G625" s="809"/>
      <c r="H625" s="809"/>
      <c r="I625" s="809"/>
      <c r="J625" s="809"/>
      <c r="K625" s="809"/>
      <c r="L625" s="809"/>
      <c r="M625" s="809"/>
      <c r="N625" s="809"/>
      <c r="O625" s="809"/>
      <c r="P625" s="809"/>
      <c r="Q625" s="809"/>
      <c r="R625" s="809"/>
      <c r="S625" s="809"/>
      <c r="T625" s="809"/>
      <c r="U625" s="809"/>
      <c r="V625" s="809"/>
      <c r="W625" s="809"/>
      <c r="X625" s="809"/>
      <c r="Y625" s="809"/>
      <c r="Z625" s="809"/>
      <c r="AA625" s="785"/>
      <c r="AB625" s="785"/>
      <c r="AC625" s="785"/>
    </row>
    <row r="626" spans="1:68" ht="27" customHeight="1" x14ac:dyDescent="0.25">
      <c r="A626" s="54" t="s">
        <v>996</v>
      </c>
      <c r="B626" s="54" t="s">
        <v>997</v>
      </c>
      <c r="C626" s="31">
        <v>4301031280</v>
      </c>
      <c r="D626" s="793">
        <v>4640242180816</v>
      </c>
      <c r="E626" s="794"/>
      <c r="F626" s="788">
        <v>0.7</v>
      </c>
      <c r="G626" s="32">
        <v>6</v>
      </c>
      <c r="H626" s="788">
        <v>4.2</v>
      </c>
      <c r="I626" s="788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8" t="s">
        <v>998</v>
      </c>
      <c r="Q626" s="799"/>
      <c r="R626" s="799"/>
      <c r="S626" s="799"/>
      <c r="T626" s="800"/>
      <c r="U626" s="34"/>
      <c r="V626" s="34"/>
      <c r="W626" s="35" t="s">
        <v>69</v>
      </c>
      <c r="X626" s="789">
        <v>0</v>
      </c>
      <c r="Y626" s="790">
        <f t="shared" ref="Y626:Y632" si="125"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33" t="s">
        <v>999</v>
      </c>
      <c r="AG626" s="64"/>
      <c r="AJ626" s="68"/>
      <c r="AK626" s="68">
        <v>0</v>
      </c>
      <c r="BB626" s="734" t="s">
        <v>1</v>
      </c>
      <c r="BM626" s="64">
        <f t="shared" ref="BM626:BM632" si="126">IFERROR(X626*I626/H626,"0")</f>
        <v>0</v>
      </c>
      <c r="BN626" s="64">
        <f t="shared" ref="BN626:BN632" si="127">IFERROR(Y626*I626/H626,"0")</f>
        <v>0</v>
      </c>
      <c r="BO626" s="64">
        <f t="shared" ref="BO626:BO632" si="128">IFERROR(1/J626*(X626/H626),"0")</f>
        <v>0</v>
      </c>
      <c r="BP626" s="64">
        <f t="shared" ref="BP626:BP632" si="129">IFERROR(1/J626*(Y626/H626),"0")</f>
        <v>0</v>
      </c>
    </row>
    <row r="627" spans="1:68" ht="27" customHeight="1" x14ac:dyDescent="0.25">
      <c r="A627" s="54" t="s">
        <v>1000</v>
      </c>
      <c r="B627" s="54" t="s">
        <v>1001</v>
      </c>
      <c r="C627" s="31">
        <v>4301031244</v>
      </c>
      <c r="D627" s="793">
        <v>4640242180595</v>
      </c>
      <c r="E627" s="794"/>
      <c r="F627" s="788">
        <v>0.7</v>
      </c>
      <c r="G627" s="32">
        <v>6</v>
      </c>
      <c r="H627" s="788">
        <v>4.2</v>
      </c>
      <c r="I627" s="788">
        <v>4.47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40</v>
      </c>
      <c r="P627" s="1020" t="s">
        <v>1002</v>
      </c>
      <c r="Q627" s="799"/>
      <c r="R627" s="799"/>
      <c r="S627" s="799"/>
      <c r="T627" s="800"/>
      <c r="U627" s="34"/>
      <c r="V627" s="34"/>
      <c r="W627" s="35" t="s">
        <v>69</v>
      </c>
      <c r="X627" s="789">
        <v>0</v>
      </c>
      <c r="Y627" s="790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1003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1004</v>
      </c>
      <c r="B628" s="54" t="s">
        <v>1005</v>
      </c>
      <c r="C628" s="31">
        <v>4301031289</v>
      </c>
      <c r="D628" s="793">
        <v>4640242181615</v>
      </c>
      <c r="E628" s="794"/>
      <c r="F628" s="788">
        <v>0.7</v>
      </c>
      <c r="G628" s="32">
        <v>6</v>
      </c>
      <c r="H628" s="788">
        <v>4.2</v>
      </c>
      <c r="I628" s="788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6" t="s">
        <v>1006</v>
      </c>
      <c r="Q628" s="799"/>
      <c r="R628" s="799"/>
      <c r="S628" s="799"/>
      <c r="T628" s="800"/>
      <c r="U628" s="34"/>
      <c r="V628" s="34"/>
      <c r="W628" s="35" t="s">
        <v>69</v>
      </c>
      <c r="X628" s="789">
        <v>0</v>
      </c>
      <c r="Y628" s="790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1007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1008</v>
      </c>
      <c r="B629" s="54" t="s">
        <v>1009</v>
      </c>
      <c r="C629" s="31">
        <v>4301031285</v>
      </c>
      <c r="D629" s="793">
        <v>4640242181639</v>
      </c>
      <c r="E629" s="794"/>
      <c r="F629" s="788">
        <v>0.7</v>
      </c>
      <c r="G629" s="32">
        <v>6</v>
      </c>
      <c r="H629" s="788">
        <v>4.2</v>
      </c>
      <c r="I629" s="788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62" t="s">
        <v>1010</v>
      </c>
      <c r="Q629" s="799"/>
      <c r="R629" s="799"/>
      <c r="S629" s="799"/>
      <c r="T629" s="800"/>
      <c r="U629" s="34"/>
      <c r="V629" s="34"/>
      <c r="W629" s="35" t="s">
        <v>69</v>
      </c>
      <c r="X629" s="789">
        <v>0</v>
      </c>
      <c r="Y629" s="790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1011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1012</v>
      </c>
      <c r="B630" s="54" t="s">
        <v>1013</v>
      </c>
      <c r="C630" s="31">
        <v>4301031287</v>
      </c>
      <c r="D630" s="793">
        <v>4640242181622</v>
      </c>
      <c r="E630" s="794"/>
      <c r="F630" s="788">
        <v>0.7</v>
      </c>
      <c r="G630" s="32">
        <v>6</v>
      </c>
      <c r="H630" s="788">
        <v>4.2</v>
      </c>
      <c r="I630" s="788">
        <v>4.41</v>
      </c>
      <c r="J630" s="32">
        <v>132</v>
      </c>
      <c r="K630" s="32" t="s">
        <v>126</v>
      </c>
      <c r="L630" s="32"/>
      <c r="M630" s="33" t="s">
        <v>68</v>
      </c>
      <c r="N630" s="33"/>
      <c r="O630" s="32">
        <v>45</v>
      </c>
      <c r="P630" s="1070" t="s">
        <v>1014</v>
      </c>
      <c r="Q630" s="799"/>
      <c r="R630" s="799"/>
      <c r="S630" s="799"/>
      <c r="T630" s="800"/>
      <c r="U630" s="34"/>
      <c r="V630" s="34"/>
      <c r="W630" s="35" t="s">
        <v>69</v>
      </c>
      <c r="X630" s="789">
        <v>0</v>
      </c>
      <c r="Y630" s="790">
        <f t="shared" si="125"/>
        <v>0</v>
      </c>
      <c r="Z630" s="36" t="str">
        <f>IFERROR(IF(Y630=0,"",ROUNDUP(Y630/H630,0)*0.00902),"")</f>
        <v/>
      </c>
      <c r="AA630" s="56"/>
      <c r="AB630" s="57"/>
      <c r="AC630" s="741" t="s">
        <v>1015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4301031203</v>
      </c>
      <c r="D631" s="793">
        <v>4640242180908</v>
      </c>
      <c r="E631" s="794"/>
      <c r="F631" s="788">
        <v>0.28000000000000003</v>
      </c>
      <c r="G631" s="32">
        <v>6</v>
      </c>
      <c r="H631" s="788">
        <v>1.68</v>
      </c>
      <c r="I631" s="788">
        <v>1.81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109" t="s">
        <v>1018</v>
      </c>
      <c r="Q631" s="799"/>
      <c r="R631" s="799"/>
      <c r="S631" s="799"/>
      <c r="T631" s="800"/>
      <c r="U631" s="34"/>
      <c r="V631" s="34"/>
      <c r="W631" s="35" t="s">
        <v>69</v>
      </c>
      <c r="X631" s="789">
        <v>0</v>
      </c>
      <c r="Y631" s="790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999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1019</v>
      </c>
      <c r="B632" s="54" t="s">
        <v>1020</v>
      </c>
      <c r="C632" s="31">
        <v>4301031200</v>
      </c>
      <c r="D632" s="793">
        <v>4640242180489</v>
      </c>
      <c r="E632" s="794"/>
      <c r="F632" s="788">
        <v>0.28000000000000003</v>
      </c>
      <c r="G632" s="32">
        <v>6</v>
      </c>
      <c r="H632" s="788">
        <v>1.68</v>
      </c>
      <c r="I632" s="788">
        <v>1.84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4" t="s">
        <v>1021</v>
      </c>
      <c r="Q632" s="799"/>
      <c r="R632" s="799"/>
      <c r="S632" s="799"/>
      <c r="T632" s="800"/>
      <c r="U632" s="34"/>
      <c r="V632" s="34"/>
      <c r="W632" s="35" t="s">
        <v>69</v>
      </c>
      <c r="X632" s="789">
        <v>0</v>
      </c>
      <c r="Y632" s="790">
        <f t="shared" si="125"/>
        <v>0</v>
      </c>
      <c r="Z632" s="36" t="str">
        <f>IFERROR(IF(Y632=0,"",ROUNDUP(Y632/H632,0)*0.00502),"")</f>
        <v/>
      </c>
      <c r="AA632" s="56"/>
      <c r="AB632" s="57"/>
      <c r="AC632" s="745" t="s">
        <v>1003</v>
      </c>
      <c r="AG632" s="64"/>
      <c r="AJ632" s="68"/>
      <c r="AK632" s="68">
        <v>0</v>
      </c>
      <c r="BB632" s="746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8"/>
      <c r="B633" s="809"/>
      <c r="C633" s="809"/>
      <c r="D633" s="809"/>
      <c r="E633" s="809"/>
      <c r="F633" s="809"/>
      <c r="G633" s="809"/>
      <c r="H633" s="809"/>
      <c r="I633" s="809"/>
      <c r="J633" s="809"/>
      <c r="K633" s="809"/>
      <c r="L633" s="809"/>
      <c r="M633" s="809"/>
      <c r="N633" s="809"/>
      <c r="O633" s="810"/>
      <c r="P633" s="795" t="s">
        <v>71</v>
      </c>
      <c r="Q633" s="796"/>
      <c r="R633" s="796"/>
      <c r="S633" s="796"/>
      <c r="T633" s="796"/>
      <c r="U633" s="796"/>
      <c r="V633" s="797"/>
      <c r="W633" s="37" t="s">
        <v>72</v>
      </c>
      <c r="X633" s="791">
        <f>IFERROR(X626/H626,"0")+IFERROR(X627/H627,"0")+IFERROR(X628/H628,"0")+IFERROR(X629/H629,"0")+IFERROR(X630/H630,"0")+IFERROR(X631/H631,"0")+IFERROR(X632/H632,"0")</f>
        <v>0</v>
      </c>
      <c r="Y633" s="791">
        <f>IFERROR(Y626/H626,"0")+IFERROR(Y627/H627,"0")+IFERROR(Y628/H628,"0")+IFERROR(Y629/H629,"0")+IFERROR(Y630/H630,"0")+IFERROR(Y631/H631,"0")+IFERROR(Y632/H632,"0")</f>
        <v>0</v>
      </c>
      <c r="Z633" s="791">
        <f>IFERROR(IF(Z626="",0,Z626),"0")+IFERROR(IF(Z627="",0,Z627),"0")+IFERROR(IF(Z628="",0,Z628),"0")+IFERROR(IF(Z629="",0,Z629),"0")+IFERROR(IF(Z630="",0,Z630),"0")+IFERROR(IF(Z631="",0,Z631),"0")+IFERROR(IF(Z632="",0,Z632),"0")</f>
        <v>0</v>
      </c>
      <c r="AA633" s="792"/>
      <c r="AB633" s="792"/>
      <c r="AC633" s="792"/>
    </row>
    <row r="634" spans="1:68" x14ac:dyDescent="0.2">
      <c r="A634" s="809"/>
      <c r="B634" s="809"/>
      <c r="C634" s="809"/>
      <c r="D634" s="809"/>
      <c r="E634" s="809"/>
      <c r="F634" s="809"/>
      <c r="G634" s="809"/>
      <c r="H634" s="809"/>
      <c r="I634" s="809"/>
      <c r="J634" s="809"/>
      <c r="K634" s="809"/>
      <c r="L634" s="809"/>
      <c r="M634" s="809"/>
      <c r="N634" s="809"/>
      <c r="O634" s="810"/>
      <c r="P634" s="795" t="s">
        <v>71</v>
      </c>
      <c r="Q634" s="796"/>
      <c r="R634" s="796"/>
      <c r="S634" s="796"/>
      <c r="T634" s="796"/>
      <c r="U634" s="796"/>
      <c r="V634" s="797"/>
      <c r="W634" s="37" t="s">
        <v>69</v>
      </c>
      <c r="X634" s="791">
        <f>IFERROR(SUM(X626:X632),"0")</f>
        <v>0</v>
      </c>
      <c r="Y634" s="791">
        <f>IFERROR(SUM(Y626:Y632),"0")</f>
        <v>0</v>
      </c>
      <c r="Z634" s="37"/>
      <c r="AA634" s="792"/>
      <c r="AB634" s="792"/>
      <c r="AC634" s="792"/>
    </row>
    <row r="635" spans="1:68" ht="14.25" customHeight="1" x14ac:dyDescent="0.25">
      <c r="A635" s="811" t="s">
        <v>73</v>
      </c>
      <c r="B635" s="809"/>
      <c r="C635" s="809"/>
      <c r="D635" s="809"/>
      <c r="E635" s="809"/>
      <c r="F635" s="809"/>
      <c r="G635" s="809"/>
      <c r="H635" s="809"/>
      <c r="I635" s="809"/>
      <c r="J635" s="809"/>
      <c r="K635" s="809"/>
      <c r="L635" s="809"/>
      <c r="M635" s="809"/>
      <c r="N635" s="809"/>
      <c r="O635" s="809"/>
      <c r="P635" s="809"/>
      <c r="Q635" s="809"/>
      <c r="R635" s="809"/>
      <c r="S635" s="809"/>
      <c r="T635" s="809"/>
      <c r="U635" s="809"/>
      <c r="V635" s="809"/>
      <c r="W635" s="809"/>
      <c r="X635" s="809"/>
      <c r="Y635" s="809"/>
      <c r="Z635" s="809"/>
      <c r="AA635" s="785"/>
      <c r="AB635" s="785"/>
      <c r="AC635" s="785"/>
    </row>
    <row r="636" spans="1:68" ht="27" customHeight="1" x14ac:dyDescent="0.25">
      <c r="A636" s="54" t="s">
        <v>1022</v>
      </c>
      <c r="B636" s="54" t="s">
        <v>1023</v>
      </c>
      <c r="C636" s="31">
        <v>4301051746</v>
      </c>
      <c r="D636" s="793">
        <v>4640242180533</v>
      </c>
      <c r="E636" s="794"/>
      <c r="F636" s="788">
        <v>1.3</v>
      </c>
      <c r="G636" s="32">
        <v>6</v>
      </c>
      <c r="H636" s="788">
        <v>7.8</v>
      </c>
      <c r="I636" s="788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40</v>
      </c>
      <c r="P636" s="1159" t="s">
        <v>1024</v>
      </c>
      <c r="Q636" s="799"/>
      <c r="R636" s="799"/>
      <c r="S636" s="799"/>
      <c r="T636" s="800"/>
      <c r="U636" s="34"/>
      <c r="V636" s="34"/>
      <c r="W636" s="35" t="s">
        <v>69</v>
      </c>
      <c r="X636" s="789">
        <v>1200</v>
      </c>
      <c r="Y636" s="790">
        <f t="shared" ref="Y636:Y643" si="130">IFERROR(IF(X636="",0,CEILING((X636/$H636),1)*$H636),"")</f>
        <v>1201.2</v>
      </c>
      <c r="Z636" s="36">
        <f>IFERROR(IF(Y636=0,"",ROUNDUP(Y636/H636,0)*0.02175),"")</f>
        <v>3.3494999999999999</v>
      </c>
      <c r="AA636" s="56"/>
      <c r="AB636" s="57"/>
      <c r="AC636" s="747" t="s">
        <v>1025</v>
      </c>
      <c r="AG636" s="64"/>
      <c r="AJ636" s="68"/>
      <c r="AK636" s="68">
        <v>0</v>
      </c>
      <c r="BB636" s="748" t="s">
        <v>1</v>
      </c>
      <c r="BM636" s="64">
        <f t="shared" ref="BM636:BM643" si="131">IFERROR(X636*I636/H636,"0")</f>
        <v>1286.7692307692309</v>
      </c>
      <c r="BN636" s="64">
        <f t="shared" ref="BN636:BN643" si="132">IFERROR(Y636*I636/H636,"0")</f>
        <v>1288.056</v>
      </c>
      <c r="BO636" s="64">
        <f t="shared" ref="BO636:BO643" si="133">IFERROR(1/J636*(X636/H636),"0")</f>
        <v>2.7472527472527468</v>
      </c>
      <c r="BP636" s="64">
        <f t="shared" ref="BP636:BP643" si="134">IFERROR(1/J636*(Y636/H636),"0")</f>
        <v>2.75</v>
      </c>
    </row>
    <row r="637" spans="1:68" ht="27" customHeight="1" x14ac:dyDescent="0.25">
      <c r="A637" s="54" t="s">
        <v>1022</v>
      </c>
      <c r="B637" s="54" t="s">
        <v>1026</v>
      </c>
      <c r="C637" s="31">
        <v>4301051887</v>
      </c>
      <c r="D637" s="793">
        <v>4640242180533</v>
      </c>
      <c r="E637" s="794"/>
      <c r="F637" s="788">
        <v>1.3</v>
      </c>
      <c r="G637" s="32">
        <v>6</v>
      </c>
      <c r="H637" s="788">
        <v>7.8</v>
      </c>
      <c r="I637" s="788">
        <v>8.3640000000000008</v>
      </c>
      <c r="J637" s="32">
        <v>56</v>
      </c>
      <c r="K637" s="32" t="s">
        <v>116</v>
      </c>
      <c r="L637" s="32"/>
      <c r="M637" s="33" t="s">
        <v>77</v>
      </c>
      <c r="N637" s="33"/>
      <c r="O637" s="32">
        <v>45</v>
      </c>
      <c r="P637" s="906" t="s">
        <v>1027</v>
      </c>
      <c r="Q637" s="799"/>
      <c r="R637" s="799"/>
      <c r="S637" s="799"/>
      <c r="T637" s="800"/>
      <c r="U637" s="34"/>
      <c r="V637" s="34"/>
      <c r="W637" s="35" t="s">
        <v>69</v>
      </c>
      <c r="X637" s="789">
        <v>0</v>
      </c>
      <c r="Y637" s="790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1025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1028</v>
      </c>
      <c r="B638" s="54" t="s">
        <v>1029</v>
      </c>
      <c r="C638" s="31">
        <v>4301051510</v>
      </c>
      <c r="D638" s="793">
        <v>4640242180540</v>
      </c>
      <c r="E638" s="794"/>
      <c r="F638" s="788">
        <v>1.3</v>
      </c>
      <c r="G638" s="32">
        <v>6</v>
      </c>
      <c r="H638" s="788">
        <v>7.8</v>
      </c>
      <c r="I638" s="788">
        <v>8.3640000000000008</v>
      </c>
      <c r="J638" s="32">
        <v>56</v>
      </c>
      <c r="K638" s="32" t="s">
        <v>116</v>
      </c>
      <c r="L638" s="32"/>
      <c r="M638" s="33" t="s">
        <v>68</v>
      </c>
      <c r="N638" s="33"/>
      <c r="O638" s="32">
        <v>30</v>
      </c>
      <c r="P638" s="957" t="s">
        <v>1030</v>
      </c>
      <c r="Q638" s="799"/>
      <c r="R638" s="799"/>
      <c r="S638" s="799"/>
      <c r="T638" s="800"/>
      <c r="U638" s="34"/>
      <c r="V638" s="34"/>
      <c r="W638" s="35" t="s">
        <v>69</v>
      </c>
      <c r="X638" s="789">
        <v>0</v>
      </c>
      <c r="Y638" s="790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1031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1028</v>
      </c>
      <c r="B639" s="54" t="s">
        <v>1032</v>
      </c>
      <c r="C639" s="31">
        <v>4301051933</v>
      </c>
      <c r="D639" s="793">
        <v>4640242180540</v>
      </c>
      <c r="E639" s="794"/>
      <c r="F639" s="788">
        <v>1.3</v>
      </c>
      <c r="G639" s="32">
        <v>6</v>
      </c>
      <c r="H639" s="788">
        <v>7.8</v>
      </c>
      <c r="I639" s="788">
        <v>8.3640000000000008</v>
      </c>
      <c r="J639" s="32">
        <v>56</v>
      </c>
      <c r="K639" s="32" t="s">
        <v>116</v>
      </c>
      <c r="L639" s="32"/>
      <c r="M639" s="33" t="s">
        <v>77</v>
      </c>
      <c r="N639" s="33"/>
      <c r="O639" s="32">
        <v>45</v>
      </c>
      <c r="P639" s="1153" t="s">
        <v>1033</v>
      </c>
      <c r="Q639" s="799"/>
      <c r="R639" s="799"/>
      <c r="S639" s="799"/>
      <c r="T639" s="800"/>
      <c r="U639" s="34"/>
      <c r="V639" s="34"/>
      <c r="W639" s="35" t="s">
        <v>69</v>
      </c>
      <c r="X639" s="789">
        <v>0</v>
      </c>
      <c r="Y639" s="790">
        <f t="shared" si="130"/>
        <v>0</v>
      </c>
      <c r="Z639" s="36" t="str">
        <f>IFERROR(IF(Y639=0,"",ROUNDUP(Y639/H639,0)*0.02175),"")</f>
        <v/>
      </c>
      <c r="AA639" s="56"/>
      <c r="AB639" s="57"/>
      <c r="AC639" s="753" t="s">
        <v>1031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1034</v>
      </c>
      <c r="B640" s="54" t="s">
        <v>1035</v>
      </c>
      <c r="C640" s="31">
        <v>4301051390</v>
      </c>
      <c r="D640" s="793">
        <v>4640242181233</v>
      </c>
      <c r="E640" s="794"/>
      <c r="F640" s="788">
        <v>0.3</v>
      </c>
      <c r="G640" s="32">
        <v>6</v>
      </c>
      <c r="H640" s="788">
        <v>1.8</v>
      </c>
      <c r="I640" s="788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59" t="s">
        <v>1036</v>
      </c>
      <c r="Q640" s="799"/>
      <c r="R640" s="799"/>
      <c r="S640" s="799"/>
      <c r="T640" s="800"/>
      <c r="U640" s="34"/>
      <c r="V640" s="34"/>
      <c r="W640" s="35" t="s">
        <v>69</v>
      </c>
      <c r="X640" s="789">
        <v>0</v>
      </c>
      <c r="Y640" s="790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1025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1034</v>
      </c>
      <c r="B641" s="54" t="s">
        <v>1037</v>
      </c>
      <c r="C641" s="31">
        <v>4301051920</v>
      </c>
      <c r="D641" s="793">
        <v>4640242181233</v>
      </c>
      <c r="E641" s="794"/>
      <c r="F641" s="788">
        <v>0.3</v>
      </c>
      <c r="G641" s="32">
        <v>6</v>
      </c>
      <c r="H641" s="788">
        <v>1.8</v>
      </c>
      <c r="I641" s="788">
        <v>2.0640000000000001</v>
      </c>
      <c r="J641" s="32">
        <v>182</v>
      </c>
      <c r="K641" s="32" t="s">
        <v>76</v>
      </c>
      <c r="L641" s="32"/>
      <c r="M641" s="33" t="s">
        <v>162</v>
      </c>
      <c r="N641" s="33"/>
      <c r="O641" s="32">
        <v>45</v>
      </c>
      <c r="P641" s="1161" t="s">
        <v>1038</v>
      </c>
      <c r="Q641" s="799"/>
      <c r="R641" s="799"/>
      <c r="S641" s="799"/>
      <c r="T641" s="800"/>
      <c r="U641" s="34"/>
      <c r="V641" s="34"/>
      <c r="W641" s="35" t="s">
        <v>69</v>
      </c>
      <c r="X641" s="789">
        <v>0</v>
      </c>
      <c r="Y641" s="790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1025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1039</v>
      </c>
      <c r="B642" s="54" t="s">
        <v>1040</v>
      </c>
      <c r="C642" s="31">
        <v>4301051448</v>
      </c>
      <c r="D642" s="793">
        <v>4640242181226</v>
      </c>
      <c r="E642" s="794"/>
      <c r="F642" s="788">
        <v>0.3</v>
      </c>
      <c r="G642" s="32">
        <v>6</v>
      </c>
      <c r="H642" s="788">
        <v>1.8</v>
      </c>
      <c r="I642" s="788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95" t="s">
        <v>1041</v>
      </c>
      <c r="Q642" s="799"/>
      <c r="R642" s="799"/>
      <c r="S642" s="799"/>
      <c r="T642" s="800"/>
      <c r="U642" s="34"/>
      <c r="V642" s="34"/>
      <c r="W642" s="35" t="s">
        <v>69</v>
      </c>
      <c r="X642" s="789">
        <v>0</v>
      </c>
      <c r="Y642" s="790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1031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1039</v>
      </c>
      <c r="B643" s="54" t="s">
        <v>1042</v>
      </c>
      <c r="C643" s="31">
        <v>4301051921</v>
      </c>
      <c r="D643" s="793">
        <v>4640242181226</v>
      </c>
      <c r="E643" s="794"/>
      <c r="F643" s="788">
        <v>0.3</v>
      </c>
      <c r="G643" s="32">
        <v>6</v>
      </c>
      <c r="H643" s="788">
        <v>1.8</v>
      </c>
      <c r="I643" s="788">
        <v>2.052</v>
      </c>
      <c r="J643" s="32">
        <v>182</v>
      </c>
      <c r="K643" s="32" t="s">
        <v>76</v>
      </c>
      <c r="L643" s="32"/>
      <c r="M643" s="33" t="s">
        <v>162</v>
      </c>
      <c r="N643" s="33"/>
      <c r="O643" s="32">
        <v>45</v>
      </c>
      <c r="P643" s="947" t="s">
        <v>1043</v>
      </c>
      <c r="Q643" s="799"/>
      <c r="R643" s="799"/>
      <c r="S643" s="799"/>
      <c r="T643" s="800"/>
      <c r="U643" s="34"/>
      <c r="V643" s="34"/>
      <c r="W643" s="35" t="s">
        <v>69</v>
      </c>
      <c r="X643" s="789">
        <v>0</v>
      </c>
      <c r="Y643" s="790">
        <f t="shared" si="130"/>
        <v>0</v>
      </c>
      <c r="Z643" s="36" t="str">
        <f>IFERROR(IF(Y643=0,"",ROUNDUP(Y643/H643,0)*0.00651),"")</f>
        <v/>
      </c>
      <c r="AA643" s="56"/>
      <c r="AB643" s="57"/>
      <c r="AC643" s="761" t="s">
        <v>1031</v>
      </c>
      <c r="AG643" s="64"/>
      <c r="AJ643" s="68"/>
      <c r="AK643" s="68">
        <v>0</v>
      </c>
      <c r="BB643" s="762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x14ac:dyDescent="0.2">
      <c r="A644" s="808"/>
      <c r="B644" s="809"/>
      <c r="C644" s="809"/>
      <c r="D644" s="809"/>
      <c r="E644" s="809"/>
      <c r="F644" s="809"/>
      <c r="G644" s="809"/>
      <c r="H644" s="809"/>
      <c r="I644" s="809"/>
      <c r="J644" s="809"/>
      <c r="K644" s="809"/>
      <c r="L644" s="809"/>
      <c r="M644" s="809"/>
      <c r="N644" s="809"/>
      <c r="O644" s="810"/>
      <c r="P644" s="795" t="s">
        <v>71</v>
      </c>
      <c r="Q644" s="796"/>
      <c r="R644" s="796"/>
      <c r="S644" s="796"/>
      <c r="T644" s="796"/>
      <c r="U644" s="796"/>
      <c r="V644" s="797"/>
      <c r="W644" s="37" t="s">
        <v>72</v>
      </c>
      <c r="X644" s="791">
        <f>IFERROR(X636/H636,"0")+IFERROR(X637/H637,"0")+IFERROR(X638/H638,"0")+IFERROR(X639/H639,"0")+IFERROR(X640/H640,"0")+IFERROR(X641/H641,"0")+IFERROR(X642/H642,"0")+IFERROR(X643/H643,"0")</f>
        <v>153.84615384615384</v>
      </c>
      <c r="Y644" s="791">
        <f>IFERROR(Y636/H636,"0")+IFERROR(Y637/H637,"0")+IFERROR(Y638/H638,"0")+IFERROR(Y639/H639,"0")+IFERROR(Y640/H640,"0")+IFERROR(Y641/H641,"0")+IFERROR(Y642/H642,"0")+IFERROR(Y643/H643,"0")</f>
        <v>154</v>
      </c>
      <c r="Z644" s="791">
        <f>IFERROR(IF(Z636="",0,Z636),"0")+IFERROR(IF(Z637="",0,Z637),"0")+IFERROR(IF(Z638="",0,Z638),"0")+IFERROR(IF(Z639="",0,Z639),"0")+IFERROR(IF(Z640="",0,Z640),"0")+IFERROR(IF(Z641="",0,Z641),"0")+IFERROR(IF(Z642="",0,Z642),"0")+IFERROR(IF(Z643="",0,Z643),"0")</f>
        <v>3.3494999999999999</v>
      </c>
      <c r="AA644" s="792"/>
      <c r="AB644" s="792"/>
      <c r="AC644" s="792"/>
    </row>
    <row r="645" spans="1:68" x14ac:dyDescent="0.2">
      <c r="A645" s="809"/>
      <c r="B645" s="809"/>
      <c r="C645" s="809"/>
      <c r="D645" s="809"/>
      <c r="E645" s="809"/>
      <c r="F645" s="809"/>
      <c r="G645" s="809"/>
      <c r="H645" s="809"/>
      <c r="I645" s="809"/>
      <c r="J645" s="809"/>
      <c r="K645" s="809"/>
      <c r="L645" s="809"/>
      <c r="M645" s="809"/>
      <c r="N645" s="809"/>
      <c r="O645" s="810"/>
      <c r="P645" s="795" t="s">
        <v>71</v>
      </c>
      <c r="Q645" s="796"/>
      <c r="R645" s="796"/>
      <c r="S645" s="796"/>
      <c r="T645" s="796"/>
      <c r="U645" s="796"/>
      <c r="V645" s="797"/>
      <c r="W645" s="37" t="s">
        <v>69</v>
      </c>
      <c r="X645" s="791">
        <f>IFERROR(SUM(X636:X643),"0")</f>
        <v>1200</v>
      </c>
      <c r="Y645" s="791">
        <f>IFERROR(SUM(Y636:Y643),"0")</f>
        <v>1201.2</v>
      </c>
      <c r="Z645" s="37"/>
      <c r="AA645" s="792"/>
      <c r="AB645" s="792"/>
      <c r="AC645" s="792"/>
    </row>
    <row r="646" spans="1:68" ht="14.25" customHeight="1" x14ac:dyDescent="0.25">
      <c r="A646" s="811" t="s">
        <v>208</v>
      </c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09"/>
      <c r="P646" s="809"/>
      <c r="Q646" s="809"/>
      <c r="R646" s="809"/>
      <c r="S646" s="809"/>
      <c r="T646" s="809"/>
      <c r="U646" s="809"/>
      <c r="V646" s="809"/>
      <c r="W646" s="809"/>
      <c r="X646" s="809"/>
      <c r="Y646" s="809"/>
      <c r="Z646" s="809"/>
      <c r="AA646" s="785"/>
      <c r="AB646" s="785"/>
      <c r="AC646" s="785"/>
    </row>
    <row r="647" spans="1:68" ht="27" customHeight="1" x14ac:dyDescent="0.25">
      <c r="A647" s="54" t="s">
        <v>1044</v>
      </c>
      <c r="B647" s="54" t="s">
        <v>1045</v>
      </c>
      <c r="C647" s="31">
        <v>4301060408</v>
      </c>
      <c r="D647" s="793">
        <v>4640242180120</v>
      </c>
      <c r="E647" s="794"/>
      <c r="F647" s="788">
        <v>1.3</v>
      </c>
      <c r="G647" s="32">
        <v>6</v>
      </c>
      <c r="H647" s="788">
        <v>7.8</v>
      </c>
      <c r="I647" s="788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2" t="s">
        <v>1046</v>
      </c>
      <c r="Q647" s="799"/>
      <c r="R647" s="799"/>
      <c r="S647" s="799"/>
      <c r="T647" s="800"/>
      <c r="U647" s="34"/>
      <c r="V647" s="34"/>
      <c r="W647" s="35" t="s">
        <v>69</v>
      </c>
      <c r="X647" s="789">
        <v>0</v>
      </c>
      <c r="Y647" s="790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1047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1044</v>
      </c>
      <c r="B648" s="54" t="s">
        <v>1048</v>
      </c>
      <c r="C648" s="31">
        <v>4301060354</v>
      </c>
      <c r="D648" s="793">
        <v>4640242180120</v>
      </c>
      <c r="E648" s="794"/>
      <c r="F648" s="788">
        <v>1.3</v>
      </c>
      <c r="G648" s="32">
        <v>6</v>
      </c>
      <c r="H648" s="788">
        <v>7.8</v>
      </c>
      <c r="I648" s="788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38" t="s">
        <v>1049</v>
      </c>
      <c r="Q648" s="799"/>
      <c r="R648" s="799"/>
      <c r="S648" s="799"/>
      <c r="T648" s="800"/>
      <c r="U648" s="34"/>
      <c r="V648" s="34"/>
      <c r="W648" s="35" t="s">
        <v>69</v>
      </c>
      <c r="X648" s="789">
        <v>0</v>
      </c>
      <c r="Y648" s="790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1047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1050</v>
      </c>
      <c r="B649" s="54" t="s">
        <v>1051</v>
      </c>
      <c r="C649" s="31">
        <v>4301060407</v>
      </c>
      <c r="D649" s="793">
        <v>4640242180137</v>
      </c>
      <c r="E649" s="794"/>
      <c r="F649" s="788">
        <v>1.3</v>
      </c>
      <c r="G649" s="32">
        <v>6</v>
      </c>
      <c r="H649" s="788">
        <v>7.8</v>
      </c>
      <c r="I649" s="788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34" t="s">
        <v>1052</v>
      </c>
      <c r="Q649" s="799"/>
      <c r="R649" s="799"/>
      <c r="S649" s="799"/>
      <c r="T649" s="800"/>
      <c r="U649" s="34"/>
      <c r="V649" s="34"/>
      <c r="W649" s="35" t="s">
        <v>69</v>
      </c>
      <c r="X649" s="789">
        <v>0</v>
      </c>
      <c r="Y649" s="790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1053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1050</v>
      </c>
      <c r="B650" s="54" t="s">
        <v>1054</v>
      </c>
      <c r="C650" s="31">
        <v>4301060355</v>
      </c>
      <c r="D650" s="793">
        <v>4640242180137</v>
      </c>
      <c r="E650" s="794"/>
      <c r="F650" s="788">
        <v>1.3</v>
      </c>
      <c r="G650" s="32">
        <v>6</v>
      </c>
      <c r="H650" s="788">
        <v>7.8</v>
      </c>
      <c r="I650" s="788">
        <v>8.2799999999999994</v>
      </c>
      <c r="J650" s="32">
        <v>56</v>
      </c>
      <c r="K650" s="32" t="s">
        <v>116</v>
      </c>
      <c r="L650" s="32"/>
      <c r="M650" s="33" t="s">
        <v>68</v>
      </c>
      <c r="N650" s="33"/>
      <c r="O650" s="32">
        <v>40</v>
      </c>
      <c r="P650" s="1223" t="s">
        <v>1055</v>
      </c>
      <c r="Q650" s="799"/>
      <c r="R650" s="799"/>
      <c r="S650" s="799"/>
      <c r="T650" s="800"/>
      <c r="U650" s="34"/>
      <c r="V650" s="34"/>
      <c r="W650" s="35" t="s">
        <v>69</v>
      </c>
      <c r="X650" s="789">
        <v>0</v>
      </c>
      <c r="Y650" s="790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9" t="s">
        <v>1053</v>
      </c>
      <c r="AG650" s="64"/>
      <c r="AJ650" s="68"/>
      <c r="AK650" s="68">
        <v>0</v>
      </c>
      <c r="BB650" s="77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808"/>
      <c r="B651" s="809"/>
      <c r="C651" s="809"/>
      <c r="D651" s="809"/>
      <c r="E651" s="809"/>
      <c r="F651" s="809"/>
      <c r="G651" s="809"/>
      <c r="H651" s="809"/>
      <c r="I651" s="809"/>
      <c r="J651" s="809"/>
      <c r="K651" s="809"/>
      <c r="L651" s="809"/>
      <c r="M651" s="809"/>
      <c r="N651" s="809"/>
      <c r="O651" s="810"/>
      <c r="P651" s="795" t="s">
        <v>71</v>
      </c>
      <c r="Q651" s="796"/>
      <c r="R651" s="796"/>
      <c r="S651" s="796"/>
      <c r="T651" s="796"/>
      <c r="U651" s="796"/>
      <c r="V651" s="797"/>
      <c r="W651" s="37" t="s">
        <v>72</v>
      </c>
      <c r="X651" s="791">
        <f>IFERROR(X647/H647,"0")+IFERROR(X648/H648,"0")+IFERROR(X649/H649,"0")+IFERROR(X650/H650,"0")</f>
        <v>0</v>
      </c>
      <c r="Y651" s="791">
        <f>IFERROR(Y647/H647,"0")+IFERROR(Y648/H648,"0")+IFERROR(Y649/H649,"0")+IFERROR(Y650/H650,"0")</f>
        <v>0</v>
      </c>
      <c r="Z651" s="791">
        <f>IFERROR(IF(Z647="",0,Z647),"0")+IFERROR(IF(Z648="",0,Z648),"0")+IFERROR(IF(Z649="",0,Z649),"0")+IFERROR(IF(Z650="",0,Z650),"0")</f>
        <v>0</v>
      </c>
      <c r="AA651" s="792"/>
      <c r="AB651" s="792"/>
      <c r="AC651" s="792"/>
    </row>
    <row r="652" spans="1:68" x14ac:dyDescent="0.2">
      <c r="A652" s="809"/>
      <c r="B652" s="809"/>
      <c r="C652" s="809"/>
      <c r="D652" s="809"/>
      <c r="E652" s="809"/>
      <c r="F652" s="809"/>
      <c r="G652" s="809"/>
      <c r="H652" s="809"/>
      <c r="I652" s="809"/>
      <c r="J652" s="809"/>
      <c r="K652" s="809"/>
      <c r="L652" s="809"/>
      <c r="M652" s="809"/>
      <c r="N652" s="809"/>
      <c r="O652" s="810"/>
      <c r="P652" s="795" t="s">
        <v>71</v>
      </c>
      <c r="Q652" s="796"/>
      <c r="R652" s="796"/>
      <c r="S652" s="796"/>
      <c r="T652" s="796"/>
      <c r="U652" s="796"/>
      <c r="V652" s="797"/>
      <c r="W652" s="37" t="s">
        <v>69</v>
      </c>
      <c r="X652" s="791">
        <f>IFERROR(SUM(X647:X650),"0")</f>
        <v>0</v>
      </c>
      <c r="Y652" s="791">
        <f>IFERROR(SUM(Y647:Y650),"0")</f>
        <v>0</v>
      </c>
      <c r="Z652" s="37"/>
      <c r="AA652" s="792"/>
      <c r="AB652" s="792"/>
      <c r="AC652" s="792"/>
    </row>
    <row r="653" spans="1:68" ht="16.5" customHeight="1" x14ac:dyDescent="0.25">
      <c r="A653" s="839" t="s">
        <v>1056</v>
      </c>
      <c r="B653" s="809"/>
      <c r="C653" s="809"/>
      <c r="D653" s="809"/>
      <c r="E653" s="809"/>
      <c r="F653" s="809"/>
      <c r="G653" s="809"/>
      <c r="H653" s="809"/>
      <c r="I653" s="809"/>
      <c r="J653" s="809"/>
      <c r="K653" s="809"/>
      <c r="L653" s="809"/>
      <c r="M653" s="809"/>
      <c r="N653" s="809"/>
      <c r="O653" s="809"/>
      <c r="P653" s="809"/>
      <c r="Q653" s="809"/>
      <c r="R653" s="809"/>
      <c r="S653" s="809"/>
      <c r="T653" s="809"/>
      <c r="U653" s="809"/>
      <c r="V653" s="809"/>
      <c r="W653" s="809"/>
      <c r="X653" s="809"/>
      <c r="Y653" s="809"/>
      <c r="Z653" s="809"/>
      <c r="AA653" s="784"/>
      <c r="AB653" s="784"/>
      <c r="AC653" s="784"/>
    </row>
    <row r="654" spans="1:68" ht="14.25" customHeight="1" x14ac:dyDescent="0.25">
      <c r="A654" s="811" t="s">
        <v>113</v>
      </c>
      <c r="B654" s="809"/>
      <c r="C654" s="809"/>
      <c r="D654" s="809"/>
      <c r="E654" s="809"/>
      <c r="F654" s="809"/>
      <c r="G654" s="809"/>
      <c r="H654" s="809"/>
      <c r="I654" s="809"/>
      <c r="J654" s="809"/>
      <c r="K654" s="809"/>
      <c r="L654" s="809"/>
      <c r="M654" s="809"/>
      <c r="N654" s="809"/>
      <c r="O654" s="809"/>
      <c r="P654" s="809"/>
      <c r="Q654" s="809"/>
      <c r="R654" s="809"/>
      <c r="S654" s="809"/>
      <c r="T654" s="809"/>
      <c r="U654" s="809"/>
      <c r="V654" s="809"/>
      <c r="W654" s="809"/>
      <c r="X654" s="809"/>
      <c r="Y654" s="809"/>
      <c r="Z654" s="809"/>
      <c r="AA654" s="785"/>
      <c r="AB654" s="785"/>
      <c r="AC654" s="785"/>
    </row>
    <row r="655" spans="1:68" ht="27" customHeight="1" x14ac:dyDescent="0.25">
      <c r="A655" s="54" t="s">
        <v>1057</v>
      </c>
      <c r="B655" s="54" t="s">
        <v>1058</v>
      </c>
      <c r="C655" s="31">
        <v>4301011951</v>
      </c>
      <c r="D655" s="793">
        <v>4640242180045</v>
      </c>
      <c r="E655" s="794"/>
      <c r="F655" s="788">
        <v>1.5</v>
      </c>
      <c r="G655" s="32">
        <v>8</v>
      </c>
      <c r="H655" s="788">
        <v>12</v>
      </c>
      <c r="I655" s="788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5" t="s">
        <v>1059</v>
      </c>
      <c r="Q655" s="799"/>
      <c r="R655" s="799"/>
      <c r="S655" s="799"/>
      <c r="T655" s="800"/>
      <c r="U655" s="34"/>
      <c r="V655" s="34"/>
      <c r="W655" s="35" t="s">
        <v>69</v>
      </c>
      <c r="X655" s="789">
        <v>0</v>
      </c>
      <c r="Y655" s="790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1061</v>
      </c>
      <c r="B656" s="54" t="s">
        <v>1062</v>
      </c>
      <c r="C656" s="31">
        <v>4301011950</v>
      </c>
      <c r="D656" s="793">
        <v>4640242180601</v>
      </c>
      <c r="E656" s="794"/>
      <c r="F656" s="788">
        <v>1.5</v>
      </c>
      <c r="G656" s="32">
        <v>8</v>
      </c>
      <c r="H656" s="788">
        <v>12</v>
      </c>
      <c r="I656" s="788">
        <v>12.48</v>
      </c>
      <c r="J656" s="32">
        <v>56</v>
      </c>
      <c r="K656" s="32" t="s">
        <v>116</v>
      </c>
      <c r="L656" s="32"/>
      <c r="M656" s="33" t="s">
        <v>117</v>
      </c>
      <c r="N656" s="33"/>
      <c r="O656" s="32">
        <v>55</v>
      </c>
      <c r="P656" s="968" t="s">
        <v>1063</v>
      </c>
      <c r="Q656" s="799"/>
      <c r="R656" s="799"/>
      <c r="S656" s="799"/>
      <c r="T656" s="800"/>
      <c r="U656" s="34"/>
      <c r="V656" s="34"/>
      <c r="W656" s="35" t="s">
        <v>69</v>
      </c>
      <c r="X656" s="789">
        <v>0</v>
      </c>
      <c r="Y656" s="790">
        <f>IFERROR(IF(X656="",0,CEILING((X656/$H656),1)*$H656),"")</f>
        <v>0</v>
      </c>
      <c r="Z656" s="36" t="str">
        <f>IFERROR(IF(Y656=0,"",ROUNDUP(Y656/H656,0)*0.02175),"")</f>
        <v/>
      </c>
      <c r="AA656" s="56"/>
      <c r="AB656" s="57"/>
      <c r="AC656" s="773" t="s">
        <v>1064</v>
      </c>
      <c r="AG656" s="64"/>
      <c r="AJ656" s="68"/>
      <c r="AK656" s="68">
        <v>0</v>
      </c>
      <c r="BB656" s="774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91">
        <f>IFERROR(X655/H655,"0")+IFERROR(X656/H656,"0")</f>
        <v>0</v>
      </c>
      <c r="Y657" s="791">
        <f>IFERROR(Y655/H655,"0")+IFERROR(Y656/H656,"0")</f>
        <v>0</v>
      </c>
      <c r="Z657" s="791">
        <f>IFERROR(IF(Z655="",0,Z655),"0")+IFERROR(IF(Z656="",0,Z656),"0")</f>
        <v>0</v>
      </c>
      <c r="AA657" s="792"/>
      <c r="AB657" s="792"/>
      <c r="AC657" s="792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91">
        <f>IFERROR(SUM(X655:X656),"0")</f>
        <v>0</v>
      </c>
      <c r="Y658" s="791">
        <f>IFERROR(SUM(Y655:Y656),"0")</f>
        <v>0</v>
      </c>
      <c r="Z658" s="37"/>
      <c r="AA658" s="792"/>
      <c r="AB658" s="792"/>
      <c r="AC658" s="792"/>
    </row>
    <row r="659" spans="1:68" ht="14.25" customHeight="1" x14ac:dyDescent="0.25">
      <c r="A659" s="811" t="s">
        <v>166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85"/>
      <c r="AB659" s="785"/>
      <c r="AC659" s="785"/>
    </row>
    <row r="660" spans="1:68" ht="27" customHeight="1" x14ac:dyDescent="0.25">
      <c r="A660" s="54" t="s">
        <v>1065</v>
      </c>
      <c r="B660" s="54" t="s">
        <v>1066</v>
      </c>
      <c r="C660" s="31">
        <v>4301020314</v>
      </c>
      <c r="D660" s="793">
        <v>4640242180090</v>
      </c>
      <c r="E660" s="794"/>
      <c r="F660" s="788">
        <v>1.5</v>
      </c>
      <c r="G660" s="32">
        <v>8</v>
      </c>
      <c r="H660" s="788">
        <v>12</v>
      </c>
      <c r="I660" s="788">
        <v>12.48</v>
      </c>
      <c r="J660" s="32">
        <v>56</v>
      </c>
      <c r="K660" s="32" t="s">
        <v>116</v>
      </c>
      <c r="L660" s="32"/>
      <c r="M660" s="33" t="s">
        <v>117</v>
      </c>
      <c r="N660" s="33"/>
      <c r="O660" s="32">
        <v>50</v>
      </c>
      <c r="P660" s="897" t="s">
        <v>1067</v>
      </c>
      <c r="Q660" s="799"/>
      <c r="R660" s="799"/>
      <c r="S660" s="799"/>
      <c r="T660" s="800"/>
      <c r="U660" s="34"/>
      <c r="V660" s="34"/>
      <c r="W660" s="35" t="s">
        <v>69</v>
      </c>
      <c r="X660" s="789">
        <v>0</v>
      </c>
      <c r="Y660" s="790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5" t="s">
        <v>1068</v>
      </c>
      <c r="AG660" s="64"/>
      <c r="AJ660" s="68"/>
      <c r="AK660" s="68">
        <v>0</v>
      </c>
      <c r="BB660" s="776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9"/>
      <c r="C661" s="809"/>
      <c r="D661" s="809"/>
      <c r="E661" s="809"/>
      <c r="F661" s="809"/>
      <c r="G661" s="809"/>
      <c r="H661" s="809"/>
      <c r="I661" s="809"/>
      <c r="J661" s="809"/>
      <c r="K661" s="809"/>
      <c r="L661" s="809"/>
      <c r="M661" s="809"/>
      <c r="N661" s="809"/>
      <c r="O661" s="810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91">
        <f>IFERROR(X660/H660,"0")</f>
        <v>0</v>
      </c>
      <c r="Y661" s="791">
        <f>IFERROR(Y660/H660,"0")</f>
        <v>0</v>
      </c>
      <c r="Z661" s="791">
        <f>IFERROR(IF(Z660="",0,Z660),"0")</f>
        <v>0</v>
      </c>
      <c r="AA661" s="792"/>
      <c r="AB661" s="792"/>
      <c r="AC661" s="792"/>
    </row>
    <row r="662" spans="1:68" x14ac:dyDescent="0.2">
      <c r="A662" s="809"/>
      <c r="B662" s="809"/>
      <c r="C662" s="809"/>
      <c r="D662" s="809"/>
      <c r="E662" s="809"/>
      <c r="F662" s="809"/>
      <c r="G662" s="809"/>
      <c r="H662" s="809"/>
      <c r="I662" s="809"/>
      <c r="J662" s="809"/>
      <c r="K662" s="809"/>
      <c r="L662" s="809"/>
      <c r="M662" s="809"/>
      <c r="N662" s="809"/>
      <c r="O662" s="810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91">
        <f>IFERROR(SUM(X660:X660),"0")</f>
        <v>0</v>
      </c>
      <c r="Y662" s="791">
        <f>IFERROR(SUM(Y660:Y660),"0")</f>
        <v>0</v>
      </c>
      <c r="Z662" s="37"/>
      <c r="AA662" s="792"/>
      <c r="AB662" s="792"/>
      <c r="AC662" s="792"/>
    </row>
    <row r="663" spans="1:68" ht="14.25" customHeight="1" x14ac:dyDescent="0.25">
      <c r="A663" s="811" t="s">
        <v>64</v>
      </c>
      <c r="B663" s="809"/>
      <c r="C663" s="809"/>
      <c r="D663" s="809"/>
      <c r="E663" s="809"/>
      <c r="F663" s="809"/>
      <c r="G663" s="809"/>
      <c r="H663" s="809"/>
      <c r="I663" s="809"/>
      <c r="J663" s="809"/>
      <c r="K663" s="809"/>
      <c r="L663" s="809"/>
      <c r="M663" s="809"/>
      <c r="N663" s="809"/>
      <c r="O663" s="809"/>
      <c r="P663" s="809"/>
      <c r="Q663" s="809"/>
      <c r="R663" s="809"/>
      <c r="S663" s="809"/>
      <c r="T663" s="809"/>
      <c r="U663" s="809"/>
      <c r="V663" s="809"/>
      <c r="W663" s="809"/>
      <c r="X663" s="809"/>
      <c r="Y663" s="809"/>
      <c r="Z663" s="809"/>
      <c r="AA663" s="785"/>
      <c r="AB663" s="785"/>
      <c r="AC663" s="785"/>
    </row>
    <row r="664" spans="1:68" ht="27" customHeight="1" x14ac:dyDescent="0.25">
      <c r="A664" s="54" t="s">
        <v>1069</v>
      </c>
      <c r="B664" s="54" t="s">
        <v>1070</v>
      </c>
      <c r="C664" s="31">
        <v>4301031321</v>
      </c>
      <c r="D664" s="793">
        <v>4640242180076</v>
      </c>
      <c r="E664" s="794"/>
      <c r="F664" s="788">
        <v>0.7</v>
      </c>
      <c r="G664" s="32">
        <v>6</v>
      </c>
      <c r="H664" s="788">
        <v>4.2</v>
      </c>
      <c r="I664" s="788">
        <v>4.41</v>
      </c>
      <c r="J664" s="32">
        <v>132</v>
      </c>
      <c r="K664" s="32" t="s">
        <v>126</v>
      </c>
      <c r="L664" s="32"/>
      <c r="M664" s="33" t="s">
        <v>68</v>
      </c>
      <c r="N664" s="33"/>
      <c r="O664" s="32">
        <v>40</v>
      </c>
      <c r="P664" s="846" t="s">
        <v>1071</v>
      </c>
      <c r="Q664" s="799"/>
      <c r="R664" s="799"/>
      <c r="S664" s="799"/>
      <c r="T664" s="800"/>
      <c r="U664" s="34"/>
      <c r="V664" s="34"/>
      <c r="W664" s="35" t="s">
        <v>69</v>
      </c>
      <c r="X664" s="789">
        <v>0</v>
      </c>
      <c r="Y664" s="790">
        <f>IFERROR(IF(X664="",0,CEILING((X664/$H664),1)*$H664),"")</f>
        <v>0</v>
      </c>
      <c r="Z664" s="36" t="str">
        <f>IFERROR(IF(Y664=0,"",ROUNDUP(Y664/H664,0)*0.00902),"")</f>
        <v/>
      </c>
      <c r="AA664" s="56"/>
      <c r="AB664" s="57"/>
      <c r="AC664" s="777" t="s">
        <v>1072</v>
      </c>
      <c r="AG664" s="64"/>
      <c r="AJ664" s="68"/>
      <c r="AK664" s="68">
        <v>0</v>
      </c>
      <c r="BB664" s="778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8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795" t="s">
        <v>71</v>
      </c>
      <c r="Q665" s="796"/>
      <c r="R665" s="796"/>
      <c r="S665" s="796"/>
      <c r="T665" s="796"/>
      <c r="U665" s="796"/>
      <c r="V665" s="797"/>
      <c r="W665" s="37" t="s">
        <v>72</v>
      </c>
      <c r="X665" s="791">
        <f>IFERROR(X664/H664,"0")</f>
        <v>0</v>
      </c>
      <c r="Y665" s="791">
        <f>IFERROR(Y664/H664,"0")</f>
        <v>0</v>
      </c>
      <c r="Z665" s="791">
        <f>IFERROR(IF(Z664="",0,Z664),"0")</f>
        <v>0</v>
      </c>
      <c r="AA665" s="792"/>
      <c r="AB665" s="792"/>
      <c r="AC665" s="792"/>
    </row>
    <row r="666" spans="1:68" x14ac:dyDescent="0.2">
      <c r="A666" s="809"/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10"/>
      <c r="P666" s="795" t="s">
        <v>71</v>
      </c>
      <c r="Q666" s="796"/>
      <c r="R666" s="796"/>
      <c r="S666" s="796"/>
      <c r="T666" s="796"/>
      <c r="U666" s="796"/>
      <c r="V666" s="797"/>
      <c r="W666" s="37" t="s">
        <v>69</v>
      </c>
      <c r="X666" s="791">
        <f>IFERROR(SUM(X664:X664),"0")</f>
        <v>0</v>
      </c>
      <c r="Y666" s="791">
        <f>IFERROR(SUM(Y664:Y664),"0")</f>
        <v>0</v>
      </c>
      <c r="Z666" s="37"/>
      <c r="AA666" s="792"/>
      <c r="AB666" s="792"/>
      <c r="AC666" s="792"/>
    </row>
    <row r="667" spans="1:68" ht="14.25" customHeight="1" x14ac:dyDescent="0.25">
      <c r="A667" s="811" t="s">
        <v>73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85"/>
      <c r="AB667" s="785"/>
      <c r="AC667" s="785"/>
    </row>
    <row r="668" spans="1:68" ht="27" customHeight="1" x14ac:dyDescent="0.25">
      <c r="A668" s="54" t="s">
        <v>1073</v>
      </c>
      <c r="B668" s="54" t="s">
        <v>1074</v>
      </c>
      <c r="C668" s="31">
        <v>4301051780</v>
      </c>
      <c r="D668" s="793">
        <v>4640242180106</v>
      </c>
      <c r="E668" s="794"/>
      <c r="F668" s="788">
        <v>1.3</v>
      </c>
      <c r="G668" s="32">
        <v>6</v>
      </c>
      <c r="H668" s="788">
        <v>7.8</v>
      </c>
      <c r="I668" s="788">
        <v>8.2799999999999994</v>
      </c>
      <c r="J668" s="32">
        <v>56</v>
      </c>
      <c r="K668" s="32" t="s">
        <v>116</v>
      </c>
      <c r="L668" s="32"/>
      <c r="M668" s="33" t="s">
        <v>68</v>
      </c>
      <c r="N668" s="33"/>
      <c r="O668" s="32">
        <v>45</v>
      </c>
      <c r="P668" s="1224" t="s">
        <v>1075</v>
      </c>
      <c r="Q668" s="799"/>
      <c r="R668" s="799"/>
      <c r="S668" s="799"/>
      <c r="T668" s="800"/>
      <c r="U668" s="34"/>
      <c r="V668" s="34"/>
      <c r="W668" s="35" t="s">
        <v>69</v>
      </c>
      <c r="X668" s="789">
        <v>0</v>
      </c>
      <c r="Y668" s="790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1076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8"/>
      <c r="B669" s="809"/>
      <c r="C669" s="809"/>
      <c r="D669" s="809"/>
      <c r="E669" s="809"/>
      <c r="F669" s="809"/>
      <c r="G669" s="809"/>
      <c r="H669" s="809"/>
      <c r="I669" s="809"/>
      <c r="J669" s="809"/>
      <c r="K669" s="809"/>
      <c r="L669" s="809"/>
      <c r="M669" s="809"/>
      <c r="N669" s="809"/>
      <c r="O669" s="810"/>
      <c r="P669" s="795" t="s">
        <v>71</v>
      </c>
      <c r="Q669" s="796"/>
      <c r="R669" s="796"/>
      <c r="S669" s="796"/>
      <c r="T669" s="796"/>
      <c r="U669" s="796"/>
      <c r="V669" s="797"/>
      <c r="W669" s="37" t="s">
        <v>72</v>
      </c>
      <c r="X669" s="791">
        <f>IFERROR(X668/H668,"0")</f>
        <v>0</v>
      </c>
      <c r="Y669" s="791">
        <f>IFERROR(Y668/H668,"0")</f>
        <v>0</v>
      </c>
      <c r="Z669" s="791">
        <f>IFERROR(IF(Z668="",0,Z668),"0")</f>
        <v>0</v>
      </c>
      <c r="AA669" s="792"/>
      <c r="AB669" s="792"/>
      <c r="AC669" s="792"/>
    </row>
    <row r="670" spans="1:68" x14ac:dyDescent="0.2">
      <c r="A670" s="809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795" t="s">
        <v>71</v>
      </c>
      <c r="Q670" s="796"/>
      <c r="R670" s="796"/>
      <c r="S670" s="796"/>
      <c r="T670" s="796"/>
      <c r="U670" s="796"/>
      <c r="V670" s="797"/>
      <c r="W670" s="37" t="s">
        <v>69</v>
      </c>
      <c r="X670" s="791">
        <f>IFERROR(SUM(X668:X668),"0")</f>
        <v>0</v>
      </c>
      <c r="Y670" s="791">
        <f>IFERROR(SUM(Y668:Y668),"0")</f>
        <v>0</v>
      </c>
      <c r="Z670" s="37"/>
      <c r="AA670" s="792"/>
      <c r="AB670" s="792"/>
      <c r="AC670" s="792"/>
    </row>
    <row r="671" spans="1:68" ht="15" customHeight="1" x14ac:dyDescent="0.2">
      <c r="A671" s="872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73"/>
      <c r="P671" s="833" t="s">
        <v>1077</v>
      </c>
      <c r="Q671" s="834"/>
      <c r="R671" s="834"/>
      <c r="S671" s="834"/>
      <c r="T671" s="834"/>
      <c r="U671" s="834"/>
      <c r="V671" s="835"/>
      <c r="W671" s="37" t="s">
        <v>69</v>
      </c>
      <c r="X671" s="791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502+X507+X512+X517+X525+X529+X539+X544+X564+X572+X588+X594+X599+X605+X617+X624+X634+X645+X652+X658+X662+X666+X670,"0")</f>
        <v>17129.8</v>
      </c>
      <c r="Y671" s="791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502+Y507+Y512+Y517+Y525+Y529+Y539+Y544+Y564+Y572+Y588+Y594+Y599+Y605+Y617+Y624+Y634+Y645+Y652+Y658+Y662+Y666+Y670,"0")</f>
        <v>17304.5</v>
      </c>
      <c r="Z671" s="37"/>
      <c r="AA671" s="792"/>
      <c r="AB671" s="792"/>
      <c r="AC671" s="792"/>
    </row>
    <row r="672" spans="1:68" x14ac:dyDescent="0.2">
      <c r="A672" s="809"/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73"/>
      <c r="P672" s="833" t="s">
        <v>1078</v>
      </c>
      <c r="Q672" s="834"/>
      <c r="R672" s="834"/>
      <c r="S672" s="834"/>
      <c r="T672" s="834"/>
      <c r="U672" s="834"/>
      <c r="V672" s="835"/>
      <c r="W672" s="37" t="s">
        <v>69</v>
      </c>
      <c r="X672" s="791">
        <f>IFERROR(SUM(BM22:BM668),"0")</f>
        <v>18375.752237112549</v>
      </c>
      <c r="Y672" s="791">
        <f>IFERROR(SUM(BN22:BN668),"0")</f>
        <v>18560.093999999997</v>
      </c>
      <c r="Z672" s="37"/>
      <c r="AA672" s="792"/>
      <c r="AB672" s="792"/>
      <c r="AC672" s="792"/>
    </row>
    <row r="673" spans="1:32" x14ac:dyDescent="0.2">
      <c r="A673" s="809"/>
      <c r="B673" s="809"/>
      <c r="C673" s="809"/>
      <c r="D673" s="809"/>
      <c r="E673" s="809"/>
      <c r="F673" s="809"/>
      <c r="G673" s="809"/>
      <c r="H673" s="809"/>
      <c r="I673" s="809"/>
      <c r="J673" s="809"/>
      <c r="K673" s="809"/>
      <c r="L673" s="809"/>
      <c r="M673" s="809"/>
      <c r="N673" s="809"/>
      <c r="O673" s="873"/>
      <c r="P673" s="833" t="s">
        <v>1079</v>
      </c>
      <c r="Q673" s="834"/>
      <c r="R673" s="834"/>
      <c r="S673" s="834"/>
      <c r="T673" s="834"/>
      <c r="U673" s="834"/>
      <c r="V673" s="835"/>
      <c r="W673" s="37" t="s">
        <v>1080</v>
      </c>
      <c r="X673" s="38">
        <f>ROUNDUP(SUM(BO22:BO668),0)</f>
        <v>35</v>
      </c>
      <c r="Y673" s="38">
        <f>ROUNDUP(SUM(BP22:BP668),0)</f>
        <v>35</v>
      </c>
      <c r="Z673" s="37"/>
      <c r="AA673" s="792"/>
      <c r="AB673" s="792"/>
      <c r="AC673" s="792"/>
    </row>
    <row r="674" spans="1:32" x14ac:dyDescent="0.2">
      <c r="A674" s="809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73"/>
      <c r="P674" s="833" t="s">
        <v>1081</v>
      </c>
      <c r="Q674" s="834"/>
      <c r="R674" s="834"/>
      <c r="S674" s="834"/>
      <c r="T674" s="834"/>
      <c r="U674" s="834"/>
      <c r="V674" s="835"/>
      <c r="W674" s="37" t="s">
        <v>69</v>
      </c>
      <c r="X674" s="791">
        <f>GrossWeightTotal+PalletQtyTotal*25</f>
        <v>19250.752237112549</v>
      </c>
      <c r="Y674" s="791">
        <f>GrossWeightTotalR+PalletQtyTotalR*25</f>
        <v>19435.093999999997</v>
      </c>
      <c r="Z674" s="37"/>
      <c r="AA674" s="792"/>
      <c r="AB674" s="792"/>
      <c r="AC674" s="792"/>
    </row>
    <row r="675" spans="1:32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73"/>
      <c r="P675" s="833" t="s">
        <v>1082</v>
      </c>
      <c r="Q675" s="834"/>
      <c r="R675" s="834"/>
      <c r="S675" s="834"/>
      <c r="T675" s="834"/>
      <c r="U675" s="834"/>
      <c r="V675" s="835"/>
      <c r="W675" s="37" t="s">
        <v>1080</v>
      </c>
      <c r="X675" s="791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4637.109536259265</v>
      </c>
      <c r="Y675" s="791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4668</v>
      </c>
      <c r="Z675" s="37"/>
      <c r="AA675" s="792"/>
      <c r="AB675" s="792"/>
      <c r="AC675" s="792"/>
    </row>
    <row r="676" spans="1:32" ht="14.25" customHeight="1" x14ac:dyDescent="0.2">
      <c r="A676" s="809"/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73"/>
      <c r="P676" s="833" t="s">
        <v>1083</v>
      </c>
      <c r="Q676" s="834"/>
      <c r="R676" s="834"/>
      <c r="S676" s="834"/>
      <c r="T676" s="834"/>
      <c r="U676" s="834"/>
      <c r="V676" s="835"/>
      <c r="W676" s="39" t="s">
        <v>1084</v>
      </c>
      <c r="X676" s="37"/>
      <c r="Y676" s="37"/>
      <c r="Z676" s="37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501+Z506+Z511+Z516+Z524+Z528+Z538+Z543+Z563+Z571+Z587+Z593+Z598+Z604+Z616+Z623+Z633+Z644+Z651+Z657+Z661+Z665+Z669,"0")</f>
        <v>40.58117</v>
      </c>
      <c r="AA676" s="792"/>
      <c r="AB676" s="792"/>
      <c r="AC676" s="792"/>
    </row>
    <row r="677" spans="1:32" ht="13.5" customHeight="1" thickBot="1" x14ac:dyDescent="0.25"/>
    <row r="678" spans="1:32" ht="27" customHeight="1" thickTop="1" thickBot="1" x14ac:dyDescent="0.25">
      <c r="A678" s="40" t="s">
        <v>1085</v>
      </c>
      <c r="B678" s="786" t="s">
        <v>63</v>
      </c>
      <c r="C678" s="804" t="s">
        <v>111</v>
      </c>
      <c r="D678" s="997"/>
      <c r="E678" s="997"/>
      <c r="F678" s="997"/>
      <c r="G678" s="997"/>
      <c r="H678" s="998"/>
      <c r="I678" s="804" t="s">
        <v>324</v>
      </c>
      <c r="J678" s="997"/>
      <c r="K678" s="997"/>
      <c r="L678" s="997"/>
      <c r="M678" s="997"/>
      <c r="N678" s="997"/>
      <c r="O678" s="997"/>
      <c r="P678" s="997"/>
      <c r="Q678" s="997"/>
      <c r="R678" s="997"/>
      <c r="S678" s="997"/>
      <c r="T678" s="997"/>
      <c r="U678" s="997"/>
      <c r="V678" s="998"/>
      <c r="W678" s="804" t="s">
        <v>661</v>
      </c>
      <c r="X678" s="998"/>
      <c r="Y678" s="804" t="s">
        <v>750</v>
      </c>
      <c r="Z678" s="997"/>
      <c r="AA678" s="997"/>
      <c r="AB678" s="998"/>
      <c r="AC678" s="786" t="s">
        <v>856</v>
      </c>
      <c r="AD678" s="786" t="s">
        <v>951</v>
      </c>
      <c r="AE678" s="804" t="s">
        <v>956</v>
      </c>
      <c r="AF678" s="998"/>
    </row>
    <row r="679" spans="1:32" ht="14.25" customHeight="1" thickTop="1" x14ac:dyDescent="0.2">
      <c r="A679" s="844" t="s">
        <v>1086</v>
      </c>
      <c r="B679" s="804" t="s">
        <v>63</v>
      </c>
      <c r="C679" s="804" t="s">
        <v>112</v>
      </c>
      <c r="D679" s="804" t="s">
        <v>139</v>
      </c>
      <c r="E679" s="804" t="s">
        <v>216</v>
      </c>
      <c r="F679" s="804" t="s">
        <v>238</v>
      </c>
      <c r="G679" s="804" t="s">
        <v>282</v>
      </c>
      <c r="H679" s="804" t="s">
        <v>111</v>
      </c>
      <c r="I679" s="804" t="s">
        <v>325</v>
      </c>
      <c r="J679" s="804" t="s">
        <v>349</v>
      </c>
      <c r="K679" s="804" t="s">
        <v>427</v>
      </c>
      <c r="L679" s="804" t="s">
        <v>446</v>
      </c>
      <c r="M679" s="804" t="s">
        <v>470</v>
      </c>
      <c r="N679" s="787"/>
      <c r="O679" s="804" t="s">
        <v>499</v>
      </c>
      <c r="P679" s="804" t="s">
        <v>502</v>
      </c>
      <c r="Q679" s="804" t="s">
        <v>511</v>
      </c>
      <c r="R679" s="804" t="s">
        <v>527</v>
      </c>
      <c r="S679" s="804" t="s">
        <v>537</v>
      </c>
      <c r="T679" s="804" t="s">
        <v>550</v>
      </c>
      <c r="U679" s="804" t="s">
        <v>561</v>
      </c>
      <c r="V679" s="804" t="s">
        <v>648</v>
      </c>
      <c r="W679" s="804" t="s">
        <v>662</v>
      </c>
      <c r="X679" s="804" t="s">
        <v>706</v>
      </c>
      <c r="Y679" s="804" t="s">
        <v>751</v>
      </c>
      <c r="Z679" s="804" t="s">
        <v>814</v>
      </c>
      <c r="AA679" s="804" t="s">
        <v>836</v>
      </c>
      <c r="AB679" s="804" t="s">
        <v>852</v>
      </c>
      <c r="AC679" s="804" t="s">
        <v>856</v>
      </c>
      <c r="AD679" s="804" t="s">
        <v>951</v>
      </c>
      <c r="AE679" s="804" t="s">
        <v>956</v>
      </c>
      <c r="AF679" s="804" t="s">
        <v>1056</v>
      </c>
    </row>
    <row r="680" spans="1:32" ht="13.5" customHeight="1" thickBot="1" x14ac:dyDescent="0.25">
      <c r="A680" s="845"/>
      <c r="B680" s="805"/>
      <c r="C680" s="805"/>
      <c r="D680" s="805"/>
      <c r="E680" s="805"/>
      <c r="F680" s="805"/>
      <c r="G680" s="805"/>
      <c r="H680" s="805"/>
      <c r="I680" s="805"/>
      <c r="J680" s="805"/>
      <c r="K680" s="805"/>
      <c r="L680" s="805"/>
      <c r="M680" s="805"/>
      <c r="N680" s="787"/>
      <c r="O680" s="805"/>
      <c r="P680" s="805"/>
      <c r="Q680" s="805"/>
      <c r="R680" s="805"/>
      <c r="S680" s="805"/>
      <c r="T680" s="805"/>
      <c r="U680" s="805"/>
      <c r="V680" s="805"/>
      <c r="W680" s="805"/>
      <c r="X680" s="805"/>
      <c r="Y680" s="805"/>
      <c r="Z680" s="805"/>
      <c r="AA680" s="805"/>
      <c r="AB680" s="805"/>
      <c r="AC680" s="805"/>
      <c r="AD680" s="805"/>
      <c r="AE680" s="805"/>
      <c r="AF680" s="805"/>
    </row>
    <row r="681" spans="1:32" ht="18" customHeight="1" thickTop="1" thickBot="1" x14ac:dyDescent="0.25">
      <c r="A681" s="40" t="s">
        <v>1087</v>
      </c>
      <c r="B681" s="46">
        <f>IFERROR(Y22*1,"0")+IFERROR(Y26*1,"0")+IFERROR(Y27*1,"0")+IFERROR(Y28*1,"0")+IFERROR(Y29*1,"0")+IFERROR(Y30*1,"0")+IFERROR(Y31*1,"0")+IFERROR(Y32*1,"0")+IFERROR(Y33*1,"0")+IFERROR(Y37*1,"0")+IFERROR(Y41*1,"0")</f>
        <v>0</v>
      </c>
      <c r="C681" s="46">
        <f>IFERROR(Y47*1,"0")+IFERROR(Y48*1,"0")+IFERROR(Y49*1,"0")+IFERROR(Y50*1,"0")+IFERROR(Y51*1,"0")+IFERROR(Y52*1,"0")+IFERROR(Y56*1,"0")+IFERROR(Y57*1,"0")</f>
        <v>200</v>
      </c>
      <c r="D681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949.2</v>
      </c>
      <c r="E681" s="46">
        <f>IFERROR(Y106*1,"0")+IFERROR(Y107*1,"0")+IFERROR(Y108*1,"0")+IFERROR(Y112*1,"0")+IFERROR(Y113*1,"0")+IFERROR(Y114*1,"0")+IFERROR(Y115*1,"0")+IFERROR(Y116*1,"0")+IFERROR(Y117*1,"0")</f>
        <v>1416.6</v>
      </c>
      <c r="F681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1428.8000000000002</v>
      </c>
      <c r="G681" s="46">
        <f>IFERROR(Y153*1,"0")+IFERROR(Y154*1,"0")+IFERROR(Y155*1,"0")+IFERROR(Y159*1,"0")+IFERROR(Y160*1,"0")+IFERROR(Y164*1,"0")+IFERROR(Y165*1,"0")+IFERROR(Y166*1,"0")</f>
        <v>292.32</v>
      </c>
      <c r="H681" s="46">
        <f>IFERROR(Y171*1,"0")+IFERROR(Y175*1,"0")+IFERROR(Y176*1,"0")+IFERROR(Y177*1,"0")+IFERROR(Y178*1,"0")+IFERROR(Y179*1,"0")+IFERROR(Y183*1,"0")+IFERROR(Y184*1,"0")</f>
        <v>0</v>
      </c>
      <c r="I681" s="46">
        <f>IFERROR(Y190*1,"0")+IFERROR(Y194*1,"0")+IFERROR(Y195*1,"0")+IFERROR(Y196*1,"0")+IFERROR(Y197*1,"0")+IFERROR(Y198*1,"0")+IFERROR(Y199*1,"0")+IFERROR(Y200*1,"0")+IFERROR(Y201*1,"0")</f>
        <v>785.40000000000009</v>
      </c>
      <c r="J68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3663.6000000000004</v>
      </c>
      <c r="K681" s="46">
        <f>IFERROR(Y251*1,"0")+IFERROR(Y252*1,"0")+IFERROR(Y253*1,"0")+IFERROR(Y254*1,"0")+IFERROR(Y255*1,"0")+IFERROR(Y256*1,"0")+IFERROR(Y257*1,"0")+IFERROR(Y258*1,"0")</f>
        <v>0</v>
      </c>
      <c r="L681" s="46">
        <f>IFERROR(Y263*1,"0")+IFERROR(Y264*1,"0")+IFERROR(Y265*1,"0")+IFERROR(Y266*1,"0")+IFERROR(Y267*1,"0")+IFERROR(Y268*1,"0")+IFERROR(Y269*1,"0")+IFERROR(Y270*1,"0")+IFERROR(Y271*1,"0")+IFERROR(Y275*1,"0")</f>
        <v>250.79999999999998</v>
      </c>
      <c r="M681" s="46">
        <f>IFERROR(Y280*1,"0")+IFERROR(Y281*1,"0")+IFERROR(Y282*1,"0")+IFERROR(Y283*1,"0")+IFERROR(Y284*1,"0")+IFERROR(Y285*1,"0")+IFERROR(Y286*1,"0")+IFERROR(Y287*1,"0")+IFERROR(Y288*1,"0")+IFERROR(Y289*1,"0")</f>
        <v>0</v>
      </c>
      <c r="N681" s="787"/>
      <c r="O681" s="46">
        <f>IFERROR(Y294*1,"0")</f>
        <v>0</v>
      </c>
      <c r="P681" s="46">
        <f>IFERROR(Y299*1,"0")+IFERROR(Y300*1,"0")+IFERROR(Y301*1,"0")</f>
        <v>0</v>
      </c>
      <c r="Q681" s="46">
        <f>IFERROR(Y306*1,"0")+IFERROR(Y307*1,"0")+IFERROR(Y308*1,"0")+IFERROR(Y309*1,"0")+IFERROR(Y310*1,"0")+IFERROR(Y311*1,"0")</f>
        <v>801.6</v>
      </c>
      <c r="R681" s="46">
        <f>IFERROR(Y316*1,"0")+IFERROR(Y320*1,"0")+IFERROR(Y324*1,"0")</f>
        <v>0</v>
      </c>
      <c r="S681" s="46">
        <f>IFERROR(Y329*1,"0")+IFERROR(Y333*1,"0")+IFERROR(Y337*1,"0")+IFERROR(Y338*1,"0")</f>
        <v>0</v>
      </c>
      <c r="T681" s="46">
        <f>IFERROR(Y343*1,"0")+IFERROR(Y347*1,"0")+IFERROR(Y348*1,"0")+IFERROR(Y352*1,"0")</f>
        <v>176.4</v>
      </c>
      <c r="U681" s="46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401.79999999999995</v>
      </c>
      <c r="V681" s="46">
        <f>IFERROR(Y405*1,"0")+IFERROR(Y409*1,"0")+IFERROR(Y410*1,"0")+IFERROR(Y411*1,"0")</f>
        <v>1436.7</v>
      </c>
      <c r="W681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2646</v>
      </c>
      <c r="X681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81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182.7</v>
      </c>
      <c r="Z681" s="46">
        <f>IFERROR(Y515*1,"0")+IFERROR(Y519*1,"0")+IFERROR(Y520*1,"0")+IFERROR(Y521*1,"0")+IFERROR(Y522*1,"0")+IFERROR(Y523*1,"0")+IFERROR(Y527*1,"0")</f>
        <v>32.1</v>
      </c>
      <c r="AA681" s="46">
        <f>IFERROR(Y532*1,"0")+IFERROR(Y533*1,"0")+IFERROR(Y534*1,"0")+IFERROR(Y535*1,"0")+IFERROR(Y536*1,"0")+IFERROR(Y537*1,"0")</f>
        <v>106.8</v>
      </c>
      <c r="AB681" s="46">
        <f>IFERROR(Y542*1,"0")</f>
        <v>0</v>
      </c>
      <c r="AC681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569*1,"0")+IFERROR(Y570*1,"0")+IFERROR(Y574*1,"0")+IFERROR(Y575*1,"0")+IFERROR(Y576*1,"0")+IFERROR(Y577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1308.4800000000002</v>
      </c>
      <c r="AD681" s="46">
        <f>IFERROR(Y603*1,"0")</f>
        <v>0</v>
      </c>
      <c r="AE681" s="46">
        <f>IFERROR(Y609*1,"0")+IFERROR(Y610*1,"0")+IFERROR(Y611*1,"0")+IFERROR(Y612*1,"0")+IFERROR(Y613*1,"0")+IFERROR(Y614*1,"0")+IFERROR(Y615*1,"0")+IFERROR(Y619*1,"0")+IFERROR(Y620*1,"0")+IFERROR(Y621*1,"0")+IFERROR(Y622*1,"0")+IFERROR(Y626*1,"0")+IFERROR(Y627*1,"0")+IFERROR(Y628*1,"0")+IFERROR(Y629*1,"0")+IFERROR(Y630*1,"0")+IFERROR(Y631*1,"0")+IFERROR(Y632*1,"0")+IFERROR(Y636*1,"0")+IFERROR(Y637*1,"0")+IFERROR(Y638*1,"0")+IFERROR(Y639*1,"0")+IFERROR(Y640*1,"0")+IFERROR(Y641*1,"0")+IFERROR(Y642*1,"0")+IFERROR(Y643*1,"0")+IFERROR(Y647*1,"0")+IFERROR(Y648*1,"0")+IFERROR(Y649*1,"0")+IFERROR(Y650*1,"0")</f>
        <v>1225.2</v>
      </c>
      <c r="AF681" s="46">
        <f>IFERROR(Y655*1,"0")+IFERROR(Y656*1,"0")+IFERROR(Y660*1,"0")+IFERROR(Y664*1,"0")+IFERROR(Y668*1,"0")</f>
        <v>0</v>
      </c>
    </row>
  </sheetData>
  <sheetProtection algorithmName="SHA-512" hashValue="8xwa2piBvmFXnnKWIadGeqkNDtd+AjfaDoCHLF4N0mruYeg6ep+rFmULQ+IIFybD3IIjIMa3HJk5VJ90vfv6Ug==" saltValue="Dj04HynNjE4X1ciYvkD1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566:E566"/>
    <mergeCell ref="P449:T449"/>
    <mergeCell ref="P672:V672"/>
    <mergeCell ref="D553:E553"/>
    <mergeCell ref="P126:T126"/>
    <mergeCell ref="A10:C10"/>
    <mergeCell ref="P218:T218"/>
    <mergeCell ref="A136:Z136"/>
    <mergeCell ref="A21:Z21"/>
    <mergeCell ref="P438:V438"/>
    <mergeCell ref="D184:E184"/>
    <mergeCell ref="P505:T505"/>
    <mergeCell ref="B679:B680"/>
    <mergeCell ref="P674:V674"/>
    <mergeCell ref="A415:Z415"/>
    <mergeCell ref="P661:V661"/>
    <mergeCell ref="A129:Z129"/>
    <mergeCell ref="P296:V296"/>
    <mergeCell ref="P598:V598"/>
    <mergeCell ref="P534:T534"/>
    <mergeCell ref="D515:E515"/>
    <mergeCell ref="A479:Z479"/>
    <mergeCell ref="P363:T363"/>
    <mergeCell ref="D642:E642"/>
    <mergeCell ref="P338:T338"/>
    <mergeCell ref="D542:E542"/>
    <mergeCell ref="A213:O214"/>
    <mergeCell ref="D17:E18"/>
    <mergeCell ref="D123:E123"/>
    <mergeCell ref="P307:T307"/>
    <mergeCell ref="X17:X18"/>
    <mergeCell ref="D421:E421"/>
    <mergeCell ref="D552:E552"/>
    <mergeCell ref="D266:E266"/>
    <mergeCell ref="D537:E537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A8:C8"/>
    <mergeCell ref="P360:T360"/>
    <mergeCell ref="D32:E32"/>
    <mergeCell ref="A477:O478"/>
    <mergeCell ref="D268:E268"/>
    <mergeCell ref="D50:E50"/>
    <mergeCell ref="D286:E286"/>
    <mergeCell ref="Q6:R6"/>
    <mergeCell ref="P200:T200"/>
    <mergeCell ref="O679:O680"/>
    <mergeCell ref="P243:T243"/>
    <mergeCell ref="P436:T436"/>
    <mergeCell ref="A118:O119"/>
    <mergeCell ref="P208:V208"/>
    <mergeCell ref="A204:Z204"/>
    <mergeCell ref="AE678:AF678"/>
    <mergeCell ref="D196:E196"/>
    <mergeCell ref="A440:Z440"/>
    <mergeCell ref="P294:T294"/>
    <mergeCell ref="C678:H678"/>
    <mergeCell ref="P145:V145"/>
    <mergeCell ref="P23:V23"/>
    <mergeCell ref="P443:V443"/>
    <mergeCell ref="P272:V272"/>
    <mergeCell ref="P381:V381"/>
    <mergeCell ref="Y678:AB678"/>
    <mergeCell ref="P510:T510"/>
    <mergeCell ref="A262:Z262"/>
    <mergeCell ref="D133:E133"/>
    <mergeCell ref="P185:V185"/>
    <mergeCell ref="P544:V544"/>
    <mergeCell ref="D483:E483"/>
    <mergeCell ref="A42:O43"/>
    <mergeCell ref="P83:T83"/>
    <mergeCell ref="D271:E271"/>
    <mergeCell ref="V12:W12"/>
    <mergeCell ref="D458:E458"/>
    <mergeCell ref="P368:T368"/>
    <mergeCell ref="A563:O564"/>
    <mergeCell ref="N17:N18"/>
    <mergeCell ref="P303:V303"/>
    <mergeCell ref="Q5:R5"/>
    <mergeCell ref="F17:F18"/>
    <mergeCell ref="A58:O59"/>
    <mergeCell ref="D49:E49"/>
    <mergeCell ref="P370:T370"/>
    <mergeCell ref="D242:E242"/>
    <mergeCell ref="A315:Z315"/>
    <mergeCell ref="P497:T497"/>
    <mergeCell ref="P290:V290"/>
    <mergeCell ref="P568:T568"/>
    <mergeCell ref="P199:T199"/>
    <mergeCell ref="D549:E549"/>
    <mergeCell ref="D107:E107"/>
    <mergeCell ref="V679:V680"/>
    <mergeCell ref="P655:T655"/>
    <mergeCell ref="D576:E576"/>
    <mergeCell ref="P484:T484"/>
    <mergeCell ref="D405:E405"/>
    <mergeCell ref="D641:E641"/>
    <mergeCell ref="P288:T288"/>
    <mergeCell ref="P70:T70"/>
    <mergeCell ref="P263:T263"/>
    <mergeCell ref="P65:T65"/>
    <mergeCell ref="D244:E244"/>
    <mergeCell ref="P228:T228"/>
    <mergeCell ref="P499:T499"/>
    <mergeCell ref="D171:E171"/>
    <mergeCell ref="P597:T597"/>
    <mergeCell ref="A149:O150"/>
    <mergeCell ref="D578:E578"/>
    <mergeCell ref="A134:O135"/>
    <mergeCell ref="D452:E452"/>
    <mergeCell ref="D252:E252"/>
    <mergeCell ref="A20:Z20"/>
    <mergeCell ref="P536:T536"/>
    <mergeCell ref="D550:E550"/>
    <mergeCell ref="P123:T123"/>
    <mergeCell ref="P529:V529"/>
    <mergeCell ref="P421:T421"/>
    <mergeCell ref="A541:Z541"/>
    <mergeCell ref="A646:Z646"/>
    <mergeCell ref="P579:T579"/>
    <mergeCell ref="D218:E218"/>
    <mergeCell ref="A249:Z249"/>
    <mergeCell ref="P53:V53"/>
    <mergeCell ref="A618:Z618"/>
    <mergeCell ref="P593:V593"/>
    <mergeCell ref="A314:Z314"/>
    <mergeCell ref="P587:V587"/>
    <mergeCell ref="P239:V239"/>
    <mergeCell ref="D112:E112"/>
    <mergeCell ref="P524:V524"/>
    <mergeCell ref="P353:V353"/>
    <mergeCell ref="D639:E639"/>
    <mergeCell ref="D577:E577"/>
    <mergeCell ref="D237:E237"/>
    <mergeCell ref="P43:V43"/>
    <mergeCell ref="A608:Z608"/>
    <mergeCell ref="P85:T85"/>
    <mergeCell ref="D522:E522"/>
    <mergeCell ref="A595:Z595"/>
    <mergeCell ref="P501:V501"/>
    <mergeCell ref="AD17:AF18"/>
    <mergeCell ref="P167:V167"/>
    <mergeCell ref="D101:E101"/>
    <mergeCell ref="D570:E570"/>
    <mergeCell ref="P645:V645"/>
    <mergeCell ref="A430:Z430"/>
    <mergeCell ref="A644:O645"/>
    <mergeCell ref="D76:E76"/>
    <mergeCell ref="F5:G5"/>
    <mergeCell ref="P365:V365"/>
    <mergeCell ref="Q13:R13"/>
    <mergeCell ref="P144:V144"/>
    <mergeCell ref="P467:V467"/>
    <mergeCell ref="P442:V442"/>
    <mergeCell ref="A25:Z25"/>
    <mergeCell ref="D626:E626"/>
    <mergeCell ref="P509:T509"/>
    <mergeCell ref="P119:V119"/>
    <mergeCell ref="P67:T67"/>
    <mergeCell ref="D175:E175"/>
    <mergeCell ref="A334:O335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2:W3"/>
    <mergeCell ref="D560:E560"/>
    <mergeCell ref="A323:Z323"/>
    <mergeCell ref="P133:T133"/>
    <mergeCell ref="D437:E437"/>
    <mergeCell ref="P369:T369"/>
    <mergeCell ref="D241:E241"/>
    <mergeCell ref="P347:T347"/>
    <mergeCell ref="P198:T198"/>
    <mergeCell ref="P418:T418"/>
    <mergeCell ref="A170:Z170"/>
    <mergeCell ref="D228:E228"/>
    <mergeCell ref="P583:T583"/>
    <mergeCell ref="D333:E333"/>
    <mergeCell ref="D575:E575"/>
    <mergeCell ref="P312:V312"/>
    <mergeCell ref="A23:O24"/>
    <mergeCell ref="P64:T64"/>
    <mergeCell ref="D10:E10"/>
    <mergeCell ref="D562:E562"/>
    <mergeCell ref="P362:T362"/>
    <mergeCell ref="F10:G10"/>
    <mergeCell ref="D243:E243"/>
    <mergeCell ref="D270:E270"/>
    <mergeCell ref="D99:E99"/>
    <mergeCell ref="P420:T420"/>
    <mergeCell ref="P78:V78"/>
    <mergeCell ref="A344:O345"/>
    <mergeCell ref="D310:E310"/>
    <mergeCell ref="P364:T364"/>
    <mergeCell ref="P75:T75"/>
    <mergeCell ref="P406:V406"/>
    <mergeCell ref="M17:M18"/>
    <mergeCell ref="A602:Z602"/>
    <mergeCell ref="A469:Z469"/>
    <mergeCell ref="O17:O18"/>
    <mergeCell ref="P429:V429"/>
    <mergeCell ref="A104:Z104"/>
    <mergeCell ref="P350:V350"/>
    <mergeCell ref="A297:Z297"/>
    <mergeCell ref="P417:T417"/>
    <mergeCell ref="P196:T196"/>
    <mergeCell ref="A508:Z508"/>
    <mergeCell ref="P213:V213"/>
    <mergeCell ref="D177:E177"/>
    <mergeCell ref="D33:E33"/>
    <mergeCell ref="L679:L680"/>
    <mergeCell ref="P183:T183"/>
    <mergeCell ref="D164:E164"/>
    <mergeCell ref="A404:Z404"/>
    <mergeCell ref="D579:E579"/>
    <mergeCell ref="D462:E462"/>
    <mergeCell ref="P62:T62"/>
    <mergeCell ref="P599:V599"/>
    <mergeCell ref="D394:E394"/>
    <mergeCell ref="P578:T578"/>
    <mergeCell ref="D450:E450"/>
    <mergeCell ref="D521:E521"/>
    <mergeCell ref="D223:E223"/>
    <mergeCell ref="A428:O429"/>
    <mergeCell ref="P357:T357"/>
    <mergeCell ref="D29:E29"/>
    <mergeCell ref="A657:O658"/>
    <mergeCell ref="P515:T515"/>
    <mergeCell ref="D22:E22"/>
    <mergeCell ref="P470:T470"/>
    <mergeCell ref="P575:T575"/>
    <mergeCell ref="D447:E447"/>
    <mergeCell ref="D385:E385"/>
    <mergeCell ref="P301:T301"/>
    <mergeCell ref="A127:O128"/>
    <mergeCell ref="P178:T178"/>
    <mergeCell ref="A102:O103"/>
    <mergeCell ref="D86:E86"/>
    <mergeCell ref="D257:E257"/>
    <mergeCell ref="P270:T270"/>
    <mergeCell ref="A593:O594"/>
    <mergeCell ref="P463:T463"/>
    <mergeCell ref="D384:E384"/>
    <mergeCell ref="P192:V192"/>
    <mergeCell ref="P639:T639"/>
    <mergeCell ref="A191:O192"/>
    <mergeCell ref="D620:E620"/>
    <mergeCell ref="P577:T577"/>
    <mergeCell ref="D449:E449"/>
    <mergeCell ref="P428:V428"/>
    <mergeCell ref="P49:T49"/>
    <mergeCell ref="P107:T107"/>
    <mergeCell ref="P576:T576"/>
    <mergeCell ref="P101:T101"/>
    <mergeCell ref="P636:T636"/>
    <mergeCell ref="D557:E557"/>
    <mergeCell ref="P465:T465"/>
    <mergeCell ref="D386:E386"/>
    <mergeCell ref="A339:O340"/>
    <mergeCell ref="A531:Z531"/>
    <mergeCell ref="A9:C9"/>
    <mergeCell ref="P125:T125"/>
    <mergeCell ref="P557:T557"/>
    <mergeCell ref="A71:O72"/>
    <mergeCell ref="D500:E500"/>
    <mergeCell ref="P112:T112"/>
    <mergeCell ref="D294:E294"/>
    <mergeCell ref="P348:T348"/>
    <mergeCell ref="A298:Z298"/>
    <mergeCell ref="D592:E592"/>
    <mergeCell ref="P273:V273"/>
    <mergeCell ref="P571:V571"/>
    <mergeCell ref="A414:Z414"/>
    <mergeCell ref="D231:E231"/>
    <mergeCell ref="P39:V39"/>
    <mergeCell ref="D358:E358"/>
    <mergeCell ref="P648:T648"/>
    <mergeCell ref="A327:Z327"/>
    <mergeCell ref="P103:V103"/>
    <mergeCell ref="P134:V134"/>
    <mergeCell ref="P572:V572"/>
    <mergeCell ref="P401:V401"/>
    <mergeCell ref="P339:V339"/>
    <mergeCell ref="A293:Z293"/>
    <mergeCell ref="P201:T201"/>
    <mergeCell ref="P139:T139"/>
    <mergeCell ref="A518:Z518"/>
    <mergeCell ref="P97:V97"/>
    <mergeCell ref="P560:T560"/>
    <mergeCell ref="P176:T176"/>
    <mergeCell ref="P114:T114"/>
    <mergeCell ref="P241:T241"/>
    <mergeCell ref="G17:G18"/>
    <mergeCell ref="P413:V413"/>
    <mergeCell ref="D159:E159"/>
    <mergeCell ref="P407:V407"/>
    <mergeCell ref="A403:Z403"/>
    <mergeCell ref="A530:Z530"/>
    <mergeCell ref="P382:V382"/>
    <mergeCell ref="P624:V624"/>
    <mergeCell ref="A182:Z182"/>
    <mergeCell ref="A623:O624"/>
    <mergeCell ref="P42:V42"/>
    <mergeCell ref="P551:T551"/>
    <mergeCell ref="A169:Z169"/>
    <mergeCell ref="P471:V471"/>
    <mergeCell ref="A461:Z461"/>
    <mergeCell ref="D288:E288"/>
    <mergeCell ref="P130:T130"/>
    <mergeCell ref="P190:T190"/>
    <mergeCell ref="P488:T488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D436:E436"/>
    <mergeCell ref="P490:T490"/>
    <mergeCell ref="P48:T48"/>
    <mergeCell ref="D534:E534"/>
    <mergeCell ref="H5:M5"/>
    <mergeCell ref="P669:V669"/>
    <mergeCell ref="D212:E212"/>
    <mergeCell ref="P567:T567"/>
    <mergeCell ref="A456:Z456"/>
    <mergeCell ref="D510:E510"/>
    <mergeCell ref="A390:Z390"/>
    <mergeCell ref="Y679:Y680"/>
    <mergeCell ref="A341:Z341"/>
    <mergeCell ref="A317:O318"/>
    <mergeCell ref="AA679:AA680"/>
    <mergeCell ref="D6:M6"/>
    <mergeCell ref="P175:T175"/>
    <mergeCell ref="D83:E83"/>
    <mergeCell ref="P502:V502"/>
    <mergeCell ref="P331:V331"/>
    <mergeCell ref="P631:T631"/>
    <mergeCell ref="A528:O529"/>
    <mergeCell ref="P569:T569"/>
    <mergeCell ref="D441:E441"/>
    <mergeCell ref="P398:T398"/>
    <mergeCell ref="A278:Z278"/>
    <mergeCell ref="D368:E368"/>
    <mergeCell ref="P227:T227"/>
    <mergeCell ref="D143:E143"/>
    <mergeCell ref="P106:T106"/>
    <mergeCell ref="P177:T177"/>
    <mergeCell ref="P33:T33"/>
    <mergeCell ref="D481:E481"/>
    <mergeCell ref="P539:V539"/>
    <mergeCell ref="D256:E256"/>
    <mergeCell ref="A321:O322"/>
    <mergeCell ref="V6:W9"/>
    <mergeCell ref="D199:E199"/>
    <mergeCell ref="P554:T554"/>
    <mergeCell ref="D497:E497"/>
    <mergeCell ref="D364:E364"/>
    <mergeCell ref="D679:D680"/>
    <mergeCell ref="F679:F680"/>
    <mergeCell ref="D655:E655"/>
    <mergeCell ref="D484:E484"/>
    <mergeCell ref="D217:E217"/>
    <mergeCell ref="D649:E649"/>
    <mergeCell ref="A633:O634"/>
    <mergeCell ref="P222:T222"/>
    <mergeCell ref="P84:T84"/>
    <mergeCell ref="P320:T320"/>
    <mergeCell ref="D65:E65"/>
    <mergeCell ref="P22:T22"/>
    <mergeCell ref="A61:Z61"/>
    <mergeCell ref="D586:E586"/>
    <mergeCell ref="P334:V334"/>
    <mergeCell ref="P257:T257"/>
    <mergeCell ref="P54:V54"/>
    <mergeCell ref="A346:Z346"/>
    <mergeCell ref="D194:E194"/>
    <mergeCell ref="Z17:Z18"/>
    <mergeCell ref="P173:V173"/>
    <mergeCell ref="P620:T620"/>
    <mergeCell ref="A501:O502"/>
    <mergeCell ref="A172:O173"/>
    <mergeCell ref="P563:V563"/>
    <mergeCell ref="K17:K18"/>
    <mergeCell ref="P634:V634"/>
    <mergeCell ref="AA17:AA18"/>
    <mergeCell ref="H10:M10"/>
    <mergeCell ref="AC17:AC18"/>
    <mergeCell ref="P485:T485"/>
    <mergeCell ref="P37:T37"/>
    <mergeCell ref="P108:T108"/>
    <mergeCell ref="D418:E418"/>
    <mergeCell ref="P666:V666"/>
    <mergeCell ref="D393:E393"/>
    <mergeCell ref="P209:V209"/>
    <mergeCell ref="P254:T254"/>
    <mergeCell ref="P616:V616"/>
    <mergeCell ref="P251:T251"/>
    <mergeCell ref="A435:Z435"/>
    <mergeCell ref="P487:T487"/>
    <mergeCell ref="P343:T343"/>
    <mergeCell ref="D153:E153"/>
    <mergeCell ref="A604:O605"/>
    <mergeCell ref="D591:E591"/>
    <mergeCell ref="D420:E420"/>
    <mergeCell ref="P256:T256"/>
    <mergeCell ref="AB17:AB18"/>
    <mergeCell ref="D446:E446"/>
    <mergeCell ref="P269:T269"/>
    <mergeCell ref="P462:T462"/>
    <mergeCell ref="D207:E207"/>
    <mergeCell ref="P164:T164"/>
    <mergeCell ref="P93:T93"/>
    <mergeCell ref="D299:E299"/>
    <mergeCell ref="D85:E85"/>
    <mergeCell ref="D370:E370"/>
    <mergeCell ref="D222:E222"/>
    <mergeCell ref="H17:H18"/>
    <mergeCell ref="A146:Z146"/>
    <mergeCell ref="P532:T532"/>
    <mergeCell ref="P90:T90"/>
    <mergeCell ref="P559:T559"/>
    <mergeCell ref="P217:T217"/>
    <mergeCell ref="P630:T630"/>
    <mergeCell ref="D636:E636"/>
    <mergeCell ref="D465:E465"/>
    <mergeCell ref="D269:E269"/>
    <mergeCell ref="D198:E198"/>
    <mergeCell ref="D489:E489"/>
    <mergeCell ref="D427:E427"/>
    <mergeCell ref="P27:T27"/>
    <mergeCell ref="P154:T154"/>
    <mergeCell ref="D75:E75"/>
    <mergeCell ref="A78:O79"/>
    <mergeCell ref="P247:V247"/>
    <mergeCell ref="P561:T561"/>
    <mergeCell ref="D206:E206"/>
    <mergeCell ref="P632:T632"/>
    <mergeCell ref="D504:E504"/>
    <mergeCell ref="D234:E234"/>
    <mergeCell ref="D596:E596"/>
    <mergeCell ref="A158:Z158"/>
    <mergeCell ref="P91:T91"/>
    <mergeCell ref="A351:Z351"/>
    <mergeCell ref="P500:T500"/>
    <mergeCell ref="A571:O572"/>
    <mergeCell ref="P366:V366"/>
    <mergeCell ref="P468:V468"/>
    <mergeCell ref="D627:E627"/>
    <mergeCell ref="P150:V150"/>
    <mergeCell ref="A665:O666"/>
    <mergeCell ref="P326:V326"/>
    <mergeCell ref="D138:E138"/>
    <mergeCell ref="A40:Z40"/>
    <mergeCell ref="P393:T393"/>
    <mergeCell ref="D51:E51"/>
    <mergeCell ref="P629:T629"/>
    <mergeCell ref="P232:T232"/>
    <mergeCell ref="P159:T159"/>
    <mergeCell ref="D140:E140"/>
    <mergeCell ref="P566:T566"/>
    <mergeCell ref="A276:O277"/>
    <mergeCell ref="D509:E509"/>
    <mergeCell ref="D267:E267"/>
    <mergeCell ref="D425:E425"/>
    <mergeCell ref="D359:E359"/>
    <mergeCell ref="P535:T535"/>
    <mergeCell ref="A144:O145"/>
    <mergeCell ref="P212:T212"/>
    <mergeCell ref="P399:T399"/>
    <mergeCell ref="P333:T333"/>
    <mergeCell ref="D227:E227"/>
    <mergeCell ref="P582:T582"/>
    <mergeCell ref="D84:E84"/>
    <mergeCell ref="P483:T483"/>
    <mergeCell ref="A328:Z328"/>
    <mergeCell ref="D155:E155"/>
    <mergeCell ref="P41:T41"/>
    <mergeCell ref="D320:E320"/>
    <mergeCell ref="P641:T641"/>
    <mergeCell ref="D265:E265"/>
    <mergeCell ref="P441:T441"/>
    <mergeCell ref="P676:V676"/>
    <mergeCell ref="A365:O366"/>
    <mergeCell ref="D362:E362"/>
    <mergeCell ref="P235:T235"/>
    <mergeCell ref="P306:T306"/>
    <mergeCell ref="P533:T533"/>
    <mergeCell ref="P157:V157"/>
    <mergeCell ref="D647:E647"/>
    <mergeCell ref="X679:X680"/>
    <mergeCell ref="D476:E476"/>
    <mergeCell ref="P455:V455"/>
    <mergeCell ref="Z679:Z680"/>
    <mergeCell ref="A454:O455"/>
    <mergeCell ref="A445:Z445"/>
    <mergeCell ref="A274:Z274"/>
    <mergeCell ref="P207:T207"/>
    <mergeCell ref="A302:O303"/>
    <mergeCell ref="P299:T299"/>
    <mergeCell ref="P172:V172"/>
    <mergeCell ref="C679:C680"/>
    <mergeCell ref="E679:E680"/>
    <mergeCell ref="D668:E668"/>
    <mergeCell ref="W678:X678"/>
    <mergeCell ref="D216:E216"/>
    <mergeCell ref="P642:T642"/>
    <mergeCell ref="P658:V658"/>
    <mergeCell ref="M679:M680"/>
    <mergeCell ref="P650:T650"/>
    <mergeCell ref="A202:O203"/>
    <mergeCell ref="D614:E614"/>
    <mergeCell ref="P668:T668"/>
    <mergeCell ref="J9:M9"/>
    <mergeCell ref="A667:Z667"/>
    <mergeCell ref="P611:T611"/>
    <mergeCell ref="D554:E554"/>
    <mergeCell ref="A356:Z356"/>
    <mergeCell ref="D581:E581"/>
    <mergeCell ref="D283:E283"/>
    <mergeCell ref="A654:Z654"/>
    <mergeCell ref="D519:E519"/>
    <mergeCell ref="A388:O389"/>
    <mergeCell ref="P389:V389"/>
    <mergeCell ref="D348:E348"/>
    <mergeCell ref="P454:V454"/>
    <mergeCell ref="P141:T141"/>
    <mergeCell ref="D62:E62"/>
    <mergeCell ref="D56:E56"/>
    <mergeCell ref="P377:T377"/>
    <mergeCell ref="P206:T206"/>
    <mergeCell ref="P619:T619"/>
    <mergeCell ref="P504:T504"/>
    <mergeCell ref="D491:E491"/>
    <mergeCell ref="P448:T448"/>
    <mergeCell ref="D347:E347"/>
    <mergeCell ref="D285:E285"/>
    <mergeCell ref="P233:T233"/>
    <mergeCell ref="D583:E583"/>
    <mergeCell ref="P596:T596"/>
    <mergeCell ref="D360:E360"/>
    <mergeCell ref="D176:E176"/>
    <mergeCell ref="D114:E114"/>
    <mergeCell ref="D648:E648"/>
    <mergeCell ref="A514:Z514"/>
    <mergeCell ref="P373:V373"/>
    <mergeCell ref="P649:T649"/>
    <mergeCell ref="P380:T380"/>
    <mergeCell ref="P671:V671"/>
    <mergeCell ref="P202:V202"/>
    <mergeCell ref="P58:V58"/>
    <mergeCell ref="A13:M13"/>
    <mergeCell ref="A659:Z659"/>
    <mergeCell ref="P79:V79"/>
    <mergeCell ref="A653:Z653"/>
    <mergeCell ref="P586:T586"/>
    <mergeCell ref="A367:Z367"/>
    <mergeCell ref="P115:T115"/>
    <mergeCell ref="D254:E254"/>
    <mergeCell ref="P673:V673"/>
    <mergeCell ref="P302:V302"/>
    <mergeCell ref="A15:M15"/>
    <mergeCell ref="D48:E48"/>
    <mergeCell ref="A625:Z625"/>
    <mergeCell ref="D490:E490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143:T143"/>
    <mergeCell ref="D64:E64"/>
    <mergeCell ref="P612:T612"/>
    <mergeCell ref="P679:P680"/>
    <mergeCell ref="D582:E582"/>
    <mergeCell ref="D533:E533"/>
    <mergeCell ref="R679:R680"/>
    <mergeCell ref="P512:V512"/>
    <mergeCell ref="A349:O350"/>
    <mergeCell ref="Q10:R10"/>
    <mergeCell ref="A635:Z635"/>
    <mergeCell ref="T6:U9"/>
    <mergeCell ref="D41:E41"/>
    <mergeCell ref="P318:V318"/>
    <mergeCell ref="D371:E371"/>
    <mergeCell ref="D656:E656"/>
    <mergeCell ref="D485:E485"/>
    <mergeCell ref="P149:V149"/>
    <mergeCell ref="P387:T387"/>
    <mergeCell ref="P216:T216"/>
    <mergeCell ref="A210:Z210"/>
    <mergeCell ref="D137:E137"/>
    <mergeCell ref="D422:E422"/>
    <mergeCell ref="P489:T489"/>
    <mergeCell ref="D74:E74"/>
    <mergeCell ref="D130:E130"/>
    <mergeCell ref="P451:T451"/>
    <mergeCell ref="D201:E201"/>
    <mergeCell ref="D68:E68"/>
    <mergeCell ref="P627:T627"/>
    <mergeCell ref="P245:T245"/>
    <mergeCell ref="P614:T614"/>
    <mergeCell ref="D424:E424"/>
    <mergeCell ref="P491:T491"/>
    <mergeCell ref="A598:O599"/>
    <mergeCell ref="T5:U5"/>
    <mergeCell ref="P76:T76"/>
    <mergeCell ref="D190:E190"/>
    <mergeCell ref="P496:T496"/>
    <mergeCell ref="D246:E246"/>
    <mergeCell ref="D488:E488"/>
    <mergeCell ref="A319:Z319"/>
    <mergeCell ref="A224:O225"/>
    <mergeCell ref="V5:W5"/>
    <mergeCell ref="P361:T361"/>
    <mergeCell ref="D338:E338"/>
    <mergeCell ref="A295:O296"/>
    <mergeCell ref="D580:E580"/>
    <mergeCell ref="D409:E409"/>
    <mergeCell ref="D282:E282"/>
    <mergeCell ref="D233:E233"/>
    <mergeCell ref="P69:T69"/>
    <mergeCell ref="A34:O35"/>
    <mergeCell ref="P311:T311"/>
    <mergeCell ref="D183:E183"/>
    <mergeCell ref="P140:T140"/>
    <mergeCell ref="P267:T267"/>
    <mergeCell ref="Q8:R8"/>
    <mergeCell ref="D419:E419"/>
    <mergeCell ref="D219:E219"/>
    <mergeCell ref="D275:E275"/>
    <mergeCell ref="P425:T425"/>
    <mergeCell ref="P211:T211"/>
    <mergeCell ref="D399:E399"/>
    <mergeCell ref="D132:E132"/>
    <mergeCell ref="P558:T558"/>
    <mergeCell ref="P309:T309"/>
    <mergeCell ref="P670:V670"/>
    <mergeCell ref="A12:M12"/>
    <mergeCell ref="D487:E487"/>
    <mergeCell ref="A240:Z240"/>
    <mergeCell ref="P657:V657"/>
    <mergeCell ref="D343:E343"/>
    <mergeCell ref="A416:Z416"/>
    <mergeCell ref="P74:T74"/>
    <mergeCell ref="A19:Z19"/>
    <mergeCell ref="P310:T310"/>
    <mergeCell ref="D480:E480"/>
    <mergeCell ref="I678:V678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D178:E178"/>
    <mergeCell ref="P225:V225"/>
    <mergeCell ref="A156:O157"/>
    <mergeCell ref="P51:T51"/>
    <mergeCell ref="P26:T26"/>
    <mergeCell ref="P324:T324"/>
    <mergeCell ref="P591:T591"/>
    <mergeCell ref="D463:E463"/>
    <mergeCell ref="P622:T622"/>
    <mergeCell ref="P153:T153"/>
    <mergeCell ref="A261:Z261"/>
    <mergeCell ref="D555:E555"/>
    <mergeCell ref="D27:E27"/>
    <mergeCell ref="D567:E567"/>
    <mergeCell ref="P644:V644"/>
    <mergeCell ref="P450:T450"/>
    <mergeCell ref="P15:T16"/>
    <mergeCell ref="A325:O326"/>
    <mergeCell ref="D632:E632"/>
    <mergeCell ref="D116:E116"/>
    <mergeCell ref="D352:E352"/>
    <mergeCell ref="P419:T419"/>
    <mergeCell ref="P219:T219"/>
    <mergeCell ref="D91:E91"/>
    <mergeCell ref="D631:E631"/>
    <mergeCell ref="D569:E569"/>
    <mergeCell ref="P439:V439"/>
    <mergeCell ref="A438:O439"/>
    <mergeCell ref="P433:V433"/>
    <mergeCell ref="D398:E398"/>
    <mergeCell ref="P308:T308"/>
    <mergeCell ref="D612:E612"/>
    <mergeCell ref="D106:E106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122:T122"/>
    <mergeCell ref="P291:V291"/>
    <mergeCell ref="A44:Z44"/>
    <mergeCell ref="P317:V317"/>
    <mergeCell ref="P81:T81"/>
    <mergeCell ref="D63:E63"/>
    <mergeCell ref="P56:T56"/>
    <mergeCell ref="D492:E492"/>
    <mergeCell ref="P181:V181"/>
    <mergeCell ref="A565:Z565"/>
    <mergeCell ref="A304:Z304"/>
    <mergeCell ref="A663:Z663"/>
    <mergeCell ref="A38:O39"/>
    <mergeCell ref="A98:Z98"/>
    <mergeCell ref="A540:Z540"/>
    <mergeCell ref="P344:V344"/>
    <mergeCell ref="A372:O373"/>
    <mergeCell ref="D630:E630"/>
    <mergeCell ref="D52:E52"/>
    <mergeCell ref="P604:V604"/>
    <mergeCell ref="P110:V110"/>
    <mergeCell ref="P285:T285"/>
    <mergeCell ref="A545:Z545"/>
    <mergeCell ref="A188:Z188"/>
    <mergeCell ref="P434:V434"/>
    <mergeCell ref="A433:O434"/>
    <mergeCell ref="D251:E251"/>
    <mergeCell ref="P609:T609"/>
    <mergeCell ref="A506:O507"/>
    <mergeCell ref="P507:V507"/>
    <mergeCell ref="A546:Z546"/>
    <mergeCell ref="P525:V525"/>
    <mergeCell ref="P71:V71"/>
    <mergeCell ref="P313:V313"/>
    <mergeCell ref="Q679:Q680"/>
    <mergeCell ref="P358:T358"/>
    <mergeCell ref="D643:E643"/>
    <mergeCell ref="S679:S680"/>
    <mergeCell ref="P656:T656"/>
    <mergeCell ref="D637:E637"/>
    <mergeCell ref="D466:E466"/>
    <mergeCell ref="A474:Z474"/>
    <mergeCell ref="D230:E230"/>
    <mergeCell ref="A208:O209"/>
    <mergeCell ref="P137:T137"/>
    <mergeCell ref="P197:T197"/>
    <mergeCell ref="P66:T66"/>
    <mergeCell ref="D9:E9"/>
    <mergeCell ref="P495:T495"/>
    <mergeCell ref="F9:G9"/>
    <mergeCell ref="P422:T422"/>
    <mergeCell ref="P289:T289"/>
    <mergeCell ref="D232:E232"/>
    <mergeCell ref="A272:O273"/>
    <mergeCell ref="A406:O407"/>
    <mergeCell ref="P238:V238"/>
    <mergeCell ref="P264:T264"/>
    <mergeCell ref="P68:T68"/>
    <mergeCell ref="A247:O248"/>
    <mergeCell ref="P186:V186"/>
    <mergeCell ref="A185:O186"/>
    <mergeCell ref="A312:O313"/>
    <mergeCell ref="D532:E532"/>
    <mergeCell ref="P132:T132"/>
    <mergeCell ref="A121:Z121"/>
    <mergeCell ref="P538:V538"/>
    <mergeCell ref="Q12:R12"/>
    <mergeCell ref="P411:T411"/>
    <mergeCell ref="P638:T638"/>
    <mergeCell ref="D448:E448"/>
    <mergeCell ref="P354:V354"/>
    <mergeCell ref="P246:T246"/>
    <mergeCell ref="P652:V652"/>
    <mergeCell ref="D611:E611"/>
    <mergeCell ref="P640:T640"/>
    <mergeCell ref="D561:E561"/>
    <mergeCell ref="P127:V127"/>
    <mergeCell ref="A250:Z250"/>
    <mergeCell ref="A5:C5"/>
    <mergeCell ref="D548:E548"/>
    <mergeCell ref="P412:V412"/>
    <mergeCell ref="A408:Z408"/>
    <mergeCell ref="A606:Z606"/>
    <mergeCell ref="A473:Z473"/>
    <mergeCell ref="P135:V135"/>
    <mergeCell ref="P191:V191"/>
    <mergeCell ref="A187:Z187"/>
    <mergeCell ref="D179:E179"/>
    <mergeCell ref="P349:V349"/>
    <mergeCell ref="A174:Z174"/>
    <mergeCell ref="D337:E337"/>
    <mergeCell ref="D166:E166"/>
    <mergeCell ref="P592:T592"/>
    <mergeCell ref="D464:E464"/>
    <mergeCell ref="P128:V128"/>
    <mergeCell ref="A442:O443"/>
    <mergeCell ref="P195:T195"/>
    <mergeCell ref="P300:T300"/>
    <mergeCell ref="H679:H680"/>
    <mergeCell ref="Q9:R9"/>
    <mergeCell ref="D451:E451"/>
    <mergeCell ref="D255:E255"/>
    <mergeCell ref="P610:T610"/>
    <mergeCell ref="P478:V478"/>
    <mergeCell ref="A601:Z601"/>
    <mergeCell ref="Q11:R11"/>
    <mergeCell ref="P376:T376"/>
    <mergeCell ref="P643:T643"/>
    <mergeCell ref="D453:E453"/>
    <mergeCell ref="A6:C6"/>
    <mergeCell ref="D309:E309"/>
    <mergeCell ref="D113:E113"/>
    <mergeCell ref="P142:T142"/>
    <mergeCell ref="A332:Z332"/>
    <mergeCell ref="D148:E148"/>
    <mergeCell ref="D26:E26"/>
    <mergeCell ref="P574:T574"/>
    <mergeCell ref="P378:T378"/>
    <mergeCell ref="D324:E324"/>
    <mergeCell ref="D622:E622"/>
    <mergeCell ref="A259:O260"/>
    <mergeCell ref="P117:T117"/>
    <mergeCell ref="D311:E311"/>
    <mergeCell ref="D115:E115"/>
    <mergeCell ref="D609:E609"/>
    <mergeCell ref="P588:V588"/>
    <mergeCell ref="P480:T480"/>
    <mergeCell ref="P280:T280"/>
    <mergeCell ref="P102:V102"/>
    <mergeCell ref="D90:E90"/>
    <mergeCell ref="P223:T223"/>
    <mergeCell ref="P52:T52"/>
    <mergeCell ref="D160:E160"/>
    <mergeCell ref="P481:T481"/>
    <mergeCell ref="D629:E629"/>
    <mergeCell ref="A467:O468"/>
    <mergeCell ref="D141:E141"/>
    <mergeCell ref="I17:I18"/>
    <mergeCell ref="D306:E306"/>
    <mergeCell ref="D377:E377"/>
    <mergeCell ref="P287:T287"/>
    <mergeCell ref="A547:Z547"/>
    <mergeCell ref="P585:T585"/>
    <mergeCell ref="P548:T548"/>
    <mergeCell ref="P523:T523"/>
    <mergeCell ref="P352:T352"/>
    <mergeCell ref="P281:T281"/>
    <mergeCell ref="P203:V203"/>
    <mergeCell ref="P498:T498"/>
    <mergeCell ref="P295:V295"/>
    <mergeCell ref="A120:Z120"/>
    <mergeCell ref="P34:V34"/>
    <mergeCell ref="P276:V276"/>
    <mergeCell ref="D235:E235"/>
    <mergeCell ref="P214:V214"/>
    <mergeCell ref="A189:Z189"/>
    <mergeCell ref="P493:T493"/>
    <mergeCell ref="P371:T371"/>
    <mergeCell ref="P431:T431"/>
    <mergeCell ref="A17:A18"/>
    <mergeCell ref="D37:E37"/>
    <mergeCell ref="C17:C18"/>
    <mergeCell ref="P32:T32"/>
    <mergeCell ref="P268:T268"/>
    <mergeCell ref="P230:T230"/>
    <mergeCell ref="D211:E211"/>
    <mergeCell ref="P59:V59"/>
    <mergeCell ref="D1:F1"/>
    <mergeCell ref="P637:T637"/>
    <mergeCell ref="P466:T466"/>
    <mergeCell ref="P47:T47"/>
    <mergeCell ref="P651:V651"/>
    <mergeCell ref="J17:J18"/>
    <mergeCell ref="D82:E82"/>
    <mergeCell ref="L17:L18"/>
    <mergeCell ref="P426:T426"/>
    <mergeCell ref="P255:T255"/>
    <mergeCell ref="A342:Z342"/>
    <mergeCell ref="A336:Z336"/>
    <mergeCell ref="P321:V321"/>
    <mergeCell ref="A600:Z600"/>
    <mergeCell ref="P277:V277"/>
    <mergeCell ref="P284:T284"/>
    <mergeCell ref="P113:T113"/>
    <mergeCell ref="P17:T18"/>
    <mergeCell ref="D100:E100"/>
    <mergeCell ref="D523:E523"/>
    <mergeCell ref="P63:T63"/>
    <mergeCell ref="A53:O54"/>
    <mergeCell ref="D621:E621"/>
    <mergeCell ref="A180:O181"/>
    <mergeCell ref="P194:T194"/>
    <mergeCell ref="P492:T492"/>
    <mergeCell ref="D31:E31"/>
    <mergeCell ref="A45:Z45"/>
    <mergeCell ref="P633:V633"/>
    <mergeCell ref="P35:V35"/>
    <mergeCell ref="D316:E316"/>
    <mergeCell ref="D387:E387"/>
    <mergeCell ref="P400:T400"/>
    <mergeCell ref="AB679:AB680"/>
    <mergeCell ref="AD679:AD680"/>
    <mergeCell ref="D308:E308"/>
    <mergeCell ref="AF679:AF680"/>
    <mergeCell ref="P660:T660"/>
    <mergeCell ref="A46:Z46"/>
    <mergeCell ref="P537:T537"/>
    <mergeCell ref="D380:E380"/>
    <mergeCell ref="P337:T337"/>
    <mergeCell ref="P166:T166"/>
    <mergeCell ref="P464:T464"/>
    <mergeCell ref="D147:E147"/>
    <mergeCell ref="A89:Z89"/>
    <mergeCell ref="D245:E245"/>
    <mergeCell ref="D301:E301"/>
    <mergeCell ref="P116:T116"/>
    <mergeCell ref="D122:E122"/>
    <mergeCell ref="A105:Z105"/>
    <mergeCell ref="G679:G680"/>
    <mergeCell ref="I679:I680"/>
    <mergeCell ref="K679:K680"/>
    <mergeCell ref="P50:T50"/>
    <mergeCell ref="D329:E329"/>
    <mergeCell ref="P286:T286"/>
    <mergeCell ref="D400:E400"/>
    <mergeCell ref="P584:T584"/>
    <mergeCell ref="D30:E30"/>
    <mergeCell ref="AC679:AC680"/>
    <mergeCell ref="D67:E67"/>
    <mergeCell ref="A524:O525"/>
    <mergeCell ref="AE679:AE680"/>
    <mergeCell ref="D5:E5"/>
    <mergeCell ref="P553:T553"/>
    <mergeCell ref="A238:O239"/>
    <mergeCell ref="D496:E496"/>
    <mergeCell ref="P453:T453"/>
    <mergeCell ref="D94:E94"/>
    <mergeCell ref="D361:E361"/>
    <mergeCell ref="D417:E417"/>
    <mergeCell ref="A401:O402"/>
    <mergeCell ref="P396:V396"/>
    <mergeCell ref="A395:O396"/>
    <mergeCell ref="P148:T148"/>
    <mergeCell ref="D69:E69"/>
    <mergeCell ref="A109:O110"/>
    <mergeCell ref="D498:E498"/>
    <mergeCell ref="D603:E603"/>
    <mergeCell ref="A538:O539"/>
    <mergeCell ref="P482:T482"/>
    <mergeCell ref="A475:Z475"/>
    <mergeCell ref="P162:V162"/>
    <mergeCell ref="A96:O97"/>
    <mergeCell ref="D590:E590"/>
    <mergeCell ref="P460:V460"/>
    <mergeCell ref="A279:Z279"/>
    <mergeCell ref="D527:E527"/>
    <mergeCell ref="P335:V335"/>
    <mergeCell ref="P542:T542"/>
    <mergeCell ref="J679:J680"/>
    <mergeCell ref="P266:T266"/>
    <mergeCell ref="P95:T95"/>
    <mergeCell ref="A526:Z526"/>
    <mergeCell ref="A355:Z355"/>
    <mergeCell ref="P527:T527"/>
    <mergeCell ref="D470:E470"/>
    <mergeCell ref="P38:V38"/>
    <mergeCell ref="H1:Q1"/>
    <mergeCell ref="A305:Z305"/>
    <mergeCell ref="P109:V109"/>
    <mergeCell ref="P345:V345"/>
    <mergeCell ref="A292:Z292"/>
    <mergeCell ref="A397:Z397"/>
    <mergeCell ref="D284:E284"/>
    <mergeCell ref="D520:E520"/>
    <mergeCell ref="A503:Z503"/>
    <mergeCell ref="P605:V605"/>
    <mergeCell ref="D495:E495"/>
    <mergeCell ref="A163:Z163"/>
    <mergeCell ref="P405:T405"/>
    <mergeCell ref="D28:E28"/>
    <mergeCell ref="P647:T647"/>
    <mergeCell ref="P476:T476"/>
    <mergeCell ref="V10:W10"/>
    <mergeCell ref="D584:E584"/>
    <mergeCell ref="P184:T184"/>
    <mergeCell ref="A374:Z374"/>
    <mergeCell ref="D432:E432"/>
    <mergeCell ref="D236:E236"/>
    <mergeCell ref="D117:E117"/>
    <mergeCell ref="D559:E559"/>
    <mergeCell ref="T679:T680"/>
    <mergeCell ref="A513:Z513"/>
    <mergeCell ref="D378:E378"/>
    <mergeCell ref="A573:Z573"/>
    <mergeCell ref="D7:M7"/>
    <mergeCell ref="D536:E536"/>
    <mergeCell ref="P236:T236"/>
    <mergeCell ref="P156:V156"/>
    <mergeCell ref="A152:Z152"/>
    <mergeCell ref="P92:T92"/>
    <mergeCell ref="P394:T394"/>
    <mergeCell ref="A651:O652"/>
    <mergeCell ref="D613:E613"/>
    <mergeCell ref="P570:T570"/>
    <mergeCell ref="P521:T521"/>
    <mergeCell ref="P29:T29"/>
    <mergeCell ref="P271:T271"/>
    <mergeCell ref="A290:O291"/>
    <mergeCell ref="P100:T100"/>
    <mergeCell ref="P265:T265"/>
    <mergeCell ref="P94:T94"/>
    <mergeCell ref="P458:T458"/>
    <mergeCell ref="D379:E379"/>
    <mergeCell ref="D81:E81"/>
    <mergeCell ref="D8:M8"/>
    <mergeCell ref="D640:E640"/>
    <mergeCell ref="D615:E615"/>
    <mergeCell ref="P550:T550"/>
    <mergeCell ref="D300:E300"/>
    <mergeCell ref="D664:E664"/>
    <mergeCell ref="P237:T237"/>
    <mergeCell ref="P472:V472"/>
    <mergeCell ref="A679:A680"/>
    <mergeCell ref="D558:E558"/>
    <mergeCell ref="P664:T664"/>
    <mergeCell ref="D585:E585"/>
    <mergeCell ref="P564:V564"/>
    <mergeCell ref="D287:E287"/>
    <mergeCell ref="P99:T99"/>
    <mergeCell ref="P316:T316"/>
    <mergeCell ref="D66:E66"/>
    <mergeCell ref="D126:E126"/>
    <mergeCell ref="D197:E197"/>
    <mergeCell ref="P552:T552"/>
    <mergeCell ref="D253:E253"/>
    <mergeCell ref="D47:E47"/>
    <mergeCell ref="A669:O670"/>
    <mergeCell ref="D411:E411"/>
    <mergeCell ref="P330:V330"/>
    <mergeCell ref="D482:E482"/>
    <mergeCell ref="D289:E289"/>
    <mergeCell ref="P160:T160"/>
    <mergeCell ref="P517:V517"/>
    <mergeCell ref="P395:V395"/>
    <mergeCell ref="P147:T147"/>
    <mergeCell ref="P96:V96"/>
    <mergeCell ref="P161:V161"/>
    <mergeCell ref="P388:V388"/>
    <mergeCell ref="P459:V459"/>
    <mergeCell ref="A151:Z151"/>
    <mergeCell ref="P617:V617"/>
    <mergeCell ref="A607:Z607"/>
    <mergeCell ref="P234:T234"/>
    <mergeCell ref="P325:V325"/>
    <mergeCell ref="P675:V675"/>
    <mergeCell ref="P275:T275"/>
    <mergeCell ref="P168:V168"/>
    <mergeCell ref="P662:V662"/>
    <mergeCell ref="B17:B18"/>
    <mergeCell ref="D650:E650"/>
    <mergeCell ref="P248:V248"/>
    <mergeCell ref="A73:Z73"/>
    <mergeCell ref="D131:E131"/>
    <mergeCell ref="D258:E258"/>
    <mergeCell ref="P506:V506"/>
    <mergeCell ref="P477:V477"/>
    <mergeCell ref="D556:E556"/>
    <mergeCell ref="A60:Z60"/>
    <mergeCell ref="D494:E494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P615:T615"/>
    <mergeCell ref="A471:O472"/>
    <mergeCell ref="W17:W18"/>
    <mergeCell ref="D142:E142"/>
    <mergeCell ref="A215:Z215"/>
    <mergeCell ref="A226:Z226"/>
    <mergeCell ref="A671:O676"/>
    <mergeCell ref="A161:O162"/>
    <mergeCell ref="A459:O460"/>
    <mergeCell ref="R1:T1"/>
    <mergeCell ref="P28:T28"/>
    <mergeCell ref="P392:T392"/>
    <mergeCell ref="P221:T221"/>
    <mergeCell ref="A516:O517"/>
    <mergeCell ref="P386:T386"/>
    <mergeCell ref="A587:O588"/>
    <mergeCell ref="P628:T628"/>
    <mergeCell ref="D574:E574"/>
    <mergeCell ref="P457:T457"/>
    <mergeCell ref="A381:O382"/>
    <mergeCell ref="D307:E307"/>
    <mergeCell ref="P549:T549"/>
    <mergeCell ref="P432:T432"/>
    <mergeCell ref="P165:T165"/>
    <mergeCell ref="P30:T30"/>
    <mergeCell ref="D638:E638"/>
    <mergeCell ref="A616:O617"/>
    <mergeCell ref="P402:V402"/>
    <mergeCell ref="P452:T452"/>
    <mergeCell ref="P329:T329"/>
    <mergeCell ref="P31:T31"/>
    <mergeCell ref="A589:Z589"/>
    <mergeCell ref="P522:T522"/>
    <mergeCell ref="P180:V180"/>
    <mergeCell ref="D139:E139"/>
    <mergeCell ref="P118:V118"/>
    <mergeCell ref="A511:O512"/>
    <mergeCell ref="A543:O544"/>
    <mergeCell ref="P340:V340"/>
    <mergeCell ref="P242:T242"/>
    <mergeCell ref="P171:T171"/>
    <mergeCell ref="D505:E505"/>
    <mergeCell ref="P391:T391"/>
    <mergeCell ref="D263:E263"/>
    <mergeCell ref="D499:E499"/>
    <mergeCell ref="P220:T220"/>
    <mergeCell ref="D597:E597"/>
    <mergeCell ref="D426:E426"/>
    <mergeCell ref="D486:E486"/>
    <mergeCell ref="P86:T86"/>
    <mergeCell ref="A80:Z80"/>
    <mergeCell ref="P384:T384"/>
    <mergeCell ref="P626:T626"/>
    <mergeCell ref="D376:E376"/>
    <mergeCell ref="A330:O331"/>
    <mergeCell ref="P520:T520"/>
    <mergeCell ref="D363:E363"/>
    <mergeCell ref="A55:Z55"/>
    <mergeCell ref="D357:E357"/>
    <mergeCell ref="A87:O88"/>
    <mergeCell ref="D92:E92"/>
    <mergeCell ref="D229:E229"/>
    <mergeCell ref="A167:O168"/>
    <mergeCell ref="D77:E77"/>
    <mergeCell ref="P131:T131"/>
    <mergeCell ref="D108:E108"/>
    <mergeCell ref="D375:E375"/>
    <mergeCell ref="P258:T258"/>
    <mergeCell ref="D369:E369"/>
    <mergeCell ref="P556:T556"/>
    <mergeCell ref="P423:T423"/>
    <mergeCell ref="P494:T494"/>
    <mergeCell ref="A353:O354"/>
    <mergeCell ref="D535:E535"/>
    <mergeCell ref="P623:V623"/>
    <mergeCell ref="P244:T244"/>
    <mergeCell ref="P437:T437"/>
    <mergeCell ref="P613:T613"/>
    <mergeCell ref="D619:E619"/>
    <mergeCell ref="D423:E423"/>
    <mergeCell ref="P231:T231"/>
    <mergeCell ref="P87:V87"/>
    <mergeCell ref="D410:E410"/>
    <mergeCell ref="U679:U680"/>
    <mergeCell ref="W679:W680"/>
    <mergeCell ref="P516:V516"/>
    <mergeCell ref="P543:V543"/>
    <mergeCell ref="H9:I9"/>
    <mergeCell ref="P224:V224"/>
    <mergeCell ref="P24:V24"/>
    <mergeCell ref="A661:O662"/>
    <mergeCell ref="P322:V322"/>
    <mergeCell ref="D281:E281"/>
    <mergeCell ref="P260:V260"/>
    <mergeCell ref="A36:Z36"/>
    <mergeCell ref="A383:Z383"/>
    <mergeCell ref="D568:E568"/>
    <mergeCell ref="P259:V259"/>
    <mergeCell ref="P88:V88"/>
    <mergeCell ref="D660:E660"/>
    <mergeCell ref="P155:T155"/>
    <mergeCell ref="A205:Z205"/>
    <mergeCell ref="D70:E70"/>
    <mergeCell ref="P562:T562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70 X77 X108 X114 X141 X310 X418 X420 X423 X431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9" xr:uid="{00000000-0002-0000-0000-000012000000}">
      <formula1>IF(AK359&gt;0,OR(X359=0,AND(IF(X359-AK359&gt;=0,TRUE,FALSE),X359&gt;0,IF(X359/(H359*K359)=ROUND(X359/(H359*K359),0),TRUE,FALSE))),FALSE)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ORKnMFohAhUsSpE1RIw8oXmYM9BzJ3Ilgpaem0vOI3dvBRK2sI/0c0Gdmb0ImfXFhmAJpFGJ2Lx2g/ARfZgG9w==" saltValue="Lh5wBuIimgoBrrL2Z0zW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1465</vt:i4>
      </vt:variant>
    </vt:vector>
  </HeadingPairs>
  <TitlesOfParts>
    <vt:vector size="1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