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A7830E4E-81E8-47C5-803A-B232E4FCEE9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заказа'!$B$190:$B$190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заказа'!$B$200:$B$200</definedName>
    <definedName name="ProductId78">'Бланк заказа'!$B$201:$B$201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заказа'!$B$219:$B$219</definedName>
    <definedName name="ProductId85">'Бланк заказа'!$B$225:$B$225</definedName>
    <definedName name="ProductId86">'Бланк заказа'!$B$231:$B$231</definedName>
    <definedName name="ProductId87">'Бланк заказа'!$B$232:$B$232</definedName>
    <definedName name="ProductId88">'Бланк заказа'!$B$237:$B$237</definedName>
    <definedName name="ProductId89">'Бланк заказа'!$B$243:$B$243</definedName>
    <definedName name="ProductId9">'Бланк заказа'!$B$47:$B$47</definedName>
    <definedName name="ProductId90">'Бланк заказа'!$B$249:$B$249</definedName>
    <definedName name="ProductId91">'Бланк заказа'!$B$250:$B$250</definedName>
    <definedName name="ProductId92">'Бланк заказа'!$B$251:$B$251</definedName>
    <definedName name="ProductId93">'Бланк заказа'!$B$255:$B$255</definedName>
    <definedName name="ProductId94">'Бланк заказа'!$B$259:$B$259</definedName>
    <definedName name="ProductId95">'Бланк заказа'!$B$260:$B$260</definedName>
    <definedName name="ProductId96">'Бланк заказа'!$B$264:$B$264</definedName>
    <definedName name="ProductId97">'Бланк заказа'!$B$265:$B$265</definedName>
    <definedName name="ProductId98">'Бланк заказа'!$B$266:$B$266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заказа'!$X$271:$X$271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заказа'!$X$190:$X$190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заказа'!$X$200:$X$200</definedName>
    <definedName name="SalesQty78">'Бланк заказа'!$X$201:$X$201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заказа'!$X$219:$X$219</definedName>
    <definedName name="SalesQty85">'Бланк заказа'!$X$225:$X$225</definedName>
    <definedName name="SalesQty86">'Бланк заказа'!$X$231:$X$231</definedName>
    <definedName name="SalesQty87">'Бланк заказа'!$X$232:$X$232</definedName>
    <definedName name="SalesQty88">'Бланк заказа'!$X$237:$X$237</definedName>
    <definedName name="SalesQty89">'Бланк заказа'!$X$243:$X$243</definedName>
    <definedName name="SalesQty9">'Бланк заказа'!$X$47:$X$47</definedName>
    <definedName name="SalesQty90">'Бланк заказа'!$X$249:$X$249</definedName>
    <definedName name="SalesQty91">'Бланк заказа'!$X$250:$X$250</definedName>
    <definedName name="SalesQty92">'Бланк заказа'!$X$251:$X$251</definedName>
    <definedName name="SalesQty93">'Бланк заказа'!$X$255:$X$255</definedName>
    <definedName name="SalesQty94">'Бланк заказа'!$X$259:$X$259</definedName>
    <definedName name="SalesQty95">'Бланк заказа'!$X$260:$X$260</definedName>
    <definedName name="SalesQty96">'Бланк заказа'!$X$264:$X$264</definedName>
    <definedName name="SalesQty97">'Бланк заказа'!$X$265:$X$265</definedName>
    <definedName name="SalesQty98">'Бланк заказа'!$X$266:$X$266</definedName>
    <definedName name="SalesQty99">'Бланк заказа'!$X$270:$X$270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заказа'!$Y$271:$Y$271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заказа'!$Y$190:$Y$190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заказа'!$Y$200:$Y$200</definedName>
    <definedName name="SalesRoundBox78">'Бланк заказа'!$Y$201:$Y$201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заказа'!$Y$219:$Y$219</definedName>
    <definedName name="SalesRoundBox85">'Бланк заказа'!$Y$225:$Y$225</definedName>
    <definedName name="SalesRoundBox86">'Бланк заказа'!$Y$231:$Y$231</definedName>
    <definedName name="SalesRoundBox87">'Бланк заказа'!$Y$232:$Y$232</definedName>
    <definedName name="SalesRoundBox88">'Бланк заказа'!$Y$237:$Y$237</definedName>
    <definedName name="SalesRoundBox89">'Бланк заказа'!$Y$243:$Y$243</definedName>
    <definedName name="SalesRoundBox9">'Бланк заказа'!$Y$47:$Y$47</definedName>
    <definedName name="SalesRoundBox90">'Бланк заказа'!$Y$249:$Y$249</definedName>
    <definedName name="SalesRoundBox91">'Бланк заказа'!$Y$250:$Y$250</definedName>
    <definedName name="SalesRoundBox92">'Бланк заказа'!$Y$251:$Y$251</definedName>
    <definedName name="SalesRoundBox93">'Бланк заказа'!$Y$255:$Y$255</definedName>
    <definedName name="SalesRoundBox94">'Бланк заказа'!$Y$259:$Y$259</definedName>
    <definedName name="SalesRoundBox95">'Бланк заказа'!$Y$260:$Y$260</definedName>
    <definedName name="SalesRoundBox96">'Бланк заказа'!$Y$264:$Y$264</definedName>
    <definedName name="SalesRoundBox97">'Бланк заказа'!$Y$265:$Y$265</definedName>
    <definedName name="SalesRoundBox98">'Бланк заказа'!$Y$266:$Y$266</definedName>
    <definedName name="SalesRoundBox99">'Бланк заказа'!$Y$270:$Y$270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заказа'!$W$271:$W$271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заказа'!$W$190:$W$190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заказа'!$W$200:$W$200</definedName>
    <definedName name="UnitOfMeasure78">'Бланк заказа'!$W$201:$W$201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заказа'!$W$219:$W$219</definedName>
    <definedName name="UnitOfMeasure85">'Бланк заказа'!$W$225:$W$225</definedName>
    <definedName name="UnitOfMeasure86">'Бланк заказа'!$W$231:$W$231</definedName>
    <definedName name="UnitOfMeasure87">'Бланк заказа'!$W$232:$W$232</definedName>
    <definedName name="UnitOfMeasure88">'Бланк заказа'!$W$237:$W$237</definedName>
    <definedName name="UnitOfMeasure89">'Бланк заказа'!$W$243:$W$243</definedName>
    <definedName name="UnitOfMeasure9">'Бланк заказа'!$W$47:$W$47</definedName>
    <definedName name="UnitOfMeasure90">'Бланк заказа'!$W$249:$W$249</definedName>
    <definedName name="UnitOfMeasure91">'Бланк заказа'!$W$250:$W$250</definedName>
    <definedName name="UnitOfMeasure92">'Бланк заказа'!$W$251:$W$251</definedName>
    <definedName name="UnitOfMeasure93">'Бланк заказа'!$W$255:$W$255</definedName>
    <definedName name="UnitOfMeasure94">'Бланк заказа'!$W$259:$W$259</definedName>
    <definedName name="UnitOfMeasure95">'Бланк заказа'!$W$260:$W$260</definedName>
    <definedName name="UnitOfMeasure96">'Бланк заказа'!$W$264:$W$264</definedName>
    <definedName name="UnitOfMeasure97">'Бланк заказа'!$W$265:$W$265</definedName>
    <definedName name="UnitOfMeasure98">'Бланк заказа'!$W$266:$W$266</definedName>
    <definedName name="UnitOfMeasure99">'Бланк заказа'!$W$270:$W$270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2" i="1" l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Y291" i="1"/>
  <c r="X291" i="1"/>
  <c r="Z290" i="1"/>
  <c r="X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X268" i="1"/>
  <c r="X267" i="1"/>
  <c r="BP266" i="1"/>
  <c r="BO266" i="1"/>
  <c r="BN266" i="1"/>
  <c r="BM266" i="1"/>
  <c r="Z266" i="1"/>
  <c r="Y266" i="1"/>
  <c r="P266" i="1"/>
  <c r="BO265" i="1"/>
  <c r="BM265" i="1"/>
  <c r="Z265" i="1"/>
  <c r="Y265" i="1"/>
  <c r="BO264" i="1"/>
  <c r="BM264" i="1"/>
  <c r="Z264" i="1"/>
  <c r="Z267" i="1" s="1"/>
  <c r="Y264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Z261" i="1" s="1"/>
  <c r="Y259" i="1"/>
  <c r="Y262" i="1" s="1"/>
  <c r="X257" i="1"/>
  <c r="Z256" i="1"/>
  <c r="X256" i="1"/>
  <c r="BO255" i="1"/>
  <c r="BM255" i="1"/>
  <c r="Z255" i="1"/>
  <c r="Y255" i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Z252" i="1" s="1"/>
  <c r="Y249" i="1"/>
  <c r="Y253" i="1" s="1"/>
  <c r="Y245" i="1"/>
  <c r="X245" i="1"/>
  <c r="Z244" i="1"/>
  <c r="X244" i="1"/>
  <c r="BO243" i="1"/>
  <c r="BM243" i="1"/>
  <c r="Z243" i="1"/>
  <c r="Y243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X233" i="1"/>
  <c r="BP232" i="1"/>
  <c r="BO232" i="1"/>
  <c r="BN232" i="1"/>
  <c r="BM232" i="1"/>
  <c r="Z232" i="1"/>
  <c r="Y232" i="1"/>
  <c r="P232" i="1"/>
  <c r="BO231" i="1"/>
  <c r="BM231" i="1"/>
  <c r="Z231" i="1"/>
  <c r="Z233" i="1" s="1"/>
  <c r="Y231" i="1"/>
  <c r="P231" i="1"/>
  <c r="X227" i="1"/>
  <c r="Z226" i="1"/>
  <c r="X226" i="1"/>
  <c r="BO225" i="1"/>
  <c r="BM225" i="1"/>
  <c r="Z225" i="1"/>
  <c r="Y225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X215" i="1"/>
  <c r="Y214" i="1"/>
  <c r="X214" i="1"/>
  <c r="BP213" i="1"/>
  <c r="BO213" i="1"/>
  <c r="BN213" i="1"/>
  <c r="BM213" i="1"/>
  <c r="Z213" i="1"/>
  <c r="Z214" i="1" s="1"/>
  <c r="Y213" i="1"/>
  <c r="Y215" i="1" s="1"/>
  <c r="P213" i="1"/>
  <c r="X210" i="1"/>
  <c r="Y209" i="1"/>
  <c r="X209" i="1"/>
  <c r="BP208" i="1"/>
  <c r="BO208" i="1"/>
  <c r="BN208" i="1"/>
  <c r="BM208" i="1"/>
  <c r="Z208" i="1"/>
  <c r="Z209" i="1" s="1"/>
  <c r="Y208" i="1"/>
  <c r="Y210" i="1" s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Y205" i="1" s="1"/>
  <c r="P200" i="1"/>
  <c r="X197" i="1"/>
  <c r="X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Y196" i="1" s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Y173" i="1" s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Y168" i="1" s="1"/>
  <c r="P165" i="1"/>
  <c r="X161" i="1"/>
  <c r="X160" i="1"/>
  <c r="BO159" i="1"/>
  <c r="BM159" i="1"/>
  <c r="Z159" i="1"/>
  <c r="Y159" i="1"/>
  <c r="BP159" i="1" s="1"/>
  <c r="P159" i="1"/>
  <c r="BP158" i="1"/>
  <c r="BO158" i="1"/>
  <c r="BN158" i="1"/>
  <c r="BM158" i="1"/>
  <c r="Z158" i="1"/>
  <c r="Z160" i="1" s="1"/>
  <c r="Y158" i="1"/>
  <c r="Y160" i="1" s="1"/>
  <c r="P158" i="1"/>
  <c r="X156" i="1"/>
  <c r="Y155" i="1"/>
  <c r="X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X148" i="1"/>
  <c r="Z147" i="1"/>
  <c r="X147" i="1"/>
  <c r="BO146" i="1"/>
  <c r="BM146" i="1"/>
  <c r="Z146" i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7" i="1" s="1"/>
  <c r="X131" i="1"/>
  <c r="Y130" i="1"/>
  <c r="X130" i="1"/>
  <c r="BP129" i="1"/>
  <c r="BO129" i="1"/>
  <c r="BN129" i="1"/>
  <c r="BM129" i="1"/>
  <c r="Z129" i="1"/>
  <c r="Z130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BP123" i="1" s="1"/>
  <c r="P123" i="1"/>
  <c r="BP122" i="1"/>
  <c r="BO122" i="1"/>
  <c r="BN122" i="1"/>
  <c r="BM122" i="1"/>
  <c r="Z122" i="1"/>
  <c r="Z125" i="1" s="1"/>
  <c r="Y122" i="1"/>
  <c r="Y126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BO115" i="1"/>
  <c r="BM115" i="1"/>
  <c r="Z115" i="1"/>
  <c r="Z118" i="1" s="1"/>
  <c r="Y115" i="1"/>
  <c r="P115" i="1"/>
  <c r="X112" i="1"/>
  <c r="Z111" i="1"/>
  <c r="X111" i="1"/>
  <c r="BO110" i="1"/>
  <c r="BM110" i="1"/>
  <c r="Z110" i="1"/>
  <c r="Y110" i="1"/>
  <c r="BO109" i="1"/>
  <c r="BM109" i="1"/>
  <c r="Z109" i="1"/>
  <c r="Y109" i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Y98" i="1"/>
  <c r="P98" i="1"/>
  <c r="BO97" i="1"/>
  <c r="BM97" i="1"/>
  <c r="Z97" i="1"/>
  <c r="Y97" i="1"/>
  <c r="P97" i="1"/>
  <c r="X94" i="1"/>
  <c r="Z93" i="1"/>
  <c r="X93" i="1"/>
  <c r="BO92" i="1"/>
  <c r="BM92" i="1"/>
  <c r="Z92" i="1"/>
  <c r="Y92" i="1"/>
  <c r="P92" i="1"/>
  <c r="BP91" i="1"/>
  <c r="BO91" i="1"/>
  <c r="BN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P80" i="1"/>
  <c r="BO80" i="1"/>
  <c r="BN80" i="1"/>
  <c r="BM80" i="1"/>
  <c r="Z80" i="1"/>
  <c r="Z86" i="1" s="1"/>
  <c r="Y80" i="1"/>
  <c r="Y86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Y77" i="1" s="1"/>
  <c r="P74" i="1"/>
  <c r="X71" i="1"/>
  <c r="Z70" i="1"/>
  <c r="X70" i="1"/>
  <c r="BO69" i="1"/>
  <c r="BM69" i="1"/>
  <c r="Z69" i="1"/>
  <c r="Y69" i="1"/>
  <c r="Y70" i="1" s="1"/>
  <c r="P69" i="1"/>
  <c r="X66" i="1"/>
  <c r="X65" i="1"/>
  <c r="BO64" i="1"/>
  <c r="BM64" i="1"/>
  <c r="Z64" i="1"/>
  <c r="Y64" i="1"/>
  <c r="BP64" i="1" s="1"/>
  <c r="P64" i="1"/>
  <c r="BO63" i="1"/>
  <c r="BN63" i="1"/>
  <c r="BM63" i="1"/>
  <c r="Z63" i="1"/>
  <c r="Z65" i="1" s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Y60" i="1" s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Z38" i="1" s="1"/>
  <c r="Y36" i="1"/>
  <c r="Y39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292" i="1" s="1"/>
  <c r="X23" i="1"/>
  <c r="X296" i="1" s="1"/>
  <c r="BO22" i="1"/>
  <c r="X294" i="1" s="1"/>
  <c r="BM22" i="1"/>
  <c r="X293" i="1" s="1"/>
  <c r="X295" i="1" s="1"/>
  <c r="Z22" i="1"/>
  <c r="Z23" i="1" s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Y33" i="1"/>
  <c r="Y292" i="1" s="1"/>
  <c r="Y38" i="1"/>
  <c r="Y59" i="1"/>
  <c r="BP63" i="1"/>
  <c r="Y66" i="1"/>
  <c r="Y71" i="1"/>
  <c r="Y76" i="1"/>
  <c r="Y87" i="1"/>
  <c r="Y93" i="1"/>
  <c r="BP90" i="1"/>
  <c r="Y94" i="1"/>
  <c r="Y106" i="1"/>
  <c r="BP97" i="1"/>
  <c r="BN97" i="1"/>
  <c r="BP99" i="1"/>
  <c r="BN99" i="1"/>
  <c r="BP101" i="1"/>
  <c r="BN101" i="1"/>
  <c r="BP103" i="1"/>
  <c r="BN103" i="1"/>
  <c r="Y105" i="1"/>
  <c r="Y111" i="1"/>
  <c r="BP109" i="1"/>
  <c r="BN109" i="1"/>
  <c r="BP110" i="1"/>
  <c r="BN110" i="1"/>
  <c r="H9" i="1"/>
  <c r="BN29" i="1"/>
  <c r="BN31" i="1"/>
  <c r="BN36" i="1"/>
  <c r="BP36" i="1"/>
  <c r="BN48" i="1"/>
  <c r="BN50" i="1"/>
  <c r="BN53" i="1"/>
  <c r="BN55" i="1"/>
  <c r="BN57" i="1"/>
  <c r="BN64" i="1"/>
  <c r="BN69" i="1"/>
  <c r="BP69" i="1"/>
  <c r="BN74" i="1"/>
  <c r="BP74" i="1"/>
  <c r="BN81" i="1"/>
  <c r="BN82" i="1"/>
  <c r="BN85" i="1"/>
  <c r="BN90" i="1"/>
  <c r="BP92" i="1"/>
  <c r="BN92" i="1"/>
  <c r="Z105" i="1"/>
  <c r="Z297" i="1" s="1"/>
  <c r="Y112" i="1"/>
  <c r="Y119" i="1"/>
  <c r="BP115" i="1"/>
  <c r="BN115" i="1"/>
  <c r="Y118" i="1"/>
  <c r="Y125" i="1"/>
  <c r="Y136" i="1"/>
  <c r="Y148" i="1"/>
  <c r="Y161" i="1"/>
  <c r="Y169" i="1"/>
  <c r="Y174" i="1"/>
  <c r="Y186" i="1"/>
  <c r="Y197" i="1"/>
  <c r="BP202" i="1"/>
  <c r="BN202" i="1"/>
  <c r="Y204" i="1"/>
  <c r="Y221" i="1"/>
  <c r="BP218" i="1"/>
  <c r="BN218" i="1"/>
  <c r="Y220" i="1"/>
  <c r="Y226" i="1"/>
  <c r="BP225" i="1"/>
  <c r="BN225" i="1"/>
  <c r="Y256" i="1"/>
  <c r="BP255" i="1"/>
  <c r="BN255" i="1"/>
  <c r="BN116" i="1"/>
  <c r="BN123" i="1"/>
  <c r="BN134" i="1"/>
  <c r="BP134" i="1"/>
  <c r="BN146" i="1"/>
  <c r="BP146" i="1"/>
  <c r="BN159" i="1"/>
  <c r="BN165" i="1"/>
  <c r="BP165" i="1"/>
  <c r="BN167" i="1"/>
  <c r="BN172" i="1"/>
  <c r="BN184" i="1"/>
  <c r="BN191" i="1"/>
  <c r="BN193" i="1"/>
  <c r="BN195" i="1"/>
  <c r="Z204" i="1"/>
  <c r="BN200" i="1"/>
  <c r="BP200" i="1"/>
  <c r="Z220" i="1"/>
  <c r="Y227" i="1"/>
  <c r="Y234" i="1"/>
  <c r="BP231" i="1"/>
  <c r="BN231" i="1"/>
  <c r="Y233" i="1"/>
  <c r="Y244" i="1"/>
  <c r="BP243" i="1"/>
  <c r="BN243" i="1"/>
  <c r="Y257" i="1"/>
  <c r="Y268" i="1"/>
  <c r="BP264" i="1"/>
  <c r="BN264" i="1"/>
  <c r="BP265" i="1"/>
  <c r="BN265" i="1"/>
  <c r="Y267" i="1"/>
  <c r="Y290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A305" i="1" l="1"/>
  <c r="Y296" i="1"/>
  <c r="Y293" i="1"/>
  <c r="Y295" i="1" s="1"/>
  <c r="Y294" i="1"/>
  <c r="B305" i="1" l="1"/>
  <c r="C305" i="1"/>
</calcChain>
</file>

<file path=xl/sharedStrings.xml><?xml version="1.0" encoding="utf-8"?>
<sst xmlns="http://schemas.openxmlformats.org/spreadsheetml/2006/main" count="1479" uniqueCount="502">
  <si>
    <t xml:space="preserve">  БЛАНК ЗАКАЗА </t>
  </si>
  <si>
    <t>ЗПФ</t>
  </si>
  <si>
    <t>на отгрузку продукции с ООО Трейд-Сервис с</t>
  </si>
  <si>
    <t>08.11.2024</t>
  </si>
  <si>
    <t>бланк создан</t>
  </si>
  <si>
    <t>07.11.2024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</si>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</sst>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22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5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44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0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9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0" borderId="43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5"/>
  <sheetViews>
    <sheetView showGridLines="0" tabSelected="1" topLeftCell="A278" zoomScaleNormal="100" zoomScaleSheetLayoutView="100" workbookViewId="0">
      <selection activeCell="AA298" sqref="AA298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4" customWidth="1"/>
    <col min="19" max="19" width="6.140625" style="31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4" customWidth="1"/>
    <col min="25" max="25" width="11" style="314" customWidth="1"/>
    <col min="26" max="26" width="10" style="314" customWidth="1"/>
    <col min="27" max="27" width="11.5703125" style="314" customWidth="1"/>
    <col min="28" max="28" width="10.42578125" style="314" customWidth="1"/>
    <col min="29" max="29" width="30" style="31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4" customWidth="1"/>
    <col min="34" max="34" width="9.140625" style="314" customWidth="1"/>
    <col min="35" max="16384" width="9.140625" style="314"/>
  </cols>
  <sheetData>
    <row r="1" spans="1:32" s="310" customFormat="1" ht="45" customHeight="1" x14ac:dyDescent="0.2">
      <c r="A1" s="41"/>
      <c r="B1" s="41"/>
      <c r="C1" s="41"/>
      <c r="D1" s="374" t="s">
        <v>0</v>
      </c>
      <c r="E1" s="338"/>
      <c r="F1" s="338"/>
      <c r="G1" s="12" t="s">
        <v>1</v>
      </c>
      <c r="H1" s="374" t="s">
        <v>2</v>
      </c>
      <c r="I1" s="338"/>
      <c r="J1" s="338"/>
      <c r="K1" s="338"/>
      <c r="L1" s="338"/>
      <c r="M1" s="338"/>
      <c r="N1" s="338"/>
      <c r="O1" s="338"/>
      <c r="P1" s="338"/>
      <c r="Q1" s="338"/>
      <c r="R1" s="337" t="s">
        <v>3</v>
      </c>
      <c r="S1" s="338"/>
      <c r="T1" s="33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7"/>
      <c r="R2" s="327"/>
      <c r="S2" s="327"/>
      <c r="T2" s="327"/>
      <c r="U2" s="327"/>
      <c r="V2" s="327"/>
      <c r="W2" s="327"/>
      <c r="X2" s="16"/>
      <c r="Y2" s="16"/>
      <c r="Z2" s="16"/>
      <c r="AA2" s="16"/>
      <c r="AB2" s="51"/>
      <c r="AC2" s="51"/>
      <c r="AD2" s="51"/>
      <c r="AE2" s="51"/>
    </row>
    <row r="3" spans="1:32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7"/>
      <c r="Q3" s="327"/>
      <c r="R3" s="327"/>
      <c r="S3" s="327"/>
      <c r="T3" s="327"/>
      <c r="U3" s="327"/>
      <c r="V3" s="327"/>
      <c r="W3" s="327"/>
      <c r="X3" s="16"/>
      <c r="Y3" s="16"/>
      <c r="Z3" s="16"/>
      <c r="AA3" s="16"/>
      <c r="AB3" s="51"/>
      <c r="AC3" s="51"/>
      <c r="AD3" s="51"/>
      <c r="AE3" s="51"/>
    </row>
    <row r="4" spans="1:32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0" customFormat="1" ht="23.45" customHeight="1" x14ac:dyDescent="0.2">
      <c r="A5" s="414" t="s">
        <v>8</v>
      </c>
      <c r="B5" s="407"/>
      <c r="C5" s="408"/>
      <c r="D5" s="379"/>
      <c r="E5" s="380"/>
      <c r="F5" s="506" t="s">
        <v>9</v>
      </c>
      <c r="G5" s="408"/>
      <c r="H5" s="379"/>
      <c r="I5" s="477"/>
      <c r="J5" s="477"/>
      <c r="K5" s="477"/>
      <c r="L5" s="477"/>
      <c r="M5" s="380"/>
      <c r="N5" s="61"/>
      <c r="P5" s="24" t="s">
        <v>10</v>
      </c>
      <c r="Q5" s="513">
        <v>45607</v>
      </c>
      <c r="R5" s="413"/>
      <c r="T5" s="439" t="s">
        <v>11</v>
      </c>
      <c r="U5" s="378"/>
      <c r="V5" s="441" t="s">
        <v>12</v>
      </c>
      <c r="W5" s="413"/>
      <c r="AB5" s="51"/>
      <c r="AC5" s="51"/>
      <c r="AD5" s="51"/>
      <c r="AE5" s="51"/>
    </row>
    <row r="6" spans="1:32" s="310" customFormat="1" ht="24" customHeight="1" x14ac:dyDescent="0.2">
      <c r="A6" s="414" t="s">
        <v>13</v>
      </c>
      <c r="B6" s="407"/>
      <c r="C6" s="408"/>
      <c r="D6" s="480" t="s">
        <v>14</v>
      </c>
      <c r="E6" s="481"/>
      <c r="F6" s="481"/>
      <c r="G6" s="481"/>
      <c r="H6" s="481"/>
      <c r="I6" s="481"/>
      <c r="J6" s="481"/>
      <c r="K6" s="481"/>
      <c r="L6" s="481"/>
      <c r="M6" s="413"/>
      <c r="N6" s="62"/>
      <c r="P6" s="24" t="s">
        <v>15</v>
      </c>
      <c r="Q6" s="515" t="str">
        <f>IF(Q5=0," ",CHOOSE(WEEKDAY(Q5,2),"Понедельник","Вторник","Среда","Четверг","Пятница","Суббота","Воскресенье"))</f>
        <v>Понедельник</v>
      </c>
      <c r="R6" s="331"/>
      <c r="T6" s="444" t="s">
        <v>16</v>
      </c>
      <c r="U6" s="378"/>
      <c r="V6" s="464" t="s">
        <v>17</v>
      </c>
      <c r="W6" s="353"/>
      <c r="AB6" s="51"/>
      <c r="AC6" s="51"/>
      <c r="AD6" s="51"/>
      <c r="AE6" s="51"/>
    </row>
    <row r="7" spans="1:32" s="310" customFormat="1" ht="21.75" hidden="1" customHeight="1" x14ac:dyDescent="0.2">
      <c r="A7" s="55"/>
      <c r="B7" s="55"/>
      <c r="C7" s="55"/>
      <c r="D7" s="355" t="str">
        <f>IFERROR(VLOOKUP(DeliveryAddress,Table,3,0),1)</f>
        <v>1</v>
      </c>
      <c r="E7" s="356"/>
      <c r="F7" s="356"/>
      <c r="G7" s="356"/>
      <c r="H7" s="356"/>
      <c r="I7" s="356"/>
      <c r="J7" s="356"/>
      <c r="K7" s="356"/>
      <c r="L7" s="356"/>
      <c r="M7" s="357"/>
      <c r="N7" s="63"/>
      <c r="P7" s="24"/>
      <c r="Q7" s="42"/>
      <c r="R7" s="42"/>
      <c r="T7" s="327"/>
      <c r="U7" s="378"/>
      <c r="V7" s="465"/>
      <c r="W7" s="466"/>
      <c r="AB7" s="51"/>
      <c r="AC7" s="51"/>
      <c r="AD7" s="51"/>
      <c r="AE7" s="51"/>
    </row>
    <row r="8" spans="1:32" s="310" customFormat="1" ht="25.5" customHeight="1" x14ac:dyDescent="0.2">
      <c r="A8" s="524" t="s">
        <v>18</v>
      </c>
      <c r="B8" s="324"/>
      <c r="C8" s="325"/>
      <c r="D8" s="365" t="s">
        <v>19</v>
      </c>
      <c r="E8" s="366"/>
      <c r="F8" s="366"/>
      <c r="G8" s="366"/>
      <c r="H8" s="366"/>
      <c r="I8" s="366"/>
      <c r="J8" s="366"/>
      <c r="K8" s="366"/>
      <c r="L8" s="366"/>
      <c r="M8" s="367"/>
      <c r="N8" s="64"/>
      <c r="P8" s="24" t="s">
        <v>20</v>
      </c>
      <c r="Q8" s="419">
        <v>0.41666666666666669</v>
      </c>
      <c r="R8" s="357"/>
      <c r="T8" s="327"/>
      <c r="U8" s="378"/>
      <c r="V8" s="465"/>
      <c r="W8" s="466"/>
      <c r="AB8" s="51"/>
      <c r="AC8" s="51"/>
      <c r="AD8" s="51"/>
      <c r="AE8" s="51"/>
    </row>
    <row r="9" spans="1:32" s="310" customFormat="1" ht="39.950000000000003" customHeight="1" x14ac:dyDescent="0.2">
      <c r="A9" s="4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22"/>
      <c r="E9" s="329"/>
      <c r="F9" s="4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28" t="str">
        <f>IF(AND($A$9="Тип доверенности/получателя при получении в адресе перегруза:",$D$9="Разовая доверенность"),"Введите ФИО","")</f>
        <v/>
      </c>
      <c r="I9" s="329"/>
      <c r="J9" s="3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9"/>
      <c r="L9" s="329"/>
      <c r="M9" s="329"/>
      <c r="N9" s="308"/>
      <c r="P9" s="26" t="s">
        <v>21</v>
      </c>
      <c r="Q9" s="409"/>
      <c r="R9" s="410"/>
      <c r="T9" s="327"/>
      <c r="U9" s="378"/>
      <c r="V9" s="467"/>
      <c r="W9" s="468"/>
      <c r="X9" s="43"/>
      <c r="Y9" s="43"/>
      <c r="Z9" s="43"/>
      <c r="AA9" s="43"/>
      <c r="AB9" s="51"/>
      <c r="AC9" s="51"/>
      <c r="AD9" s="51"/>
      <c r="AE9" s="51"/>
    </row>
    <row r="10" spans="1:32" s="310" customFormat="1" ht="26.45" customHeight="1" x14ac:dyDescent="0.2">
      <c r="A10" s="4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22"/>
      <c r="E10" s="329"/>
      <c r="F10" s="4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61" t="str">
        <f>IFERROR(VLOOKUP($D$10,Proxy,2,FALSE),"")</f>
        <v/>
      </c>
      <c r="I10" s="327"/>
      <c r="J10" s="327"/>
      <c r="K10" s="327"/>
      <c r="L10" s="327"/>
      <c r="M10" s="327"/>
      <c r="N10" s="309"/>
      <c r="P10" s="26" t="s">
        <v>22</v>
      </c>
      <c r="Q10" s="445"/>
      <c r="R10" s="446"/>
      <c r="U10" s="24" t="s">
        <v>23</v>
      </c>
      <c r="V10" s="352" t="s">
        <v>24</v>
      </c>
      <c r="W10" s="353"/>
      <c r="X10" s="44"/>
      <c r="Y10" s="44"/>
      <c r="Z10" s="44"/>
      <c r="AA10" s="44"/>
      <c r="AB10" s="51"/>
      <c r="AC10" s="51"/>
      <c r="AD10" s="51"/>
      <c r="AE10" s="51"/>
    </row>
    <row r="11" spans="1:32" s="31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2"/>
      <c r="R11" s="413"/>
      <c r="U11" s="24" t="s">
        <v>27</v>
      </c>
      <c r="V11" s="485" t="s">
        <v>28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10" customFormat="1" ht="18.600000000000001" customHeight="1" x14ac:dyDescent="0.2">
      <c r="A12" s="437" t="s">
        <v>29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7"/>
      <c r="M12" s="408"/>
      <c r="N12" s="65"/>
      <c r="P12" s="24" t="s">
        <v>30</v>
      </c>
      <c r="Q12" s="419"/>
      <c r="R12" s="357"/>
      <c r="S12" s="23"/>
      <c r="U12" s="24"/>
      <c r="V12" s="338"/>
      <c r="W12" s="327"/>
      <c r="AB12" s="51"/>
      <c r="AC12" s="51"/>
      <c r="AD12" s="51"/>
      <c r="AE12" s="51"/>
    </row>
    <row r="13" spans="1:32" s="310" customFormat="1" ht="23.25" customHeight="1" x14ac:dyDescent="0.2">
      <c r="A13" s="437" t="s">
        <v>31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7"/>
      <c r="M13" s="408"/>
      <c r="N13" s="65"/>
      <c r="O13" s="26"/>
      <c r="P13" s="26" t="s">
        <v>32</v>
      </c>
      <c r="Q13" s="485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0" customFormat="1" ht="18.600000000000001" customHeight="1" x14ac:dyDescent="0.2">
      <c r="A14" s="437" t="s">
        <v>33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7"/>
      <c r="M14" s="40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0" customFormat="1" ht="22.5" customHeight="1" x14ac:dyDescent="0.2">
      <c r="A15" s="452" t="s">
        <v>34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8"/>
      <c r="N15" s="66"/>
      <c r="P15" s="428" t="s">
        <v>35</v>
      </c>
      <c r="Q15" s="338"/>
      <c r="R15" s="338"/>
      <c r="S15" s="338"/>
      <c r="T15" s="33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9"/>
      <c r="Q16" s="429"/>
      <c r="R16" s="429"/>
      <c r="S16" s="429"/>
      <c r="T16" s="4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8" t="s">
        <v>36</v>
      </c>
      <c r="B17" s="348" t="s">
        <v>37</v>
      </c>
      <c r="C17" s="421" t="s">
        <v>38</v>
      </c>
      <c r="D17" s="348" t="s">
        <v>39</v>
      </c>
      <c r="E17" s="393"/>
      <c r="F17" s="348" t="s">
        <v>40</v>
      </c>
      <c r="G17" s="348" t="s">
        <v>41</v>
      </c>
      <c r="H17" s="348" t="s">
        <v>42</v>
      </c>
      <c r="I17" s="348" t="s">
        <v>43</v>
      </c>
      <c r="J17" s="348" t="s">
        <v>44</v>
      </c>
      <c r="K17" s="348" t="s">
        <v>45</v>
      </c>
      <c r="L17" s="348" t="s">
        <v>46</v>
      </c>
      <c r="M17" s="348" t="s">
        <v>47</v>
      </c>
      <c r="N17" s="348" t="s">
        <v>48</v>
      </c>
      <c r="O17" s="348" t="s">
        <v>49</v>
      </c>
      <c r="P17" s="348" t="s">
        <v>50</v>
      </c>
      <c r="Q17" s="392"/>
      <c r="R17" s="392"/>
      <c r="S17" s="392"/>
      <c r="T17" s="393"/>
      <c r="U17" s="521" t="s">
        <v>51</v>
      </c>
      <c r="V17" s="408"/>
      <c r="W17" s="348" t="s">
        <v>52</v>
      </c>
      <c r="X17" s="348" t="s">
        <v>53</v>
      </c>
      <c r="Y17" s="522" t="s">
        <v>54</v>
      </c>
      <c r="Z17" s="475" t="s">
        <v>55</v>
      </c>
      <c r="AA17" s="459" t="s">
        <v>56</v>
      </c>
      <c r="AB17" s="459" t="s">
        <v>57</v>
      </c>
      <c r="AC17" s="459" t="s">
        <v>58</v>
      </c>
      <c r="AD17" s="459" t="s">
        <v>59</v>
      </c>
      <c r="AE17" s="501"/>
      <c r="AF17" s="502"/>
      <c r="AG17" s="69"/>
      <c r="BD17" s="68" t="s">
        <v>60</v>
      </c>
    </row>
    <row r="18" spans="1:68" ht="14.25" customHeight="1" x14ac:dyDescent="0.2">
      <c r="A18" s="349"/>
      <c r="B18" s="349"/>
      <c r="C18" s="349"/>
      <c r="D18" s="394"/>
      <c r="E18" s="396"/>
      <c r="F18" s="349"/>
      <c r="G18" s="349"/>
      <c r="H18" s="349"/>
      <c r="I18" s="349"/>
      <c r="J18" s="349"/>
      <c r="K18" s="349"/>
      <c r="L18" s="349"/>
      <c r="M18" s="349"/>
      <c r="N18" s="349"/>
      <c r="O18" s="349"/>
      <c r="P18" s="394"/>
      <c r="Q18" s="395"/>
      <c r="R18" s="395"/>
      <c r="S18" s="395"/>
      <c r="T18" s="396"/>
      <c r="U18" s="70" t="s">
        <v>61</v>
      </c>
      <c r="V18" s="70" t="s">
        <v>62</v>
      </c>
      <c r="W18" s="349"/>
      <c r="X18" s="349"/>
      <c r="Y18" s="523"/>
      <c r="Z18" s="476"/>
      <c r="AA18" s="460"/>
      <c r="AB18" s="460"/>
      <c r="AC18" s="460"/>
      <c r="AD18" s="503"/>
      <c r="AE18" s="504"/>
      <c r="AF18" s="505"/>
      <c r="AG18" s="69"/>
      <c r="BD18" s="68"/>
    </row>
    <row r="19" spans="1:68" ht="27.75" customHeight="1" x14ac:dyDescent="0.2">
      <c r="A19" s="371" t="s">
        <v>63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48"/>
      <c r="AB19" s="48"/>
      <c r="AC19" s="48"/>
    </row>
    <row r="20" spans="1:68" ht="16.5" customHeight="1" x14ac:dyDescent="0.25">
      <c r="A20" s="326" t="s">
        <v>63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11"/>
      <c r="AB20" s="311"/>
      <c r="AC20" s="311"/>
    </row>
    <row r="21" spans="1:68" ht="14.25" customHeight="1" x14ac:dyDescent="0.25">
      <c r="A21" s="345" t="s">
        <v>64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12"/>
      <c r="AB21" s="312"/>
      <c r="AC21" s="31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0">
        <v>4607111035752</v>
      </c>
      <c r="E22" s="331"/>
      <c r="F22" s="315">
        <v>0.43</v>
      </c>
      <c r="G22" s="32">
        <v>16</v>
      </c>
      <c r="H22" s="315">
        <v>6.88</v>
      </c>
      <c r="I22" s="31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1"/>
      <c r="R22" s="321"/>
      <c r="S22" s="321"/>
      <c r="T22" s="322"/>
      <c r="U22" s="34"/>
      <c r="V22" s="34"/>
      <c r="W22" s="35" t="s">
        <v>70</v>
      </c>
      <c r="X22" s="316">
        <v>0</v>
      </c>
      <c r="Y22" s="31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2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33"/>
      <c r="P23" s="323" t="s">
        <v>73</v>
      </c>
      <c r="Q23" s="324"/>
      <c r="R23" s="324"/>
      <c r="S23" s="324"/>
      <c r="T23" s="324"/>
      <c r="U23" s="324"/>
      <c r="V23" s="325"/>
      <c r="W23" s="37" t="s">
        <v>70</v>
      </c>
      <c r="X23" s="318">
        <f>IFERROR(SUM(X22:X22),"0")</f>
        <v>0</v>
      </c>
      <c r="Y23" s="318">
        <f>IFERROR(SUM(Y22:Y22),"0")</f>
        <v>0</v>
      </c>
      <c r="Z23" s="318">
        <f>IFERROR(IF(Z22="",0,Z22),"0")</f>
        <v>0</v>
      </c>
      <c r="AA23" s="319"/>
      <c r="AB23" s="319"/>
      <c r="AC23" s="319"/>
    </row>
    <row r="24" spans="1:68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33"/>
      <c r="P24" s="323" t="s">
        <v>73</v>
      </c>
      <c r="Q24" s="324"/>
      <c r="R24" s="324"/>
      <c r="S24" s="324"/>
      <c r="T24" s="324"/>
      <c r="U24" s="324"/>
      <c r="V24" s="325"/>
      <c r="W24" s="37" t="s">
        <v>74</v>
      </c>
      <c r="X24" s="318">
        <f>IFERROR(SUMPRODUCT(X22:X22*H22:H22),"0")</f>
        <v>0</v>
      </c>
      <c r="Y24" s="318">
        <f>IFERROR(SUMPRODUCT(Y22:Y22*H22:H22),"0")</f>
        <v>0</v>
      </c>
      <c r="Z24" s="37"/>
      <c r="AA24" s="319"/>
      <c r="AB24" s="319"/>
      <c r="AC24" s="319"/>
    </row>
    <row r="25" spans="1:68" ht="27.75" customHeight="1" x14ac:dyDescent="0.2">
      <c r="A25" s="371" t="s">
        <v>75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48"/>
      <c r="AB25" s="48"/>
      <c r="AC25" s="48"/>
    </row>
    <row r="26" spans="1:68" ht="16.5" customHeight="1" x14ac:dyDescent="0.25">
      <c r="A26" s="326" t="s">
        <v>76</v>
      </c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11"/>
      <c r="AB26" s="311"/>
      <c r="AC26" s="311"/>
    </row>
    <row r="27" spans="1:68" ht="14.25" customHeight="1" x14ac:dyDescent="0.25">
      <c r="A27" s="345" t="s">
        <v>77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12"/>
      <c r="AB27" s="312"/>
      <c r="AC27" s="312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30">
        <v>4607111036605</v>
      </c>
      <c r="E28" s="331"/>
      <c r="F28" s="315">
        <v>0.25</v>
      </c>
      <c r="G28" s="32">
        <v>6</v>
      </c>
      <c r="H28" s="315">
        <v>1.5</v>
      </c>
      <c r="I28" s="31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3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1"/>
      <c r="R28" s="321"/>
      <c r="S28" s="321"/>
      <c r="T28" s="322"/>
      <c r="U28" s="34"/>
      <c r="V28" s="34"/>
      <c r="W28" s="35" t="s">
        <v>70</v>
      </c>
      <c r="X28" s="316">
        <v>84</v>
      </c>
      <c r="Y28" s="317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30">
        <v>4607111036520</v>
      </c>
      <c r="E29" s="331"/>
      <c r="F29" s="315">
        <v>0.25</v>
      </c>
      <c r="G29" s="32">
        <v>6</v>
      </c>
      <c r="H29" s="315">
        <v>1.5</v>
      </c>
      <c r="I29" s="315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1"/>
      <c r="R29" s="321"/>
      <c r="S29" s="321"/>
      <c r="T29" s="322"/>
      <c r="U29" s="34"/>
      <c r="V29" s="34"/>
      <c r="W29" s="35" t="s">
        <v>70</v>
      </c>
      <c r="X29" s="316">
        <v>56</v>
      </c>
      <c r="Y29" s="317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30">
        <v>4607111036537</v>
      </c>
      <c r="E30" s="331"/>
      <c r="F30" s="315">
        <v>0.25</v>
      </c>
      <c r="G30" s="32">
        <v>6</v>
      </c>
      <c r="H30" s="315">
        <v>1.5</v>
      </c>
      <c r="I30" s="315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1"/>
      <c r="R30" s="321"/>
      <c r="S30" s="321"/>
      <c r="T30" s="322"/>
      <c r="U30" s="34"/>
      <c r="V30" s="34"/>
      <c r="W30" s="35" t="s">
        <v>70</v>
      </c>
      <c r="X30" s="316">
        <v>84</v>
      </c>
      <c r="Y30" s="317">
        <f>IFERROR(IF(X30="","",X30),"")</f>
        <v>84</v>
      </c>
      <c r="Z30" s="36">
        <f>IFERROR(IF(X30="","",X30*0.00941),"")</f>
        <v>0.79044000000000003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161.43119999999999</v>
      </c>
      <c r="BN30" s="67">
        <f>IFERROR(Y30*I30,"0")</f>
        <v>161.43119999999999</v>
      </c>
      <c r="BO30" s="67">
        <f>IFERROR(X30/J30,"0")</f>
        <v>0.6</v>
      </c>
      <c r="BP30" s="67">
        <f>IFERROR(Y30/J30,"0")</f>
        <v>0.6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30">
        <v>4607111036599</v>
      </c>
      <c r="E31" s="331"/>
      <c r="F31" s="315">
        <v>0.25</v>
      </c>
      <c r="G31" s="32">
        <v>6</v>
      </c>
      <c r="H31" s="315">
        <v>1.5</v>
      </c>
      <c r="I31" s="315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1"/>
      <c r="R31" s="321"/>
      <c r="S31" s="321"/>
      <c r="T31" s="322"/>
      <c r="U31" s="34"/>
      <c r="V31" s="34"/>
      <c r="W31" s="35" t="s">
        <v>70</v>
      </c>
      <c r="X31" s="316">
        <v>14</v>
      </c>
      <c r="Y31" s="317">
        <f>IFERROR(IF(X31="","",X31),"")</f>
        <v>14</v>
      </c>
      <c r="Z31" s="36">
        <f>IFERROR(IF(X31="","",X31*0.00941),"")</f>
        <v>0.13174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</v>
      </c>
      <c r="BP31" s="67">
        <f>IFERROR(Y31/J31,"0")</f>
        <v>0.1</v>
      </c>
    </row>
    <row r="32" spans="1:68" x14ac:dyDescent="0.2">
      <c r="A32" s="332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33"/>
      <c r="P32" s="323" t="s">
        <v>73</v>
      </c>
      <c r="Q32" s="324"/>
      <c r="R32" s="324"/>
      <c r="S32" s="324"/>
      <c r="T32" s="324"/>
      <c r="U32" s="324"/>
      <c r="V32" s="325"/>
      <c r="W32" s="37" t="s">
        <v>70</v>
      </c>
      <c r="X32" s="318">
        <f>IFERROR(SUM(X28:X31),"0")</f>
        <v>238</v>
      </c>
      <c r="Y32" s="318">
        <f>IFERROR(SUM(Y28:Y31),"0")</f>
        <v>238</v>
      </c>
      <c r="Z32" s="318">
        <f>IFERROR(IF(Z28="",0,Z28),"0")+IFERROR(IF(Z29="",0,Z29),"0")+IFERROR(IF(Z30="",0,Z30),"0")+IFERROR(IF(Z31="",0,Z31),"0")</f>
        <v>2.2395800000000006</v>
      </c>
      <c r="AA32" s="319"/>
      <c r="AB32" s="319"/>
      <c r="AC32" s="319"/>
    </row>
    <row r="33" spans="1:68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33"/>
      <c r="P33" s="323" t="s">
        <v>73</v>
      </c>
      <c r="Q33" s="324"/>
      <c r="R33" s="324"/>
      <c r="S33" s="324"/>
      <c r="T33" s="324"/>
      <c r="U33" s="324"/>
      <c r="V33" s="325"/>
      <c r="W33" s="37" t="s">
        <v>74</v>
      </c>
      <c r="X33" s="318">
        <f>IFERROR(SUMPRODUCT(X28:X31*H28:H31),"0")</f>
        <v>357</v>
      </c>
      <c r="Y33" s="318">
        <f>IFERROR(SUMPRODUCT(Y28:Y31*H28:H31),"0")</f>
        <v>357</v>
      </c>
      <c r="Z33" s="37"/>
      <c r="AA33" s="319"/>
      <c r="AB33" s="319"/>
      <c r="AC33" s="319"/>
    </row>
    <row r="34" spans="1:68" ht="16.5" customHeight="1" x14ac:dyDescent="0.25">
      <c r="A34" s="326" t="s">
        <v>93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11"/>
      <c r="AB34" s="311"/>
      <c r="AC34" s="311"/>
    </row>
    <row r="35" spans="1:68" ht="14.25" customHeight="1" x14ac:dyDescent="0.25">
      <c r="A35" s="345" t="s">
        <v>64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27"/>
      <c r="Z35" s="327"/>
      <c r="AA35" s="312"/>
      <c r="AB35" s="312"/>
      <c r="AC35" s="312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30">
        <v>4607111036315</v>
      </c>
      <c r="E36" s="331"/>
      <c r="F36" s="315">
        <v>0.75</v>
      </c>
      <c r="G36" s="32">
        <v>8</v>
      </c>
      <c r="H36" s="315">
        <v>6</v>
      </c>
      <c r="I36" s="315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1"/>
      <c r="R36" s="321"/>
      <c r="S36" s="321"/>
      <c r="T36" s="322"/>
      <c r="U36" s="34"/>
      <c r="V36" s="34"/>
      <c r="W36" s="35" t="s">
        <v>70</v>
      </c>
      <c r="X36" s="316">
        <v>12</v>
      </c>
      <c r="Y36" s="317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75.239999999999995</v>
      </c>
      <c r="BN36" s="67">
        <f>IFERROR(Y36*I36,"0")</f>
        <v>75.239999999999995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30">
        <v>4607111036292</v>
      </c>
      <c r="E37" s="331"/>
      <c r="F37" s="315">
        <v>0.75</v>
      </c>
      <c r="G37" s="32">
        <v>8</v>
      </c>
      <c r="H37" s="315">
        <v>6</v>
      </c>
      <c r="I37" s="315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21"/>
      <c r="R37" s="321"/>
      <c r="S37" s="321"/>
      <c r="T37" s="322"/>
      <c r="U37" s="34"/>
      <c r="V37" s="34"/>
      <c r="W37" s="35" t="s">
        <v>70</v>
      </c>
      <c r="X37" s="316">
        <v>12</v>
      </c>
      <c r="Y37" s="317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75.239999999999995</v>
      </c>
      <c r="BN37" s="67">
        <f>IFERROR(Y37*I37,"0")</f>
        <v>75.239999999999995</v>
      </c>
      <c r="BO37" s="67">
        <f>IFERROR(X37/J37,"0")</f>
        <v>0.14285714285714285</v>
      </c>
      <c r="BP37" s="67">
        <f>IFERROR(Y37/J37,"0")</f>
        <v>0.14285714285714285</v>
      </c>
    </row>
    <row r="38" spans="1:68" x14ac:dyDescent="0.2">
      <c r="A38" s="332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33"/>
      <c r="P38" s="323" t="s">
        <v>73</v>
      </c>
      <c r="Q38" s="324"/>
      <c r="R38" s="324"/>
      <c r="S38" s="324"/>
      <c r="T38" s="324"/>
      <c r="U38" s="324"/>
      <c r="V38" s="325"/>
      <c r="W38" s="37" t="s">
        <v>70</v>
      </c>
      <c r="X38" s="318">
        <f>IFERROR(SUM(X36:X37),"0")</f>
        <v>24</v>
      </c>
      <c r="Y38" s="318">
        <f>IFERROR(SUM(Y36:Y37),"0")</f>
        <v>24</v>
      </c>
      <c r="Z38" s="318">
        <f>IFERROR(IF(Z36="",0,Z36),"0")+IFERROR(IF(Z37="",0,Z37),"0")</f>
        <v>0.372</v>
      </c>
      <c r="AA38" s="319"/>
      <c r="AB38" s="319"/>
      <c r="AC38" s="319"/>
    </row>
    <row r="39" spans="1:68" x14ac:dyDescent="0.2">
      <c r="A39" s="327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33"/>
      <c r="P39" s="323" t="s">
        <v>73</v>
      </c>
      <c r="Q39" s="324"/>
      <c r="R39" s="324"/>
      <c r="S39" s="324"/>
      <c r="T39" s="324"/>
      <c r="U39" s="324"/>
      <c r="V39" s="325"/>
      <c r="W39" s="37" t="s">
        <v>74</v>
      </c>
      <c r="X39" s="318">
        <f>IFERROR(SUMPRODUCT(X36:X37*H36:H37),"0")</f>
        <v>144</v>
      </c>
      <c r="Y39" s="318">
        <f>IFERROR(SUMPRODUCT(Y36:Y37*H36:H37),"0")</f>
        <v>144</v>
      </c>
      <c r="Z39" s="37"/>
      <c r="AA39" s="319"/>
      <c r="AB39" s="319"/>
      <c r="AC39" s="319"/>
    </row>
    <row r="40" spans="1:68" ht="16.5" customHeight="1" x14ac:dyDescent="0.25">
      <c r="A40" s="326" t="s">
        <v>100</v>
      </c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  <c r="X40" s="327"/>
      <c r="Y40" s="327"/>
      <c r="Z40" s="327"/>
      <c r="AA40" s="311"/>
      <c r="AB40" s="311"/>
      <c r="AC40" s="311"/>
    </row>
    <row r="41" spans="1:68" ht="14.25" customHeight="1" x14ac:dyDescent="0.25">
      <c r="A41" s="345" t="s">
        <v>101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12"/>
      <c r="AB41" s="312"/>
      <c r="AC41" s="312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30">
        <v>4607111037053</v>
      </c>
      <c r="E42" s="331"/>
      <c r="F42" s="315">
        <v>0.2</v>
      </c>
      <c r="G42" s="32">
        <v>6</v>
      </c>
      <c r="H42" s="315">
        <v>1.2</v>
      </c>
      <c r="I42" s="315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8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21"/>
      <c r="R42" s="321"/>
      <c r="S42" s="321"/>
      <c r="T42" s="322"/>
      <c r="U42" s="34"/>
      <c r="V42" s="34"/>
      <c r="W42" s="35" t="s">
        <v>70</v>
      </c>
      <c r="X42" s="316">
        <v>30</v>
      </c>
      <c r="Y42" s="317">
        <f>IFERROR(IF(X42="","",X42),"")</f>
        <v>30</v>
      </c>
      <c r="Z42" s="36">
        <f>IFERROR(IF(X42="","",X42*0.0095),"")</f>
        <v>0.28499999999999998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47.754000000000005</v>
      </c>
      <c r="BN42" s="67">
        <f>IFERROR(Y42*I42,"0")</f>
        <v>47.754000000000005</v>
      </c>
      <c r="BO42" s="67">
        <f>IFERROR(X42/J42,"0")</f>
        <v>0.23076923076923078</v>
      </c>
      <c r="BP42" s="67">
        <f>IFERROR(Y42/J42,"0")</f>
        <v>0.23076923076923078</v>
      </c>
    </row>
    <row r="43" spans="1:68" x14ac:dyDescent="0.2">
      <c r="A43" s="332"/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33"/>
      <c r="P43" s="323" t="s">
        <v>73</v>
      </c>
      <c r="Q43" s="324"/>
      <c r="R43" s="324"/>
      <c r="S43" s="324"/>
      <c r="T43" s="324"/>
      <c r="U43" s="324"/>
      <c r="V43" s="325"/>
      <c r="W43" s="37" t="s">
        <v>70</v>
      </c>
      <c r="X43" s="318">
        <f>IFERROR(SUM(X42:X42),"0")</f>
        <v>30</v>
      </c>
      <c r="Y43" s="318">
        <f>IFERROR(SUM(Y42:Y42),"0")</f>
        <v>30</v>
      </c>
      <c r="Z43" s="318">
        <f>IFERROR(IF(Z42="",0,Z42),"0")</f>
        <v>0.28499999999999998</v>
      </c>
      <c r="AA43" s="319"/>
      <c r="AB43" s="319"/>
      <c r="AC43" s="319"/>
    </row>
    <row r="44" spans="1:68" x14ac:dyDescent="0.2">
      <c r="A44" s="327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33"/>
      <c r="P44" s="323" t="s">
        <v>73</v>
      </c>
      <c r="Q44" s="324"/>
      <c r="R44" s="324"/>
      <c r="S44" s="324"/>
      <c r="T44" s="324"/>
      <c r="U44" s="324"/>
      <c r="V44" s="325"/>
      <c r="W44" s="37" t="s">
        <v>74</v>
      </c>
      <c r="X44" s="318">
        <f>IFERROR(SUMPRODUCT(X42:X42*H42:H42),"0")</f>
        <v>36</v>
      </c>
      <c r="Y44" s="318">
        <f>IFERROR(SUMPRODUCT(Y42:Y42*H42:H42),"0")</f>
        <v>36</v>
      </c>
      <c r="Z44" s="37"/>
      <c r="AA44" s="319"/>
      <c r="AB44" s="319"/>
      <c r="AC44" s="319"/>
    </row>
    <row r="45" spans="1:68" ht="16.5" customHeight="1" x14ac:dyDescent="0.25">
      <c r="A45" s="326" t="s">
        <v>106</v>
      </c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  <c r="W45" s="327"/>
      <c r="X45" s="327"/>
      <c r="Y45" s="327"/>
      <c r="Z45" s="327"/>
      <c r="AA45" s="311"/>
      <c r="AB45" s="311"/>
      <c r="AC45" s="311"/>
    </row>
    <row r="46" spans="1:68" ht="14.25" customHeight="1" x14ac:dyDescent="0.25">
      <c r="A46" s="345" t="s">
        <v>64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327"/>
      <c r="Z46" s="327"/>
      <c r="AA46" s="312"/>
      <c r="AB46" s="312"/>
      <c r="AC46" s="312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30">
        <v>4607111037190</v>
      </c>
      <c r="E47" s="331"/>
      <c r="F47" s="315">
        <v>0.43</v>
      </c>
      <c r="G47" s="32">
        <v>16</v>
      </c>
      <c r="H47" s="315">
        <v>6.88</v>
      </c>
      <c r="I47" s="315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21"/>
      <c r="R47" s="321"/>
      <c r="S47" s="321"/>
      <c r="T47" s="322"/>
      <c r="U47" s="34"/>
      <c r="V47" s="34"/>
      <c r="W47" s="35" t="s">
        <v>70</v>
      </c>
      <c r="X47" s="316">
        <v>0</v>
      </c>
      <c r="Y47" s="317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30">
        <v>4607111038999</v>
      </c>
      <c r="E48" s="331"/>
      <c r="F48" s="315">
        <v>0.4</v>
      </c>
      <c r="G48" s="32">
        <v>16</v>
      </c>
      <c r="H48" s="315">
        <v>6.4</v>
      </c>
      <c r="I48" s="315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21"/>
      <c r="R48" s="321"/>
      <c r="S48" s="321"/>
      <c r="T48" s="322"/>
      <c r="U48" s="34"/>
      <c r="V48" s="34"/>
      <c r="W48" s="35" t="s">
        <v>70</v>
      </c>
      <c r="X48" s="316">
        <v>0</v>
      </c>
      <c r="Y48" s="317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4301070972</v>
      </c>
      <c r="D49" s="330">
        <v>4607111037183</v>
      </c>
      <c r="E49" s="331"/>
      <c r="F49" s="315">
        <v>0.9</v>
      </c>
      <c r="G49" s="32">
        <v>8</v>
      </c>
      <c r="H49" s="315">
        <v>7.2</v>
      </c>
      <c r="I49" s="315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21"/>
      <c r="R49" s="321"/>
      <c r="S49" s="321"/>
      <c r="T49" s="322"/>
      <c r="U49" s="34"/>
      <c r="V49" s="34"/>
      <c r="W49" s="35" t="s">
        <v>70</v>
      </c>
      <c r="X49" s="316">
        <v>0</v>
      </c>
      <c r="Y49" s="317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30">
        <v>4607111039385</v>
      </c>
      <c r="E50" s="331"/>
      <c r="F50" s="315">
        <v>0.7</v>
      </c>
      <c r="G50" s="32">
        <v>10</v>
      </c>
      <c r="H50" s="315">
        <v>7</v>
      </c>
      <c r="I50" s="315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40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21"/>
      <c r="R50" s="321"/>
      <c r="S50" s="321"/>
      <c r="T50" s="322"/>
      <c r="U50" s="34"/>
      <c r="V50" s="34"/>
      <c r="W50" s="35" t="s">
        <v>70</v>
      </c>
      <c r="X50" s="316">
        <v>0</v>
      </c>
      <c r="Y50" s="317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116</v>
      </c>
      <c r="B51" s="54" t="s">
        <v>117</v>
      </c>
      <c r="C51" s="31">
        <v>4301070970</v>
      </c>
      <c r="D51" s="330">
        <v>4607111037091</v>
      </c>
      <c r="E51" s="331"/>
      <c r="F51" s="315">
        <v>0.43</v>
      </c>
      <c r="G51" s="32">
        <v>16</v>
      </c>
      <c r="H51" s="315">
        <v>6.88</v>
      </c>
      <c r="I51" s="315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21"/>
      <c r="R51" s="321"/>
      <c r="S51" s="321"/>
      <c r="T51" s="322"/>
      <c r="U51" s="34"/>
      <c r="V51" s="34"/>
      <c r="W51" s="35" t="s">
        <v>70</v>
      </c>
      <c r="X51" s="316">
        <v>0</v>
      </c>
      <c r="Y51" s="317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30">
        <v>4607111039392</v>
      </c>
      <c r="E52" s="331"/>
      <c r="F52" s="315">
        <v>0.4</v>
      </c>
      <c r="G52" s="32">
        <v>16</v>
      </c>
      <c r="H52" s="315">
        <v>6.4</v>
      </c>
      <c r="I52" s="315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3" t="s">
        <v>121</v>
      </c>
      <c r="Q52" s="321"/>
      <c r="R52" s="321"/>
      <c r="S52" s="321"/>
      <c r="T52" s="322"/>
      <c r="U52" s="34"/>
      <c r="V52" s="34"/>
      <c r="W52" s="35" t="s">
        <v>70</v>
      </c>
      <c r="X52" s="316">
        <v>0</v>
      </c>
      <c r="Y52" s="317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4301070971</v>
      </c>
      <c r="D53" s="330">
        <v>4607111036902</v>
      </c>
      <c r="E53" s="331"/>
      <c r="F53" s="315">
        <v>0.9</v>
      </c>
      <c r="G53" s="32">
        <v>8</v>
      </c>
      <c r="H53" s="315">
        <v>7.2</v>
      </c>
      <c r="I53" s="315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2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21"/>
      <c r="R53" s="321"/>
      <c r="S53" s="321"/>
      <c r="T53" s="322"/>
      <c r="U53" s="34"/>
      <c r="V53" s="34"/>
      <c r="W53" s="35" t="s">
        <v>70</v>
      </c>
      <c r="X53" s="316">
        <v>0</v>
      </c>
      <c r="Y53" s="317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4301071031</v>
      </c>
      <c r="D54" s="330">
        <v>4607111038982</v>
      </c>
      <c r="E54" s="331"/>
      <c r="F54" s="315">
        <v>0.7</v>
      </c>
      <c r="G54" s="32">
        <v>10</v>
      </c>
      <c r="H54" s="315">
        <v>7</v>
      </c>
      <c r="I54" s="315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49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21"/>
      <c r="R54" s="321"/>
      <c r="S54" s="321"/>
      <c r="T54" s="322"/>
      <c r="U54" s="34"/>
      <c r="V54" s="34"/>
      <c r="W54" s="35" t="s">
        <v>70</v>
      </c>
      <c r="X54" s="316">
        <v>0</v>
      </c>
      <c r="Y54" s="317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4301070969</v>
      </c>
      <c r="D55" s="330">
        <v>4607111036858</v>
      </c>
      <c r="E55" s="331"/>
      <c r="F55" s="315">
        <v>0.43</v>
      </c>
      <c r="G55" s="32">
        <v>16</v>
      </c>
      <c r="H55" s="315">
        <v>6.88</v>
      </c>
      <c r="I55" s="315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21"/>
      <c r="R55" s="321"/>
      <c r="S55" s="321"/>
      <c r="T55" s="322"/>
      <c r="U55" s="34"/>
      <c r="V55" s="34"/>
      <c r="W55" s="35" t="s">
        <v>70</v>
      </c>
      <c r="X55" s="316">
        <v>0</v>
      </c>
      <c r="Y55" s="317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4301071046</v>
      </c>
      <c r="D56" s="330">
        <v>4607111039354</v>
      </c>
      <c r="E56" s="331"/>
      <c r="F56" s="315">
        <v>0.4</v>
      </c>
      <c r="G56" s="32">
        <v>16</v>
      </c>
      <c r="H56" s="315">
        <v>6.4</v>
      </c>
      <c r="I56" s="31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21"/>
      <c r="R56" s="321"/>
      <c r="S56" s="321"/>
      <c r="T56" s="322"/>
      <c r="U56" s="34"/>
      <c r="V56" s="34"/>
      <c r="W56" s="35" t="s">
        <v>70</v>
      </c>
      <c r="X56" s="316">
        <v>0</v>
      </c>
      <c r="Y56" s="317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4301070968</v>
      </c>
      <c r="D57" s="330">
        <v>4607111036889</v>
      </c>
      <c r="E57" s="331"/>
      <c r="F57" s="315">
        <v>0.9</v>
      </c>
      <c r="G57" s="32">
        <v>8</v>
      </c>
      <c r="H57" s="315">
        <v>7.2</v>
      </c>
      <c r="I57" s="315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0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21"/>
      <c r="R57" s="321"/>
      <c r="S57" s="321"/>
      <c r="T57" s="322"/>
      <c r="U57" s="34"/>
      <c r="V57" s="34"/>
      <c r="W57" s="35" t="s">
        <v>70</v>
      </c>
      <c r="X57" s="316">
        <v>0</v>
      </c>
      <c r="Y57" s="317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132</v>
      </c>
      <c r="B58" s="54" t="s">
        <v>133</v>
      </c>
      <c r="C58" s="31">
        <v>4301071047</v>
      </c>
      <c r="D58" s="330">
        <v>4607111039330</v>
      </c>
      <c r="E58" s="331"/>
      <c r="F58" s="315">
        <v>0.7</v>
      </c>
      <c r="G58" s="32">
        <v>10</v>
      </c>
      <c r="H58" s="315">
        <v>7</v>
      </c>
      <c r="I58" s="315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21"/>
      <c r="R58" s="321"/>
      <c r="S58" s="321"/>
      <c r="T58" s="322"/>
      <c r="U58" s="34"/>
      <c r="V58" s="34"/>
      <c r="W58" s="35" t="s">
        <v>70</v>
      </c>
      <c r="X58" s="316">
        <v>0</v>
      </c>
      <c r="Y58" s="317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2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33"/>
      <c r="P59" s="323" t="s">
        <v>73</v>
      </c>
      <c r="Q59" s="324"/>
      <c r="R59" s="324"/>
      <c r="S59" s="324"/>
      <c r="T59" s="324"/>
      <c r="U59" s="324"/>
      <c r="V59" s="325"/>
      <c r="W59" s="37" t="s">
        <v>70</v>
      </c>
      <c r="X59" s="318">
        <f>IFERROR(SUM(X47:X58),"0")</f>
        <v>0</v>
      </c>
      <c r="Y59" s="318">
        <f>IFERROR(SUM(Y47:Y58),"0")</f>
        <v>0</v>
      </c>
      <c r="Z59" s="318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319"/>
      <c r="AB59" s="319"/>
      <c r="AC59" s="319"/>
    </row>
    <row r="60" spans="1:68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33"/>
      <c r="P60" s="323" t="s">
        <v>73</v>
      </c>
      <c r="Q60" s="324"/>
      <c r="R60" s="324"/>
      <c r="S60" s="324"/>
      <c r="T60" s="324"/>
      <c r="U60" s="324"/>
      <c r="V60" s="325"/>
      <c r="W60" s="37" t="s">
        <v>74</v>
      </c>
      <c r="X60" s="318">
        <f>IFERROR(SUMPRODUCT(X47:X58*H47:H58),"0")</f>
        <v>0</v>
      </c>
      <c r="Y60" s="318">
        <f>IFERROR(SUMPRODUCT(Y47:Y58*H47:H58),"0")</f>
        <v>0</v>
      </c>
      <c r="Z60" s="37"/>
      <c r="AA60" s="319"/>
      <c r="AB60" s="319"/>
      <c r="AC60" s="319"/>
    </row>
    <row r="61" spans="1:68" ht="16.5" customHeight="1" x14ac:dyDescent="0.25">
      <c r="A61" s="326" t="s">
        <v>134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  <c r="AA61" s="311"/>
      <c r="AB61" s="311"/>
      <c r="AC61" s="311"/>
    </row>
    <row r="62" spans="1:68" ht="14.25" customHeight="1" x14ac:dyDescent="0.25">
      <c r="A62" s="345" t="s">
        <v>64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27"/>
      <c r="Z62" s="327"/>
      <c r="AA62" s="312"/>
      <c r="AB62" s="312"/>
      <c r="AC62" s="312"/>
    </row>
    <row r="63" spans="1:68" ht="27" customHeight="1" x14ac:dyDescent="0.25">
      <c r="A63" s="54" t="s">
        <v>135</v>
      </c>
      <c r="B63" s="54" t="s">
        <v>136</v>
      </c>
      <c r="C63" s="31">
        <v>4301070977</v>
      </c>
      <c r="D63" s="330">
        <v>4607111037411</v>
      </c>
      <c r="E63" s="331"/>
      <c r="F63" s="315">
        <v>2.7</v>
      </c>
      <c r="G63" s="32">
        <v>1</v>
      </c>
      <c r="H63" s="315">
        <v>2.7</v>
      </c>
      <c r="I63" s="315">
        <v>2.8132000000000001</v>
      </c>
      <c r="J63" s="32">
        <v>234</v>
      </c>
      <c r="K63" s="32" t="s">
        <v>137</v>
      </c>
      <c r="L63" s="32" t="s">
        <v>68</v>
      </c>
      <c r="M63" s="33" t="s">
        <v>69</v>
      </c>
      <c r="N63" s="33"/>
      <c r="O63" s="32">
        <v>180</v>
      </c>
      <c r="P63" s="39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21"/>
      <c r="R63" s="321"/>
      <c r="S63" s="321"/>
      <c r="T63" s="322"/>
      <c r="U63" s="34"/>
      <c r="V63" s="34"/>
      <c r="W63" s="35" t="s">
        <v>70</v>
      </c>
      <c r="X63" s="316">
        <v>0</v>
      </c>
      <c r="Y63" s="317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138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139</v>
      </c>
      <c r="B64" s="54" t="s">
        <v>140</v>
      </c>
      <c r="C64" s="31">
        <v>4301070981</v>
      </c>
      <c r="D64" s="330">
        <v>4607111036728</v>
      </c>
      <c r="E64" s="331"/>
      <c r="F64" s="315">
        <v>5</v>
      </c>
      <c r="G64" s="32">
        <v>1</v>
      </c>
      <c r="H64" s="315">
        <v>5</v>
      </c>
      <c r="I64" s="315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4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21"/>
      <c r="R64" s="321"/>
      <c r="S64" s="321"/>
      <c r="T64" s="322"/>
      <c r="U64" s="34"/>
      <c r="V64" s="34"/>
      <c r="W64" s="35" t="s">
        <v>70</v>
      </c>
      <c r="X64" s="316">
        <v>84</v>
      </c>
      <c r="Y64" s="317">
        <f>IFERROR(IF(X64="","",X64),"")</f>
        <v>84</v>
      </c>
      <c r="Z64" s="36">
        <f>IFERROR(IF(X64="","",X64*0.00866),"")</f>
        <v>0.72743999999999998</v>
      </c>
      <c r="AA64" s="56"/>
      <c r="AB64" s="57"/>
      <c r="AC64" s="114" t="s">
        <v>138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437.90879999999999</v>
      </c>
      <c r="BN64" s="67">
        <f>IFERROR(Y64*I64,"0")</f>
        <v>437.90879999999999</v>
      </c>
      <c r="BO64" s="67">
        <f>IFERROR(X64/J64,"0")</f>
        <v>0.58333333333333337</v>
      </c>
      <c r="BP64" s="67">
        <f>IFERROR(Y64/J64,"0")</f>
        <v>0.58333333333333337</v>
      </c>
    </row>
    <row r="65" spans="1:68" x14ac:dyDescent="0.2">
      <c r="A65" s="332"/>
      <c r="B65" s="327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33"/>
      <c r="P65" s="323" t="s">
        <v>73</v>
      </c>
      <c r="Q65" s="324"/>
      <c r="R65" s="324"/>
      <c r="S65" s="324"/>
      <c r="T65" s="324"/>
      <c r="U65" s="324"/>
      <c r="V65" s="325"/>
      <c r="W65" s="37" t="s">
        <v>70</v>
      </c>
      <c r="X65" s="318">
        <f>IFERROR(SUM(X63:X64),"0")</f>
        <v>84</v>
      </c>
      <c r="Y65" s="318">
        <f>IFERROR(SUM(Y63:Y64),"0")</f>
        <v>84</v>
      </c>
      <c r="Z65" s="318">
        <f>IFERROR(IF(Z63="",0,Z63),"0")+IFERROR(IF(Z64="",0,Z64),"0")</f>
        <v>0.72743999999999998</v>
      </c>
      <c r="AA65" s="319"/>
      <c r="AB65" s="319"/>
      <c r="AC65" s="319"/>
    </row>
    <row r="66" spans="1:68" x14ac:dyDescent="0.2">
      <c r="A66" s="327"/>
      <c r="B66" s="327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33"/>
      <c r="P66" s="323" t="s">
        <v>73</v>
      </c>
      <c r="Q66" s="324"/>
      <c r="R66" s="324"/>
      <c r="S66" s="324"/>
      <c r="T66" s="324"/>
      <c r="U66" s="324"/>
      <c r="V66" s="325"/>
      <c r="W66" s="37" t="s">
        <v>74</v>
      </c>
      <c r="X66" s="318">
        <f>IFERROR(SUMPRODUCT(X63:X64*H63:H64),"0")</f>
        <v>420</v>
      </c>
      <c r="Y66" s="318">
        <f>IFERROR(SUMPRODUCT(Y63:Y64*H63:H64),"0")</f>
        <v>420</v>
      </c>
      <c r="Z66" s="37"/>
      <c r="AA66" s="319"/>
      <c r="AB66" s="319"/>
      <c r="AC66" s="319"/>
    </row>
    <row r="67" spans="1:68" ht="16.5" customHeight="1" x14ac:dyDescent="0.25">
      <c r="A67" s="326" t="s">
        <v>141</v>
      </c>
      <c r="B67" s="327"/>
      <c r="C67" s="327"/>
      <c r="D67" s="327"/>
      <c r="E67" s="327"/>
      <c r="F67" s="327"/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  <c r="R67" s="327"/>
      <c r="S67" s="327"/>
      <c r="T67" s="327"/>
      <c r="U67" s="327"/>
      <c r="V67" s="327"/>
      <c r="W67" s="327"/>
      <c r="X67" s="327"/>
      <c r="Y67" s="327"/>
      <c r="Z67" s="327"/>
      <c r="AA67" s="311"/>
      <c r="AB67" s="311"/>
      <c r="AC67" s="311"/>
    </row>
    <row r="68" spans="1:68" ht="14.25" customHeight="1" x14ac:dyDescent="0.25">
      <c r="A68" s="345" t="s">
        <v>142</v>
      </c>
      <c r="B68" s="327"/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27"/>
      <c r="T68" s="327"/>
      <c r="U68" s="327"/>
      <c r="V68" s="327"/>
      <c r="W68" s="327"/>
      <c r="X68" s="327"/>
      <c r="Y68" s="327"/>
      <c r="Z68" s="327"/>
      <c r="AA68" s="312"/>
      <c r="AB68" s="312"/>
      <c r="AC68" s="312"/>
    </row>
    <row r="69" spans="1:68" ht="27" customHeight="1" x14ac:dyDescent="0.25">
      <c r="A69" s="54" t="s">
        <v>143</v>
      </c>
      <c r="B69" s="54" t="s">
        <v>144</v>
      </c>
      <c r="C69" s="31">
        <v>4301135271</v>
      </c>
      <c r="D69" s="330">
        <v>4607111033659</v>
      </c>
      <c r="E69" s="331"/>
      <c r="F69" s="315">
        <v>0.3</v>
      </c>
      <c r="G69" s="32">
        <v>12</v>
      </c>
      <c r="H69" s="315">
        <v>3.6</v>
      </c>
      <c r="I69" s="315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4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21"/>
      <c r="R69" s="321"/>
      <c r="S69" s="321"/>
      <c r="T69" s="322"/>
      <c r="U69" s="34"/>
      <c r="V69" s="34"/>
      <c r="W69" s="35" t="s">
        <v>70</v>
      </c>
      <c r="X69" s="316">
        <v>42</v>
      </c>
      <c r="Y69" s="317">
        <f>IFERROR(IF(X69="","",X69),"")</f>
        <v>42</v>
      </c>
      <c r="Z69" s="36">
        <f>IFERROR(IF(X69="","",X69*0.01788),"")</f>
        <v>0.75095999999999996</v>
      </c>
      <c r="AA69" s="56"/>
      <c r="AB69" s="57"/>
      <c r="AC69" s="116" t="s">
        <v>145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180.75120000000001</v>
      </c>
      <c r="BN69" s="67">
        <f>IFERROR(Y69*I69,"0")</f>
        <v>180.75120000000001</v>
      </c>
      <c r="BO69" s="67">
        <f>IFERROR(X69/J69,"0")</f>
        <v>0.6</v>
      </c>
      <c r="BP69" s="67">
        <f>IFERROR(Y69/J69,"0")</f>
        <v>0.6</v>
      </c>
    </row>
    <row r="70" spans="1:68" x14ac:dyDescent="0.2">
      <c r="A70" s="332"/>
      <c r="B70" s="327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33"/>
      <c r="P70" s="323" t="s">
        <v>73</v>
      </c>
      <c r="Q70" s="324"/>
      <c r="R70" s="324"/>
      <c r="S70" s="324"/>
      <c r="T70" s="324"/>
      <c r="U70" s="324"/>
      <c r="V70" s="325"/>
      <c r="W70" s="37" t="s">
        <v>70</v>
      </c>
      <c r="X70" s="318">
        <f>IFERROR(SUM(X69:X69),"0")</f>
        <v>42</v>
      </c>
      <c r="Y70" s="318">
        <f>IFERROR(SUM(Y69:Y69),"0")</f>
        <v>42</v>
      </c>
      <c r="Z70" s="318">
        <f>IFERROR(IF(Z69="",0,Z69),"0")</f>
        <v>0.75095999999999996</v>
      </c>
      <c r="AA70" s="319"/>
      <c r="AB70" s="319"/>
      <c r="AC70" s="319"/>
    </row>
    <row r="71" spans="1:68" x14ac:dyDescent="0.2">
      <c r="A71" s="327"/>
      <c r="B71" s="327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33"/>
      <c r="P71" s="323" t="s">
        <v>73</v>
      </c>
      <c r="Q71" s="324"/>
      <c r="R71" s="324"/>
      <c r="S71" s="324"/>
      <c r="T71" s="324"/>
      <c r="U71" s="324"/>
      <c r="V71" s="325"/>
      <c r="W71" s="37" t="s">
        <v>74</v>
      </c>
      <c r="X71" s="318">
        <f>IFERROR(SUMPRODUCT(X69:X69*H69:H69),"0")</f>
        <v>151.20000000000002</v>
      </c>
      <c r="Y71" s="318">
        <f>IFERROR(SUMPRODUCT(Y69:Y69*H69:H69),"0")</f>
        <v>151.20000000000002</v>
      </c>
      <c r="Z71" s="37"/>
      <c r="AA71" s="319"/>
      <c r="AB71" s="319"/>
      <c r="AC71" s="319"/>
    </row>
    <row r="72" spans="1:68" ht="16.5" customHeight="1" x14ac:dyDescent="0.25">
      <c r="A72" s="326" t="s">
        <v>146</v>
      </c>
      <c r="B72" s="327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7"/>
      <c r="W72" s="327"/>
      <c r="X72" s="327"/>
      <c r="Y72" s="327"/>
      <c r="Z72" s="327"/>
      <c r="AA72" s="311"/>
      <c r="AB72" s="311"/>
      <c r="AC72" s="311"/>
    </row>
    <row r="73" spans="1:68" ht="14.25" customHeight="1" x14ac:dyDescent="0.25">
      <c r="A73" s="345" t="s">
        <v>147</v>
      </c>
      <c r="B73" s="327"/>
      <c r="C73" s="327"/>
      <c r="D73" s="327"/>
      <c r="E73" s="327"/>
      <c r="F73" s="327"/>
      <c r="G73" s="327"/>
      <c r="H73" s="327"/>
      <c r="I73" s="327"/>
      <c r="J73" s="327"/>
      <c r="K73" s="327"/>
      <c r="L73" s="327"/>
      <c r="M73" s="327"/>
      <c r="N73" s="327"/>
      <c r="O73" s="327"/>
      <c r="P73" s="327"/>
      <c r="Q73" s="327"/>
      <c r="R73" s="327"/>
      <c r="S73" s="327"/>
      <c r="T73" s="327"/>
      <c r="U73" s="327"/>
      <c r="V73" s="327"/>
      <c r="W73" s="327"/>
      <c r="X73" s="327"/>
      <c r="Y73" s="327"/>
      <c r="Z73" s="327"/>
      <c r="AA73" s="312"/>
      <c r="AB73" s="312"/>
      <c r="AC73" s="312"/>
    </row>
    <row r="74" spans="1:68" ht="27" customHeight="1" x14ac:dyDescent="0.25">
      <c r="A74" s="54" t="s">
        <v>148</v>
      </c>
      <c r="B74" s="54" t="s">
        <v>149</v>
      </c>
      <c r="C74" s="31">
        <v>4301131021</v>
      </c>
      <c r="D74" s="330">
        <v>4607111034137</v>
      </c>
      <c r="E74" s="331"/>
      <c r="F74" s="315">
        <v>0.3</v>
      </c>
      <c r="G74" s="32">
        <v>12</v>
      </c>
      <c r="H74" s="315">
        <v>3.6</v>
      </c>
      <c r="I74" s="315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21"/>
      <c r="R74" s="321"/>
      <c r="S74" s="321"/>
      <c r="T74" s="322"/>
      <c r="U74" s="34"/>
      <c r="V74" s="34"/>
      <c r="W74" s="35" t="s">
        <v>70</v>
      </c>
      <c r="X74" s="316">
        <v>42</v>
      </c>
      <c r="Y74" s="317">
        <f>IFERROR(IF(X74="","",X74),"")</f>
        <v>42</v>
      </c>
      <c r="Z74" s="36">
        <f>IFERROR(IF(X74="","",X74*0.01788),"")</f>
        <v>0.75095999999999996</v>
      </c>
      <c r="AA74" s="56"/>
      <c r="AB74" s="57"/>
      <c r="AC74" s="118" t="s">
        <v>150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ht="27" customHeight="1" x14ac:dyDescent="0.25">
      <c r="A75" s="54" t="s">
        <v>151</v>
      </c>
      <c r="B75" s="54" t="s">
        <v>152</v>
      </c>
      <c r="C75" s="31">
        <v>4301131022</v>
      </c>
      <c r="D75" s="330">
        <v>4607111034120</v>
      </c>
      <c r="E75" s="331"/>
      <c r="F75" s="315">
        <v>0.3</v>
      </c>
      <c r="G75" s="32">
        <v>12</v>
      </c>
      <c r="H75" s="315">
        <v>3.6</v>
      </c>
      <c r="I75" s="315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0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21"/>
      <c r="R75" s="321"/>
      <c r="S75" s="321"/>
      <c r="T75" s="322"/>
      <c r="U75" s="34"/>
      <c r="V75" s="34"/>
      <c r="W75" s="35" t="s">
        <v>70</v>
      </c>
      <c r="X75" s="316">
        <v>28</v>
      </c>
      <c r="Y75" s="317">
        <f>IFERROR(IF(X75="","",X75),"")</f>
        <v>28</v>
      </c>
      <c r="Z75" s="36">
        <f>IFERROR(IF(X75="","",X75*0.01788),"")</f>
        <v>0.50063999999999997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332"/>
      <c r="B76" s="327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33"/>
      <c r="P76" s="323" t="s">
        <v>73</v>
      </c>
      <c r="Q76" s="324"/>
      <c r="R76" s="324"/>
      <c r="S76" s="324"/>
      <c r="T76" s="324"/>
      <c r="U76" s="324"/>
      <c r="V76" s="325"/>
      <c r="W76" s="37" t="s">
        <v>70</v>
      </c>
      <c r="X76" s="318">
        <f>IFERROR(SUM(X74:X75),"0")</f>
        <v>70</v>
      </c>
      <c r="Y76" s="318">
        <f>IFERROR(SUM(Y74:Y75),"0")</f>
        <v>70</v>
      </c>
      <c r="Z76" s="318">
        <f>IFERROR(IF(Z74="",0,Z74),"0")+IFERROR(IF(Z75="",0,Z75),"0")</f>
        <v>1.2515999999999998</v>
      </c>
      <c r="AA76" s="319"/>
      <c r="AB76" s="319"/>
      <c r="AC76" s="319"/>
    </row>
    <row r="77" spans="1:68" x14ac:dyDescent="0.2">
      <c r="A77" s="327"/>
      <c r="B77" s="327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33"/>
      <c r="P77" s="323" t="s">
        <v>73</v>
      </c>
      <c r="Q77" s="324"/>
      <c r="R77" s="324"/>
      <c r="S77" s="324"/>
      <c r="T77" s="324"/>
      <c r="U77" s="324"/>
      <c r="V77" s="325"/>
      <c r="W77" s="37" t="s">
        <v>74</v>
      </c>
      <c r="X77" s="318">
        <f>IFERROR(SUMPRODUCT(X74:X75*H74:H75),"0")</f>
        <v>252</v>
      </c>
      <c r="Y77" s="318">
        <f>IFERROR(SUMPRODUCT(Y74:Y75*H74:H75),"0")</f>
        <v>252</v>
      </c>
      <c r="Z77" s="37"/>
      <c r="AA77" s="319"/>
      <c r="AB77" s="319"/>
      <c r="AC77" s="319"/>
    </row>
    <row r="78" spans="1:68" ht="16.5" customHeight="1" x14ac:dyDescent="0.25">
      <c r="A78" s="326" t="s">
        <v>154</v>
      </c>
      <c r="B78" s="327"/>
      <c r="C78" s="327"/>
      <c r="D78" s="327"/>
      <c r="E78" s="327"/>
      <c r="F78" s="327"/>
      <c r="G78" s="327"/>
      <c r="H78" s="327"/>
      <c r="I78" s="327"/>
      <c r="J78" s="327"/>
      <c r="K78" s="327"/>
      <c r="L78" s="327"/>
      <c r="M78" s="327"/>
      <c r="N78" s="327"/>
      <c r="O78" s="327"/>
      <c r="P78" s="327"/>
      <c r="Q78" s="327"/>
      <c r="R78" s="327"/>
      <c r="S78" s="327"/>
      <c r="T78" s="327"/>
      <c r="U78" s="327"/>
      <c r="V78" s="327"/>
      <c r="W78" s="327"/>
      <c r="X78" s="327"/>
      <c r="Y78" s="327"/>
      <c r="Z78" s="327"/>
      <c r="AA78" s="311"/>
      <c r="AB78" s="311"/>
      <c r="AC78" s="311"/>
    </row>
    <row r="79" spans="1:68" ht="14.25" customHeight="1" x14ac:dyDescent="0.25">
      <c r="A79" s="345" t="s">
        <v>142</v>
      </c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7"/>
      <c r="N79" s="327"/>
      <c r="O79" s="327"/>
      <c r="P79" s="327"/>
      <c r="Q79" s="327"/>
      <c r="R79" s="327"/>
      <c r="S79" s="327"/>
      <c r="T79" s="327"/>
      <c r="U79" s="327"/>
      <c r="V79" s="327"/>
      <c r="W79" s="327"/>
      <c r="X79" s="327"/>
      <c r="Y79" s="327"/>
      <c r="Z79" s="327"/>
      <c r="AA79" s="312"/>
      <c r="AB79" s="312"/>
      <c r="AC79" s="312"/>
    </row>
    <row r="80" spans="1:68" ht="27" customHeight="1" x14ac:dyDescent="0.25">
      <c r="A80" s="54" t="s">
        <v>155</v>
      </c>
      <c r="B80" s="54" t="s">
        <v>156</v>
      </c>
      <c r="C80" s="31">
        <v>4301135285</v>
      </c>
      <c r="D80" s="330">
        <v>4607111036407</v>
      </c>
      <c r="E80" s="331"/>
      <c r="F80" s="315">
        <v>0.3</v>
      </c>
      <c r="G80" s="32">
        <v>14</v>
      </c>
      <c r="H80" s="315">
        <v>4.2</v>
      </c>
      <c r="I80" s="315">
        <v>4.5292000000000003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7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1"/>
      <c r="R80" s="321"/>
      <c r="S80" s="321"/>
      <c r="T80" s="322"/>
      <c r="U80" s="34"/>
      <c r="V80" s="34"/>
      <c r="W80" s="35" t="s">
        <v>70</v>
      </c>
      <c r="X80" s="316">
        <v>0</v>
      </c>
      <c r="Y80" s="317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157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158</v>
      </c>
      <c r="B81" s="54" t="s">
        <v>159</v>
      </c>
      <c r="C81" s="31">
        <v>4301135286</v>
      </c>
      <c r="D81" s="330">
        <v>4607111033628</v>
      </c>
      <c r="E81" s="331"/>
      <c r="F81" s="315">
        <v>0.3</v>
      </c>
      <c r="G81" s="32">
        <v>12</v>
      </c>
      <c r="H81" s="315">
        <v>3.6</v>
      </c>
      <c r="I81" s="315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21"/>
      <c r="R81" s="321"/>
      <c r="S81" s="321"/>
      <c r="T81" s="322"/>
      <c r="U81" s="34"/>
      <c r="V81" s="34"/>
      <c r="W81" s="35" t="s">
        <v>70</v>
      </c>
      <c r="X81" s="316">
        <v>28</v>
      </c>
      <c r="Y81" s="317">
        <f t="shared" si="6"/>
        <v>28</v>
      </c>
      <c r="Z81" s="36">
        <f t="shared" si="7"/>
        <v>0.50063999999999997</v>
      </c>
      <c r="AA81" s="56"/>
      <c r="AB81" s="57"/>
      <c r="AC81" s="124" t="s">
        <v>160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161</v>
      </c>
      <c r="B82" s="54" t="s">
        <v>162</v>
      </c>
      <c r="C82" s="31">
        <v>4301135565</v>
      </c>
      <c r="D82" s="330">
        <v>4607111033451</v>
      </c>
      <c r="E82" s="331"/>
      <c r="F82" s="315">
        <v>0.3</v>
      </c>
      <c r="G82" s="32">
        <v>12</v>
      </c>
      <c r="H82" s="315">
        <v>3.6</v>
      </c>
      <c r="I82" s="315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07" t="s">
        <v>163</v>
      </c>
      <c r="Q82" s="321"/>
      <c r="R82" s="321"/>
      <c r="S82" s="321"/>
      <c r="T82" s="322"/>
      <c r="U82" s="34"/>
      <c r="V82" s="34"/>
      <c r="W82" s="35" t="s">
        <v>70</v>
      </c>
      <c r="X82" s="316">
        <v>56</v>
      </c>
      <c r="Y82" s="317">
        <f t="shared" si="6"/>
        <v>56</v>
      </c>
      <c r="Z82" s="36">
        <f t="shared" si="7"/>
        <v>1.0012799999999999</v>
      </c>
      <c r="AA82" s="56"/>
      <c r="AB82" s="57"/>
      <c r="AC82" s="126" t="s">
        <v>164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241.00160000000002</v>
      </c>
      <c r="BN82" s="67">
        <f t="shared" si="9"/>
        <v>241.00160000000002</v>
      </c>
      <c r="BO82" s="67">
        <f t="shared" si="10"/>
        <v>0.8</v>
      </c>
      <c r="BP82" s="67">
        <f t="shared" si="11"/>
        <v>0.8</v>
      </c>
    </row>
    <row r="83" spans="1:68" ht="27" customHeight="1" x14ac:dyDescent="0.25">
      <c r="A83" s="54" t="s">
        <v>165</v>
      </c>
      <c r="B83" s="54" t="s">
        <v>166</v>
      </c>
      <c r="C83" s="31">
        <v>4301135295</v>
      </c>
      <c r="D83" s="330">
        <v>4607111035141</v>
      </c>
      <c r="E83" s="331"/>
      <c r="F83" s="315">
        <v>0.3</v>
      </c>
      <c r="G83" s="32">
        <v>12</v>
      </c>
      <c r="H83" s="315">
        <v>3.6</v>
      </c>
      <c r="I83" s="315">
        <v>4.3036000000000003</v>
      </c>
      <c r="J83" s="32">
        <v>70</v>
      </c>
      <c r="K83" s="32" t="s">
        <v>80</v>
      </c>
      <c r="L83" s="32" t="s">
        <v>81</v>
      </c>
      <c r="M83" s="33" t="s">
        <v>69</v>
      </c>
      <c r="N83" s="33"/>
      <c r="O83" s="32">
        <v>180</v>
      </c>
      <c r="P83" s="51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21"/>
      <c r="R83" s="321"/>
      <c r="S83" s="321"/>
      <c r="T83" s="322"/>
      <c r="U83" s="34"/>
      <c r="V83" s="34"/>
      <c r="W83" s="35" t="s">
        <v>70</v>
      </c>
      <c r="X83" s="316">
        <v>98</v>
      </c>
      <c r="Y83" s="317">
        <f t="shared" si="6"/>
        <v>98</v>
      </c>
      <c r="Z83" s="36">
        <f t="shared" si="7"/>
        <v>1.75224</v>
      </c>
      <c r="AA83" s="56"/>
      <c r="AB83" s="57"/>
      <c r="AC83" s="128" t="s">
        <v>167</v>
      </c>
      <c r="AG83" s="67"/>
      <c r="AJ83" s="71" t="s">
        <v>83</v>
      </c>
      <c r="AK83" s="71">
        <v>14</v>
      </c>
      <c r="BB83" s="129" t="s">
        <v>84</v>
      </c>
      <c r="BM83" s="67">
        <f t="shared" si="8"/>
        <v>421.75280000000004</v>
      </c>
      <c r="BN83" s="67">
        <f t="shared" si="9"/>
        <v>421.75280000000004</v>
      </c>
      <c r="BO83" s="67">
        <f t="shared" si="10"/>
        <v>1.4</v>
      </c>
      <c r="BP83" s="67">
        <f t="shared" si="11"/>
        <v>1.4</v>
      </c>
    </row>
    <row r="84" spans="1:68" ht="27" customHeight="1" x14ac:dyDescent="0.25">
      <c r="A84" s="54" t="s">
        <v>168</v>
      </c>
      <c r="B84" s="54" t="s">
        <v>169</v>
      </c>
      <c r="C84" s="31">
        <v>4301135578</v>
      </c>
      <c r="D84" s="330">
        <v>4607111033444</v>
      </c>
      <c r="E84" s="331"/>
      <c r="F84" s="315">
        <v>0.3</v>
      </c>
      <c r="G84" s="32">
        <v>12</v>
      </c>
      <c r="H84" s="315">
        <v>3.6</v>
      </c>
      <c r="I84" s="315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1" t="s">
        <v>170</v>
      </c>
      <c r="Q84" s="321"/>
      <c r="R84" s="321"/>
      <c r="S84" s="321"/>
      <c r="T84" s="322"/>
      <c r="U84" s="34"/>
      <c r="V84" s="34"/>
      <c r="W84" s="35" t="s">
        <v>70</v>
      </c>
      <c r="X84" s="316">
        <v>14</v>
      </c>
      <c r="Y84" s="317">
        <f t="shared" si="6"/>
        <v>14</v>
      </c>
      <c r="Z84" s="36">
        <f t="shared" si="7"/>
        <v>0.25031999999999999</v>
      </c>
      <c r="AA84" s="56"/>
      <c r="AB84" s="57"/>
      <c r="AC84" s="130" t="s">
        <v>164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60.250400000000006</v>
      </c>
      <c r="BN84" s="67">
        <f t="shared" si="9"/>
        <v>60.250400000000006</v>
      </c>
      <c r="BO84" s="67">
        <f t="shared" si="10"/>
        <v>0.2</v>
      </c>
      <c r="BP84" s="67">
        <f t="shared" si="11"/>
        <v>0.2</v>
      </c>
    </row>
    <row r="85" spans="1:68" ht="27" customHeight="1" x14ac:dyDescent="0.25">
      <c r="A85" s="54" t="s">
        <v>171</v>
      </c>
      <c r="B85" s="54" t="s">
        <v>172</v>
      </c>
      <c r="C85" s="31">
        <v>4301135290</v>
      </c>
      <c r="D85" s="330">
        <v>4607111035028</v>
      </c>
      <c r="E85" s="331"/>
      <c r="F85" s="315">
        <v>0.48</v>
      </c>
      <c r="G85" s="32">
        <v>8</v>
      </c>
      <c r="H85" s="315">
        <v>3.84</v>
      </c>
      <c r="I85" s="315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2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21"/>
      <c r="R85" s="321"/>
      <c r="S85" s="321"/>
      <c r="T85" s="322"/>
      <c r="U85" s="34"/>
      <c r="V85" s="34"/>
      <c r="W85" s="35" t="s">
        <v>70</v>
      </c>
      <c r="X85" s="316">
        <v>28</v>
      </c>
      <c r="Y85" s="317">
        <f t="shared" si="6"/>
        <v>28</v>
      </c>
      <c r="Z85" s="36">
        <f t="shared" si="7"/>
        <v>0.50063999999999997</v>
      </c>
      <c r="AA85" s="56"/>
      <c r="AB85" s="57"/>
      <c r="AC85" s="132" t="s">
        <v>167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124.56640000000002</v>
      </c>
      <c r="BN85" s="67">
        <f t="shared" si="9"/>
        <v>124.56640000000002</v>
      </c>
      <c r="BO85" s="67">
        <f t="shared" si="10"/>
        <v>0.4</v>
      </c>
      <c r="BP85" s="67">
        <f t="shared" si="11"/>
        <v>0.4</v>
      </c>
    </row>
    <row r="86" spans="1:68" x14ac:dyDescent="0.2">
      <c r="A86" s="332"/>
      <c r="B86" s="327"/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33"/>
      <c r="P86" s="323" t="s">
        <v>73</v>
      </c>
      <c r="Q86" s="324"/>
      <c r="R86" s="324"/>
      <c r="S86" s="324"/>
      <c r="T86" s="324"/>
      <c r="U86" s="324"/>
      <c r="V86" s="325"/>
      <c r="W86" s="37" t="s">
        <v>70</v>
      </c>
      <c r="X86" s="318">
        <f>IFERROR(SUM(X80:X85),"0")</f>
        <v>224</v>
      </c>
      <c r="Y86" s="318">
        <f>IFERROR(SUM(Y80:Y85),"0")</f>
        <v>224</v>
      </c>
      <c r="Z86" s="318">
        <f>IFERROR(IF(Z80="",0,Z80),"0")+IFERROR(IF(Z81="",0,Z81),"0")+IFERROR(IF(Z82="",0,Z82),"0")+IFERROR(IF(Z83="",0,Z83),"0")+IFERROR(IF(Z84="",0,Z84),"0")+IFERROR(IF(Z85="",0,Z85),"0")</f>
        <v>4.0051199999999998</v>
      </c>
      <c r="AA86" s="319"/>
      <c r="AB86" s="319"/>
      <c r="AC86" s="319"/>
    </row>
    <row r="87" spans="1:68" x14ac:dyDescent="0.2">
      <c r="A87" s="327"/>
      <c r="B87" s="327"/>
      <c r="C87" s="327"/>
      <c r="D87" s="327"/>
      <c r="E87" s="327"/>
      <c r="F87" s="327"/>
      <c r="G87" s="327"/>
      <c r="H87" s="327"/>
      <c r="I87" s="327"/>
      <c r="J87" s="327"/>
      <c r="K87" s="327"/>
      <c r="L87" s="327"/>
      <c r="M87" s="327"/>
      <c r="N87" s="327"/>
      <c r="O87" s="333"/>
      <c r="P87" s="323" t="s">
        <v>73</v>
      </c>
      <c r="Q87" s="324"/>
      <c r="R87" s="324"/>
      <c r="S87" s="324"/>
      <c r="T87" s="324"/>
      <c r="U87" s="324"/>
      <c r="V87" s="325"/>
      <c r="W87" s="37" t="s">
        <v>74</v>
      </c>
      <c r="X87" s="318">
        <f>IFERROR(SUMPRODUCT(X80:X85*H80:H85),"0")</f>
        <v>813.12</v>
      </c>
      <c r="Y87" s="318">
        <f>IFERROR(SUMPRODUCT(Y80:Y85*H80:H85),"0")</f>
        <v>813.12</v>
      </c>
      <c r="Z87" s="37"/>
      <c r="AA87" s="319"/>
      <c r="AB87" s="319"/>
      <c r="AC87" s="319"/>
    </row>
    <row r="88" spans="1:68" ht="16.5" customHeight="1" x14ac:dyDescent="0.25">
      <c r="A88" s="326" t="s">
        <v>173</v>
      </c>
      <c r="B88" s="327"/>
      <c r="C88" s="327"/>
      <c r="D88" s="327"/>
      <c r="E88" s="327"/>
      <c r="F88" s="327"/>
      <c r="G88" s="327"/>
      <c r="H88" s="327"/>
      <c r="I88" s="327"/>
      <c r="J88" s="327"/>
      <c r="K88" s="327"/>
      <c r="L88" s="327"/>
      <c r="M88" s="327"/>
      <c r="N88" s="327"/>
      <c r="O88" s="327"/>
      <c r="P88" s="327"/>
      <c r="Q88" s="327"/>
      <c r="R88" s="327"/>
      <c r="S88" s="327"/>
      <c r="T88" s="327"/>
      <c r="U88" s="327"/>
      <c r="V88" s="327"/>
      <c r="W88" s="327"/>
      <c r="X88" s="327"/>
      <c r="Y88" s="327"/>
      <c r="Z88" s="327"/>
      <c r="AA88" s="311"/>
      <c r="AB88" s="311"/>
      <c r="AC88" s="311"/>
    </row>
    <row r="89" spans="1:68" ht="14.25" customHeight="1" x14ac:dyDescent="0.25">
      <c r="A89" s="345" t="s">
        <v>174</v>
      </c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7"/>
      <c r="W89" s="327"/>
      <c r="X89" s="327"/>
      <c r="Y89" s="327"/>
      <c r="Z89" s="327"/>
      <c r="AA89" s="312"/>
      <c r="AB89" s="312"/>
      <c r="AC89" s="312"/>
    </row>
    <row r="90" spans="1:68" ht="27" customHeight="1" x14ac:dyDescent="0.25">
      <c r="A90" s="54" t="s">
        <v>175</v>
      </c>
      <c r="B90" s="54" t="s">
        <v>176</v>
      </c>
      <c r="C90" s="31">
        <v>4301136042</v>
      </c>
      <c r="D90" s="330">
        <v>4607025784012</v>
      </c>
      <c r="E90" s="331"/>
      <c r="F90" s="315">
        <v>0.09</v>
      </c>
      <c r="G90" s="32">
        <v>24</v>
      </c>
      <c r="H90" s="315">
        <v>2.16</v>
      </c>
      <c r="I90" s="315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5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21"/>
      <c r="R90" s="321"/>
      <c r="S90" s="321"/>
      <c r="T90" s="322"/>
      <c r="U90" s="34"/>
      <c r="V90" s="34"/>
      <c r="W90" s="35" t="s">
        <v>70</v>
      </c>
      <c r="X90" s="316">
        <v>14</v>
      </c>
      <c r="Y90" s="317">
        <f>IFERROR(IF(X90="","",X90),"")</f>
        <v>14</v>
      </c>
      <c r="Z90" s="36">
        <f>IFERROR(IF(X90="","",X90*0.00936),"")</f>
        <v>0.13103999999999999</v>
      </c>
      <c r="AA90" s="56"/>
      <c r="AB90" s="57"/>
      <c r="AC90" s="134" t="s">
        <v>177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34.876800000000003</v>
      </c>
      <c r="BN90" s="67">
        <f>IFERROR(Y90*I90,"0")</f>
        <v>34.876800000000003</v>
      </c>
      <c r="BO90" s="67">
        <f>IFERROR(X90/J90,"0")</f>
        <v>0.1111111111111111</v>
      </c>
      <c r="BP90" s="67">
        <f>IFERROR(Y90/J90,"0")</f>
        <v>0.1111111111111111</v>
      </c>
    </row>
    <row r="91" spans="1:68" ht="27" customHeight="1" x14ac:dyDescent="0.25">
      <c r="A91" s="54" t="s">
        <v>178</v>
      </c>
      <c r="B91" s="54" t="s">
        <v>179</v>
      </c>
      <c r="C91" s="31">
        <v>4301136040</v>
      </c>
      <c r="D91" s="330">
        <v>4607025784319</v>
      </c>
      <c r="E91" s="331"/>
      <c r="F91" s="315">
        <v>0.36</v>
      </c>
      <c r="G91" s="32">
        <v>10</v>
      </c>
      <c r="H91" s="315">
        <v>3.6</v>
      </c>
      <c r="I91" s="315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5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21"/>
      <c r="R91" s="321"/>
      <c r="S91" s="321"/>
      <c r="T91" s="322"/>
      <c r="U91" s="34"/>
      <c r="V91" s="34"/>
      <c r="W91" s="35" t="s">
        <v>70</v>
      </c>
      <c r="X91" s="316">
        <v>56</v>
      </c>
      <c r="Y91" s="317">
        <f>IFERROR(IF(X91="","",X91),"")</f>
        <v>56</v>
      </c>
      <c r="Z91" s="36">
        <f>IFERROR(IF(X91="","",X91*0.01788),"")</f>
        <v>1.0012799999999999</v>
      </c>
      <c r="AA91" s="56"/>
      <c r="AB91" s="57"/>
      <c r="AC91" s="136" t="s">
        <v>160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237.66399999999999</v>
      </c>
      <c r="BN91" s="67">
        <f>IFERROR(Y91*I91,"0")</f>
        <v>237.66399999999999</v>
      </c>
      <c r="BO91" s="67">
        <f>IFERROR(X91/J91,"0")</f>
        <v>0.8</v>
      </c>
      <c r="BP91" s="67">
        <f>IFERROR(Y91/J91,"0")</f>
        <v>0.8</v>
      </c>
    </row>
    <row r="92" spans="1:68" ht="16.5" customHeight="1" x14ac:dyDescent="0.25">
      <c r="A92" s="54" t="s">
        <v>180</v>
      </c>
      <c r="B92" s="54" t="s">
        <v>181</v>
      </c>
      <c r="C92" s="31">
        <v>4301136039</v>
      </c>
      <c r="D92" s="330">
        <v>4607111035370</v>
      </c>
      <c r="E92" s="331"/>
      <c r="F92" s="315">
        <v>0.14000000000000001</v>
      </c>
      <c r="G92" s="32">
        <v>22</v>
      </c>
      <c r="H92" s="315">
        <v>3.08</v>
      </c>
      <c r="I92" s="315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5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21"/>
      <c r="R92" s="321"/>
      <c r="S92" s="321"/>
      <c r="T92" s="322"/>
      <c r="U92" s="34"/>
      <c r="V92" s="34"/>
      <c r="W92" s="35" t="s">
        <v>70</v>
      </c>
      <c r="X92" s="316">
        <v>72</v>
      </c>
      <c r="Y92" s="317">
        <f>IFERROR(IF(X92="","",X92),"")</f>
        <v>72</v>
      </c>
      <c r="Z92" s="36">
        <f>IFERROR(IF(X92="","",X92*0.0155),"")</f>
        <v>1.1160000000000001</v>
      </c>
      <c r="AA92" s="56"/>
      <c r="AB92" s="57"/>
      <c r="AC92" s="138" t="s">
        <v>182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249.40799999999999</v>
      </c>
      <c r="BN92" s="67">
        <f>IFERROR(Y92*I92,"0")</f>
        <v>249.40799999999999</v>
      </c>
      <c r="BO92" s="67">
        <f>IFERROR(X92/J92,"0")</f>
        <v>0.8571428571428571</v>
      </c>
      <c r="BP92" s="67">
        <f>IFERROR(Y92/J92,"0")</f>
        <v>0.8571428571428571</v>
      </c>
    </row>
    <row r="93" spans="1:68" x14ac:dyDescent="0.2">
      <c r="A93" s="332"/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33"/>
      <c r="P93" s="323" t="s">
        <v>73</v>
      </c>
      <c r="Q93" s="324"/>
      <c r="R93" s="324"/>
      <c r="S93" s="324"/>
      <c r="T93" s="324"/>
      <c r="U93" s="324"/>
      <c r="V93" s="325"/>
      <c r="W93" s="37" t="s">
        <v>70</v>
      </c>
      <c r="X93" s="318">
        <f>IFERROR(SUM(X90:X92),"0")</f>
        <v>142</v>
      </c>
      <c r="Y93" s="318">
        <f>IFERROR(SUM(Y90:Y92),"0")</f>
        <v>142</v>
      </c>
      <c r="Z93" s="318">
        <f>IFERROR(IF(Z90="",0,Z90),"0")+IFERROR(IF(Z91="",0,Z91),"0")+IFERROR(IF(Z92="",0,Z92),"0")</f>
        <v>2.2483200000000001</v>
      </c>
      <c r="AA93" s="319"/>
      <c r="AB93" s="319"/>
      <c r="AC93" s="319"/>
    </row>
    <row r="94" spans="1:68" x14ac:dyDescent="0.2">
      <c r="A94" s="327"/>
      <c r="B94" s="327"/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27"/>
      <c r="N94" s="327"/>
      <c r="O94" s="333"/>
      <c r="P94" s="323" t="s">
        <v>73</v>
      </c>
      <c r="Q94" s="324"/>
      <c r="R94" s="324"/>
      <c r="S94" s="324"/>
      <c r="T94" s="324"/>
      <c r="U94" s="324"/>
      <c r="V94" s="325"/>
      <c r="W94" s="37" t="s">
        <v>74</v>
      </c>
      <c r="X94" s="318">
        <f>IFERROR(SUMPRODUCT(X90:X92*H90:H92),"0")</f>
        <v>453.6</v>
      </c>
      <c r="Y94" s="318">
        <f>IFERROR(SUMPRODUCT(Y90:Y92*H90:H92),"0")</f>
        <v>453.6</v>
      </c>
      <c r="Z94" s="37"/>
      <c r="AA94" s="319"/>
      <c r="AB94" s="319"/>
      <c r="AC94" s="319"/>
    </row>
    <row r="95" spans="1:68" ht="16.5" customHeight="1" x14ac:dyDescent="0.25">
      <c r="A95" s="326" t="s">
        <v>183</v>
      </c>
      <c r="B95" s="327"/>
      <c r="C95" s="327"/>
      <c r="D95" s="327"/>
      <c r="E95" s="327"/>
      <c r="F95" s="327"/>
      <c r="G95" s="327"/>
      <c r="H95" s="327"/>
      <c r="I95" s="327"/>
      <c r="J95" s="327"/>
      <c r="K95" s="327"/>
      <c r="L95" s="327"/>
      <c r="M95" s="327"/>
      <c r="N95" s="327"/>
      <c r="O95" s="327"/>
      <c r="P95" s="327"/>
      <c r="Q95" s="327"/>
      <c r="R95" s="327"/>
      <c r="S95" s="327"/>
      <c r="T95" s="327"/>
      <c r="U95" s="327"/>
      <c r="V95" s="327"/>
      <c r="W95" s="327"/>
      <c r="X95" s="327"/>
      <c r="Y95" s="327"/>
      <c r="Z95" s="327"/>
      <c r="AA95" s="311"/>
      <c r="AB95" s="311"/>
      <c r="AC95" s="311"/>
    </row>
    <row r="96" spans="1:68" ht="14.25" customHeight="1" x14ac:dyDescent="0.25">
      <c r="A96" s="345" t="s">
        <v>64</v>
      </c>
      <c r="B96" s="327"/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27"/>
      <c r="N96" s="327"/>
      <c r="O96" s="327"/>
      <c r="P96" s="327"/>
      <c r="Q96" s="327"/>
      <c r="R96" s="327"/>
      <c r="S96" s="327"/>
      <c r="T96" s="327"/>
      <c r="U96" s="327"/>
      <c r="V96" s="327"/>
      <c r="W96" s="327"/>
      <c r="X96" s="327"/>
      <c r="Y96" s="327"/>
      <c r="Z96" s="327"/>
      <c r="AA96" s="312"/>
      <c r="AB96" s="312"/>
      <c r="AC96" s="312"/>
    </row>
    <row r="97" spans="1:68" ht="27" customHeight="1" x14ac:dyDescent="0.25">
      <c r="A97" s="54" t="s">
        <v>184</v>
      </c>
      <c r="B97" s="54" t="s">
        <v>185</v>
      </c>
      <c r="C97" s="31">
        <v>4301070975</v>
      </c>
      <c r="D97" s="330">
        <v>4607111033970</v>
      </c>
      <c r="E97" s="331"/>
      <c r="F97" s="315">
        <v>0.43</v>
      </c>
      <c r="G97" s="32">
        <v>16</v>
      </c>
      <c r="H97" s="315">
        <v>6.88</v>
      </c>
      <c r="I97" s="315">
        <v>7.1996000000000002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38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21"/>
      <c r="R97" s="321"/>
      <c r="S97" s="321"/>
      <c r="T97" s="322"/>
      <c r="U97" s="34"/>
      <c r="V97" s="34"/>
      <c r="W97" s="35" t="s">
        <v>70</v>
      </c>
      <c r="X97" s="316">
        <v>0</v>
      </c>
      <c r="Y97" s="317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138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customHeight="1" x14ac:dyDescent="0.25">
      <c r="A98" s="54" t="s">
        <v>186</v>
      </c>
      <c r="B98" s="54" t="s">
        <v>187</v>
      </c>
      <c r="C98" s="31">
        <v>4301071051</v>
      </c>
      <c r="D98" s="330">
        <v>4607111039262</v>
      </c>
      <c r="E98" s="331"/>
      <c r="F98" s="315">
        <v>0.4</v>
      </c>
      <c r="G98" s="32">
        <v>16</v>
      </c>
      <c r="H98" s="315">
        <v>6.4</v>
      </c>
      <c r="I98" s="315">
        <v>6.7195999999999998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7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21"/>
      <c r="R98" s="321"/>
      <c r="S98" s="321"/>
      <c r="T98" s="322"/>
      <c r="U98" s="34"/>
      <c r="V98" s="34"/>
      <c r="W98" s="35" t="s">
        <v>70</v>
      </c>
      <c r="X98" s="316">
        <v>0</v>
      </c>
      <c r="Y98" s="317">
        <f t="shared" si="12"/>
        <v>0</v>
      </c>
      <c r="Z98" s="36">
        <f t="shared" si="13"/>
        <v>0</v>
      </c>
      <c r="AA98" s="56"/>
      <c r="AB98" s="57"/>
      <c r="AC98" s="142" t="s">
        <v>138</v>
      </c>
      <c r="AG98" s="67"/>
      <c r="AJ98" s="71" t="s">
        <v>83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188</v>
      </c>
      <c r="B99" s="54" t="s">
        <v>189</v>
      </c>
      <c r="C99" s="31">
        <v>4301070976</v>
      </c>
      <c r="D99" s="330">
        <v>4607111034144</v>
      </c>
      <c r="E99" s="331"/>
      <c r="F99" s="315">
        <v>0.9</v>
      </c>
      <c r="G99" s="32">
        <v>8</v>
      </c>
      <c r="H99" s="315">
        <v>7.2</v>
      </c>
      <c r="I99" s="315">
        <v>7.4859999999999998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35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21"/>
      <c r="R99" s="321"/>
      <c r="S99" s="321"/>
      <c r="T99" s="322"/>
      <c r="U99" s="34"/>
      <c r="V99" s="34"/>
      <c r="W99" s="35" t="s">
        <v>70</v>
      </c>
      <c r="X99" s="316">
        <v>0</v>
      </c>
      <c r="Y99" s="317">
        <f t="shared" si="12"/>
        <v>0</v>
      </c>
      <c r="Z99" s="36">
        <f t="shared" si="13"/>
        <v>0</v>
      </c>
      <c r="AA99" s="56"/>
      <c r="AB99" s="57"/>
      <c r="AC99" s="144" t="s">
        <v>138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190</v>
      </c>
      <c r="B100" s="54" t="s">
        <v>191</v>
      </c>
      <c r="C100" s="31">
        <v>4301071038</v>
      </c>
      <c r="D100" s="330">
        <v>4607111039248</v>
      </c>
      <c r="E100" s="331"/>
      <c r="F100" s="315">
        <v>0.7</v>
      </c>
      <c r="G100" s="32">
        <v>10</v>
      </c>
      <c r="H100" s="315">
        <v>7</v>
      </c>
      <c r="I100" s="315">
        <v>7.3</v>
      </c>
      <c r="J100" s="32">
        <v>84</v>
      </c>
      <c r="K100" s="32" t="s">
        <v>67</v>
      </c>
      <c r="L100" s="32" t="s">
        <v>89</v>
      </c>
      <c r="M100" s="33" t="s">
        <v>69</v>
      </c>
      <c r="N100" s="33"/>
      <c r="O100" s="32">
        <v>180</v>
      </c>
      <c r="P100" s="36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21"/>
      <c r="R100" s="321"/>
      <c r="S100" s="321"/>
      <c r="T100" s="322"/>
      <c r="U100" s="34"/>
      <c r="V100" s="34"/>
      <c r="W100" s="35" t="s">
        <v>70</v>
      </c>
      <c r="X100" s="316">
        <v>0</v>
      </c>
      <c r="Y100" s="317">
        <f t="shared" si="12"/>
        <v>0</v>
      </c>
      <c r="Z100" s="36">
        <f t="shared" si="13"/>
        <v>0</v>
      </c>
      <c r="AA100" s="56"/>
      <c r="AB100" s="57"/>
      <c r="AC100" s="146" t="s">
        <v>138</v>
      </c>
      <c r="AG100" s="67"/>
      <c r="AJ100" s="71" t="s">
        <v>90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192</v>
      </c>
      <c r="B101" s="54" t="s">
        <v>193</v>
      </c>
      <c r="C101" s="31">
        <v>4301070973</v>
      </c>
      <c r="D101" s="330">
        <v>4607111033987</v>
      </c>
      <c r="E101" s="331"/>
      <c r="F101" s="315">
        <v>0.43</v>
      </c>
      <c r="G101" s="32">
        <v>16</v>
      </c>
      <c r="H101" s="315">
        <v>6.88</v>
      </c>
      <c r="I101" s="315">
        <v>7.1996000000000002</v>
      </c>
      <c r="J101" s="32">
        <v>84</v>
      </c>
      <c r="K101" s="32" t="s">
        <v>67</v>
      </c>
      <c r="L101" s="32" t="s">
        <v>81</v>
      </c>
      <c r="M101" s="33" t="s">
        <v>69</v>
      </c>
      <c r="N101" s="33"/>
      <c r="O101" s="32">
        <v>180</v>
      </c>
      <c r="P101" s="49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21"/>
      <c r="R101" s="321"/>
      <c r="S101" s="321"/>
      <c r="T101" s="322"/>
      <c r="U101" s="34"/>
      <c r="V101" s="34"/>
      <c r="W101" s="35" t="s">
        <v>70</v>
      </c>
      <c r="X101" s="316">
        <v>0</v>
      </c>
      <c r="Y101" s="317">
        <f t="shared" si="12"/>
        <v>0</v>
      </c>
      <c r="Z101" s="36">
        <f t="shared" si="13"/>
        <v>0</v>
      </c>
      <c r="AA101" s="56"/>
      <c r="AB101" s="57"/>
      <c r="AC101" s="148" t="s">
        <v>194</v>
      </c>
      <c r="AG101" s="67"/>
      <c r="AJ101" s="71" t="s">
        <v>83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4301071049</v>
      </c>
      <c r="D102" s="330">
        <v>4607111039293</v>
      </c>
      <c r="E102" s="331"/>
      <c r="F102" s="315">
        <v>0.4</v>
      </c>
      <c r="G102" s="32">
        <v>16</v>
      </c>
      <c r="H102" s="315">
        <v>6.4</v>
      </c>
      <c r="I102" s="315">
        <v>6.7195999999999998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494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21"/>
      <c r="R102" s="321"/>
      <c r="S102" s="321"/>
      <c r="T102" s="322"/>
      <c r="U102" s="34"/>
      <c r="V102" s="34"/>
      <c r="W102" s="35" t="s">
        <v>70</v>
      </c>
      <c r="X102" s="316">
        <v>0</v>
      </c>
      <c r="Y102" s="317">
        <f t="shared" si="12"/>
        <v>0</v>
      </c>
      <c r="Z102" s="36">
        <f t="shared" si="13"/>
        <v>0</v>
      </c>
      <c r="AA102" s="56"/>
      <c r="AB102" s="57"/>
      <c r="AC102" s="150" t="s">
        <v>197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4301070974</v>
      </c>
      <c r="D103" s="330">
        <v>4607111034151</v>
      </c>
      <c r="E103" s="331"/>
      <c r="F103" s="315">
        <v>0.9</v>
      </c>
      <c r="G103" s="32">
        <v>8</v>
      </c>
      <c r="H103" s="315">
        <v>7.2</v>
      </c>
      <c r="I103" s="315">
        <v>7.4859999999999998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8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21"/>
      <c r="R103" s="321"/>
      <c r="S103" s="321"/>
      <c r="T103" s="322"/>
      <c r="U103" s="34"/>
      <c r="V103" s="34"/>
      <c r="W103" s="35" t="s">
        <v>70</v>
      </c>
      <c r="X103" s="316">
        <v>0</v>
      </c>
      <c r="Y103" s="317">
        <f t="shared" si="12"/>
        <v>0</v>
      </c>
      <c r="Z103" s="36">
        <f t="shared" si="13"/>
        <v>0</v>
      </c>
      <c r="AA103" s="56"/>
      <c r="AB103" s="57"/>
      <c r="AC103" s="152" t="s">
        <v>194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4301071039</v>
      </c>
      <c r="D104" s="330">
        <v>4607111039279</v>
      </c>
      <c r="E104" s="331"/>
      <c r="F104" s="315">
        <v>0.7</v>
      </c>
      <c r="G104" s="32">
        <v>10</v>
      </c>
      <c r="H104" s="315">
        <v>7</v>
      </c>
      <c r="I104" s="315">
        <v>7.3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4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21"/>
      <c r="R104" s="321"/>
      <c r="S104" s="321"/>
      <c r="T104" s="322"/>
      <c r="U104" s="34"/>
      <c r="V104" s="34"/>
      <c r="W104" s="35" t="s">
        <v>70</v>
      </c>
      <c r="X104" s="316">
        <v>0</v>
      </c>
      <c r="Y104" s="317">
        <f t="shared" si="12"/>
        <v>0</v>
      </c>
      <c r="Z104" s="36">
        <f t="shared" si="13"/>
        <v>0</v>
      </c>
      <c r="AA104" s="56"/>
      <c r="AB104" s="57"/>
      <c r="AC104" s="154" t="s">
        <v>138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32"/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33"/>
      <c r="P105" s="323" t="s">
        <v>73</v>
      </c>
      <c r="Q105" s="324"/>
      <c r="R105" s="324"/>
      <c r="S105" s="324"/>
      <c r="T105" s="324"/>
      <c r="U105" s="324"/>
      <c r="V105" s="325"/>
      <c r="W105" s="37" t="s">
        <v>70</v>
      </c>
      <c r="X105" s="318">
        <f>IFERROR(SUM(X97:X104),"0")</f>
        <v>0</v>
      </c>
      <c r="Y105" s="318">
        <f>IFERROR(SUM(Y97:Y104),"0")</f>
        <v>0</v>
      </c>
      <c r="Z105" s="318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319"/>
      <c r="AB105" s="319"/>
      <c r="AC105" s="319"/>
    </row>
    <row r="106" spans="1:68" x14ac:dyDescent="0.2">
      <c r="A106" s="327"/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33"/>
      <c r="P106" s="323" t="s">
        <v>73</v>
      </c>
      <c r="Q106" s="324"/>
      <c r="R106" s="324"/>
      <c r="S106" s="324"/>
      <c r="T106" s="324"/>
      <c r="U106" s="324"/>
      <c r="V106" s="325"/>
      <c r="W106" s="37" t="s">
        <v>74</v>
      </c>
      <c r="X106" s="318">
        <f>IFERROR(SUMPRODUCT(X97:X104*H97:H104),"0")</f>
        <v>0</v>
      </c>
      <c r="Y106" s="318">
        <f>IFERROR(SUMPRODUCT(Y97:Y104*H97:H104),"0")</f>
        <v>0</v>
      </c>
      <c r="Z106" s="37"/>
      <c r="AA106" s="319"/>
      <c r="AB106" s="319"/>
      <c r="AC106" s="319"/>
    </row>
    <row r="107" spans="1:68" ht="16.5" customHeight="1" x14ac:dyDescent="0.25">
      <c r="A107" s="326" t="s">
        <v>202</v>
      </c>
      <c r="B107" s="327"/>
      <c r="C107" s="327"/>
      <c r="D107" s="327"/>
      <c r="E107" s="327"/>
      <c r="F107" s="327"/>
      <c r="G107" s="327"/>
      <c r="H107" s="327"/>
      <c r="I107" s="327"/>
      <c r="J107" s="327"/>
      <c r="K107" s="327"/>
      <c r="L107" s="327"/>
      <c r="M107" s="327"/>
      <c r="N107" s="327"/>
      <c r="O107" s="327"/>
      <c r="P107" s="327"/>
      <c r="Q107" s="327"/>
      <c r="R107" s="327"/>
      <c r="S107" s="327"/>
      <c r="T107" s="327"/>
      <c r="U107" s="327"/>
      <c r="V107" s="327"/>
      <c r="W107" s="327"/>
      <c r="X107" s="327"/>
      <c r="Y107" s="327"/>
      <c r="Z107" s="327"/>
      <c r="AA107" s="311"/>
      <c r="AB107" s="311"/>
      <c r="AC107" s="311"/>
    </row>
    <row r="108" spans="1:68" ht="14.25" customHeight="1" x14ac:dyDescent="0.25">
      <c r="A108" s="345" t="s">
        <v>142</v>
      </c>
      <c r="B108" s="327"/>
      <c r="C108" s="327"/>
      <c r="D108" s="327"/>
      <c r="E108" s="327"/>
      <c r="F108" s="327"/>
      <c r="G108" s="327"/>
      <c r="H108" s="327"/>
      <c r="I108" s="327"/>
      <c r="J108" s="327"/>
      <c r="K108" s="327"/>
      <c r="L108" s="327"/>
      <c r="M108" s="327"/>
      <c r="N108" s="327"/>
      <c r="O108" s="327"/>
      <c r="P108" s="327"/>
      <c r="Q108" s="327"/>
      <c r="R108" s="327"/>
      <c r="S108" s="327"/>
      <c r="T108" s="327"/>
      <c r="U108" s="327"/>
      <c r="V108" s="327"/>
      <c r="W108" s="327"/>
      <c r="X108" s="327"/>
      <c r="Y108" s="327"/>
      <c r="Z108" s="327"/>
      <c r="AA108" s="312"/>
      <c r="AB108" s="312"/>
      <c r="AC108" s="312"/>
    </row>
    <row r="109" spans="1:68" ht="27" customHeight="1" x14ac:dyDescent="0.25">
      <c r="A109" s="54" t="s">
        <v>203</v>
      </c>
      <c r="B109" s="54" t="s">
        <v>204</v>
      </c>
      <c r="C109" s="31">
        <v>4301135533</v>
      </c>
      <c r="D109" s="330">
        <v>4607111034014</v>
      </c>
      <c r="E109" s="331"/>
      <c r="F109" s="315">
        <v>0.25</v>
      </c>
      <c r="G109" s="32">
        <v>12</v>
      </c>
      <c r="H109" s="315">
        <v>3</v>
      </c>
      <c r="I109" s="315">
        <v>3.7035999999999998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469" t="s">
        <v>205</v>
      </c>
      <c r="Q109" s="321"/>
      <c r="R109" s="321"/>
      <c r="S109" s="321"/>
      <c r="T109" s="322"/>
      <c r="U109" s="34"/>
      <c r="V109" s="34"/>
      <c r="W109" s="35" t="s">
        <v>70</v>
      </c>
      <c r="X109" s="316">
        <v>266</v>
      </c>
      <c r="Y109" s="317">
        <f>IFERROR(IF(X109="","",X109),"")</f>
        <v>266</v>
      </c>
      <c r="Z109" s="36">
        <f>IFERROR(IF(X109="","",X109*0.01788),"")</f>
        <v>4.7560799999999999</v>
      </c>
      <c r="AA109" s="56"/>
      <c r="AB109" s="57"/>
      <c r="AC109" s="156" t="s">
        <v>206</v>
      </c>
      <c r="AG109" s="67"/>
      <c r="AJ109" s="71" t="s">
        <v>72</v>
      </c>
      <c r="AK109" s="71">
        <v>1</v>
      </c>
      <c r="BB109" s="157" t="s">
        <v>84</v>
      </c>
      <c r="BM109" s="67">
        <f>IFERROR(X109*I109,"0")</f>
        <v>985.15759999999989</v>
      </c>
      <c r="BN109" s="67">
        <f>IFERROR(Y109*I109,"0")</f>
        <v>985.15759999999989</v>
      </c>
      <c r="BO109" s="67">
        <f>IFERROR(X109/J109,"0")</f>
        <v>3.8</v>
      </c>
      <c r="BP109" s="67">
        <f>IFERROR(Y109/J109,"0")</f>
        <v>3.8</v>
      </c>
    </row>
    <row r="110" spans="1:68" ht="27" customHeight="1" x14ac:dyDescent="0.25">
      <c r="A110" s="54" t="s">
        <v>207</v>
      </c>
      <c r="B110" s="54" t="s">
        <v>208</v>
      </c>
      <c r="C110" s="31">
        <v>4301135532</v>
      </c>
      <c r="D110" s="330">
        <v>4607111033994</v>
      </c>
      <c r="E110" s="331"/>
      <c r="F110" s="315">
        <v>0.25</v>
      </c>
      <c r="G110" s="32">
        <v>12</v>
      </c>
      <c r="H110" s="315">
        <v>3</v>
      </c>
      <c r="I110" s="315">
        <v>3.7035999999999998</v>
      </c>
      <c r="J110" s="32">
        <v>70</v>
      </c>
      <c r="K110" s="32" t="s">
        <v>80</v>
      </c>
      <c r="L110" s="32" t="s">
        <v>68</v>
      </c>
      <c r="M110" s="33" t="s">
        <v>69</v>
      </c>
      <c r="N110" s="33"/>
      <c r="O110" s="32">
        <v>180</v>
      </c>
      <c r="P110" s="512" t="s">
        <v>209</v>
      </c>
      <c r="Q110" s="321"/>
      <c r="R110" s="321"/>
      <c r="S110" s="321"/>
      <c r="T110" s="322"/>
      <c r="U110" s="34"/>
      <c r="V110" s="34"/>
      <c r="W110" s="35" t="s">
        <v>70</v>
      </c>
      <c r="X110" s="316">
        <v>280</v>
      </c>
      <c r="Y110" s="317">
        <f>IFERROR(IF(X110="","",X110),"")</f>
        <v>280</v>
      </c>
      <c r="Z110" s="36">
        <f>IFERROR(IF(X110="","",X110*0.01788),"")</f>
        <v>5.0064000000000002</v>
      </c>
      <c r="AA110" s="56"/>
      <c r="AB110" s="57"/>
      <c r="AC110" s="158" t="s">
        <v>164</v>
      </c>
      <c r="AG110" s="67"/>
      <c r="AJ110" s="71" t="s">
        <v>72</v>
      </c>
      <c r="AK110" s="71">
        <v>1</v>
      </c>
      <c r="BB110" s="159" t="s">
        <v>84</v>
      </c>
      <c r="BM110" s="67">
        <f>IFERROR(X110*I110,"0")</f>
        <v>1037.008</v>
      </c>
      <c r="BN110" s="67">
        <f>IFERROR(Y110*I110,"0")</f>
        <v>1037.008</v>
      </c>
      <c r="BO110" s="67">
        <f>IFERROR(X110/J110,"0")</f>
        <v>4</v>
      </c>
      <c r="BP110" s="67">
        <f>IFERROR(Y110/J110,"0")</f>
        <v>4</v>
      </c>
    </row>
    <row r="111" spans="1:68" x14ac:dyDescent="0.2">
      <c r="A111" s="332"/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33"/>
      <c r="P111" s="323" t="s">
        <v>73</v>
      </c>
      <c r="Q111" s="324"/>
      <c r="R111" s="324"/>
      <c r="S111" s="324"/>
      <c r="T111" s="324"/>
      <c r="U111" s="324"/>
      <c r="V111" s="325"/>
      <c r="W111" s="37" t="s">
        <v>70</v>
      </c>
      <c r="X111" s="318">
        <f>IFERROR(SUM(X109:X110),"0")</f>
        <v>546</v>
      </c>
      <c r="Y111" s="318">
        <f>IFERROR(SUM(Y109:Y110),"0")</f>
        <v>546</v>
      </c>
      <c r="Z111" s="318">
        <f>IFERROR(IF(Z109="",0,Z109),"0")+IFERROR(IF(Z110="",0,Z110),"0")</f>
        <v>9.76248</v>
      </c>
      <c r="AA111" s="319"/>
      <c r="AB111" s="319"/>
      <c r="AC111" s="319"/>
    </row>
    <row r="112" spans="1:68" x14ac:dyDescent="0.2">
      <c r="A112" s="327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33"/>
      <c r="P112" s="323" t="s">
        <v>73</v>
      </c>
      <c r="Q112" s="324"/>
      <c r="R112" s="324"/>
      <c r="S112" s="324"/>
      <c r="T112" s="324"/>
      <c r="U112" s="324"/>
      <c r="V112" s="325"/>
      <c r="W112" s="37" t="s">
        <v>74</v>
      </c>
      <c r="X112" s="318">
        <f>IFERROR(SUMPRODUCT(X109:X110*H109:H110),"0")</f>
        <v>1638</v>
      </c>
      <c r="Y112" s="318">
        <f>IFERROR(SUMPRODUCT(Y109:Y110*H109:H110),"0")</f>
        <v>1638</v>
      </c>
      <c r="Z112" s="37"/>
      <c r="AA112" s="319"/>
      <c r="AB112" s="319"/>
      <c r="AC112" s="319"/>
    </row>
    <row r="113" spans="1:68" ht="16.5" customHeight="1" x14ac:dyDescent="0.25">
      <c r="A113" s="326" t="s">
        <v>210</v>
      </c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27"/>
      <c r="P113" s="327"/>
      <c r="Q113" s="327"/>
      <c r="R113" s="327"/>
      <c r="S113" s="327"/>
      <c r="T113" s="327"/>
      <c r="U113" s="327"/>
      <c r="V113" s="327"/>
      <c r="W113" s="327"/>
      <c r="X113" s="327"/>
      <c r="Y113" s="327"/>
      <c r="Z113" s="327"/>
      <c r="AA113" s="311"/>
      <c r="AB113" s="311"/>
      <c r="AC113" s="311"/>
    </row>
    <row r="114" spans="1:68" ht="14.25" customHeight="1" x14ac:dyDescent="0.25">
      <c r="A114" s="345" t="s">
        <v>142</v>
      </c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7"/>
      <c r="N114" s="327"/>
      <c r="O114" s="327"/>
      <c r="P114" s="327"/>
      <c r="Q114" s="327"/>
      <c r="R114" s="327"/>
      <c r="S114" s="327"/>
      <c r="T114" s="327"/>
      <c r="U114" s="327"/>
      <c r="V114" s="327"/>
      <c r="W114" s="327"/>
      <c r="X114" s="327"/>
      <c r="Y114" s="327"/>
      <c r="Z114" s="327"/>
      <c r="AA114" s="312"/>
      <c r="AB114" s="312"/>
      <c r="AC114" s="312"/>
    </row>
    <row r="115" spans="1:68" ht="27" customHeight="1" x14ac:dyDescent="0.25">
      <c r="A115" s="54" t="s">
        <v>211</v>
      </c>
      <c r="B115" s="54" t="s">
        <v>212</v>
      </c>
      <c r="C115" s="31">
        <v>4301135311</v>
      </c>
      <c r="D115" s="330">
        <v>4607111039095</v>
      </c>
      <c r="E115" s="331"/>
      <c r="F115" s="315">
        <v>0.25</v>
      </c>
      <c r="G115" s="32">
        <v>12</v>
      </c>
      <c r="H115" s="315">
        <v>3</v>
      </c>
      <c r="I115" s="315">
        <v>3.7480000000000002</v>
      </c>
      <c r="J115" s="32">
        <v>70</v>
      </c>
      <c r="K115" s="32" t="s">
        <v>80</v>
      </c>
      <c r="L115" s="32" t="s">
        <v>81</v>
      </c>
      <c r="M115" s="33" t="s">
        <v>69</v>
      </c>
      <c r="N115" s="33"/>
      <c r="O115" s="32">
        <v>180</v>
      </c>
      <c r="P115" s="45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21"/>
      <c r="R115" s="321"/>
      <c r="S115" s="321"/>
      <c r="T115" s="322"/>
      <c r="U115" s="34"/>
      <c r="V115" s="34"/>
      <c r="W115" s="35" t="s">
        <v>70</v>
      </c>
      <c r="X115" s="316">
        <v>0</v>
      </c>
      <c r="Y115" s="317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213</v>
      </c>
      <c r="AG115" s="67"/>
      <c r="AJ115" s="71" t="s">
        <v>83</v>
      </c>
      <c r="AK115" s="71">
        <v>14</v>
      </c>
      <c r="BB115" s="161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4301135300</v>
      </c>
      <c r="D116" s="330">
        <v>4607111039101</v>
      </c>
      <c r="E116" s="331"/>
      <c r="F116" s="315">
        <v>0.45</v>
      </c>
      <c r="G116" s="32">
        <v>8</v>
      </c>
      <c r="H116" s="315">
        <v>3.6</v>
      </c>
      <c r="I116" s="315">
        <v>4.26</v>
      </c>
      <c r="J116" s="32">
        <v>70</v>
      </c>
      <c r="K116" s="32" t="s">
        <v>80</v>
      </c>
      <c r="L116" s="32" t="s">
        <v>68</v>
      </c>
      <c r="M116" s="33" t="s">
        <v>69</v>
      </c>
      <c r="N116" s="33"/>
      <c r="O116" s="32">
        <v>180</v>
      </c>
      <c r="P116" s="385" t="s">
        <v>216</v>
      </c>
      <c r="Q116" s="321"/>
      <c r="R116" s="321"/>
      <c r="S116" s="321"/>
      <c r="T116" s="322"/>
      <c r="U116" s="34"/>
      <c r="V116" s="34"/>
      <c r="W116" s="35" t="s">
        <v>70</v>
      </c>
      <c r="X116" s="316">
        <v>0</v>
      </c>
      <c r="Y116" s="317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213</v>
      </c>
      <c r="AG116" s="67"/>
      <c r="AJ116" s="71" t="s">
        <v>72</v>
      </c>
      <c r="AK116" s="71">
        <v>1</v>
      </c>
      <c r="BB116" s="163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217</v>
      </c>
      <c r="B117" s="54" t="s">
        <v>218</v>
      </c>
      <c r="C117" s="31">
        <v>4301135282</v>
      </c>
      <c r="D117" s="330">
        <v>4607111034199</v>
      </c>
      <c r="E117" s="331"/>
      <c r="F117" s="315">
        <v>0.25</v>
      </c>
      <c r="G117" s="32">
        <v>12</v>
      </c>
      <c r="H117" s="315">
        <v>3</v>
      </c>
      <c r="I117" s="315">
        <v>3.7035999999999998</v>
      </c>
      <c r="J117" s="32">
        <v>70</v>
      </c>
      <c r="K117" s="32" t="s">
        <v>80</v>
      </c>
      <c r="L117" s="32" t="s">
        <v>89</v>
      </c>
      <c r="M117" s="33" t="s">
        <v>69</v>
      </c>
      <c r="N117" s="33"/>
      <c r="O117" s="32">
        <v>180</v>
      </c>
      <c r="P117" s="41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21"/>
      <c r="R117" s="321"/>
      <c r="S117" s="321"/>
      <c r="T117" s="322"/>
      <c r="U117" s="34"/>
      <c r="V117" s="34"/>
      <c r="W117" s="35" t="s">
        <v>70</v>
      </c>
      <c r="X117" s="316">
        <v>84</v>
      </c>
      <c r="Y117" s="317">
        <f>IFERROR(IF(X117="","",X117),"")</f>
        <v>84</v>
      </c>
      <c r="Z117" s="36">
        <f>IFERROR(IF(X117="","",X117*0.01788),"")</f>
        <v>1.5019199999999999</v>
      </c>
      <c r="AA117" s="56"/>
      <c r="AB117" s="57"/>
      <c r="AC117" s="164" t="s">
        <v>219</v>
      </c>
      <c r="AG117" s="67"/>
      <c r="AJ117" s="71" t="s">
        <v>90</v>
      </c>
      <c r="AK117" s="71">
        <v>70</v>
      </c>
      <c r="BB117" s="165" t="s">
        <v>84</v>
      </c>
      <c r="BM117" s="67">
        <f>IFERROR(X117*I117,"0")</f>
        <v>311.10239999999999</v>
      </c>
      <c r="BN117" s="67">
        <f>IFERROR(Y117*I117,"0")</f>
        <v>311.10239999999999</v>
      </c>
      <c r="BO117" s="67">
        <f>IFERROR(X117/J117,"0")</f>
        <v>1.2</v>
      </c>
      <c r="BP117" s="67">
        <f>IFERROR(Y117/J117,"0")</f>
        <v>1.2</v>
      </c>
    </row>
    <row r="118" spans="1:68" x14ac:dyDescent="0.2">
      <c r="A118" s="332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33"/>
      <c r="P118" s="323" t="s">
        <v>73</v>
      </c>
      <c r="Q118" s="324"/>
      <c r="R118" s="324"/>
      <c r="S118" s="324"/>
      <c r="T118" s="324"/>
      <c r="U118" s="324"/>
      <c r="V118" s="325"/>
      <c r="W118" s="37" t="s">
        <v>70</v>
      </c>
      <c r="X118" s="318">
        <f>IFERROR(SUM(X115:X117),"0")</f>
        <v>84</v>
      </c>
      <c r="Y118" s="318">
        <f>IFERROR(SUM(Y115:Y117),"0")</f>
        <v>84</v>
      </c>
      <c r="Z118" s="318">
        <f>IFERROR(IF(Z115="",0,Z115),"0")+IFERROR(IF(Z116="",0,Z116),"0")+IFERROR(IF(Z117="",0,Z117),"0")</f>
        <v>1.5019199999999999</v>
      </c>
      <c r="AA118" s="319"/>
      <c r="AB118" s="319"/>
      <c r="AC118" s="319"/>
    </row>
    <row r="119" spans="1:68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33"/>
      <c r="P119" s="323" t="s">
        <v>73</v>
      </c>
      <c r="Q119" s="324"/>
      <c r="R119" s="324"/>
      <c r="S119" s="324"/>
      <c r="T119" s="324"/>
      <c r="U119" s="324"/>
      <c r="V119" s="325"/>
      <c r="W119" s="37" t="s">
        <v>74</v>
      </c>
      <c r="X119" s="318">
        <f>IFERROR(SUMPRODUCT(X115:X117*H115:H117),"0")</f>
        <v>252</v>
      </c>
      <c r="Y119" s="318">
        <f>IFERROR(SUMPRODUCT(Y115:Y117*H115:H117),"0")</f>
        <v>252</v>
      </c>
      <c r="Z119" s="37"/>
      <c r="AA119" s="319"/>
      <c r="AB119" s="319"/>
      <c r="AC119" s="319"/>
    </row>
    <row r="120" spans="1:68" ht="16.5" customHeight="1" x14ac:dyDescent="0.25">
      <c r="A120" s="326" t="s">
        <v>220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27"/>
      <c r="Y120" s="327"/>
      <c r="Z120" s="327"/>
      <c r="AA120" s="311"/>
      <c r="AB120" s="311"/>
      <c r="AC120" s="311"/>
    </row>
    <row r="121" spans="1:68" ht="14.25" customHeight="1" x14ac:dyDescent="0.25">
      <c r="A121" s="345" t="s">
        <v>142</v>
      </c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7"/>
      <c r="P121" s="327"/>
      <c r="Q121" s="327"/>
      <c r="R121" s="327"/>
      <c r="S121" s="327"/>
      <c r="T121" s="327"/>
      <c r="U121" s="327"/>
      <c r="V121" s="327"/>
      <c r="W121" s="327"/>
      <c r="X121" s="327"/>
      <c r="Y121" s="327"/>
      <c r="Z121" s="327"/>
      <c r="AA121" s="312"/>
      <c r="AB121" s="312"/>
      <c r="AC121" s="312"/>
    </row>
    <row r="122" spans="1:68" ht="27" customHeight="1" x14ac:dyDescent="0.25">
      <c r="A122" s="54" t="s">
        <v>221</v>
      </c>
      <c r="B122" s="54" t="s">
        <v>222</v>
      </c>
      <c r="C122" s="31">
        <v>4301135178</v>
      </c>
      <c r="D122" s="330">
        <v>4607111034816</v>
      </c>
      <c r="E122" s="331"/>
      <c r="F122" s="315">
        <v>0.25</v>
      </c>
      <c r="G122" s="32">
        <v>6</v>
      </c>
      <c r="H122" s="315">
        <v>1.5</v>
      </c>
      <c r="I122" s="315">
        <v>1.9218</v>
      </c>
      <c r="J122" s="32">
        <v>140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3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21"/>
      <c r="R122" s="321"/>
      <c r="S122" s="321"/>
      <c r="T122" s="322"/>
      <c r="U122" s="34"/>
      <c r="V122" s="34"/>
      <c r="W122" s="35" t="s">
        <v>70</v>
      </c>
      <c r="X122" s="316">
        <v>0</v>
      </c>
      <c r="Y122" s="317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219</v>
      </c>
      <c r="AG122" s="67"/>
      <c r="AJ122" s="71" t="s">
        <v>72</v>
      </c>
      <c r="AK122" s="71">
        <v>1</v>
      </c>
      <c r="BB122" s="167" t="s">
        <v>84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223</v>
      </c>
      <c r="B123" s="54" t="s">
        <v>224</v>
      </c>
      <c r="C123" s="31">
        <v>4301135275</v>
      </c>
      <c r="D123" s="330">
        <v>4607111034380</v>
      </c>
      <c r="E123" s="331"/>
      <c r="F123" s="315">
        <v>0.25</v>
      </c>
      <c r="G123" s="32">
        <v>12</v>
      </c>
      <c r="H123" s="315">
        <v>3</v>
      </c>
      <c r="I123" s="315">
        <v>3.28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5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21"/>
      <c r="R123" s="321"/>
      <c r="S123" s="321"/>
      <c r="T123" s="322"/>
      <c r="U123" s="34"/>
      <c r="V123" s="34"/>
      <c r="W123" s="35" t="s">
        <v>70</v>
      </c>
      <c r="X123" s="316">
        <v>0</v>
      </c>
      <c r="Y123" s="317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225</v>
      </c>
      <c r="AG123" s="67"/>
      <c r="AJ123" s="71" t="s">
        <v>83</v>
      </c>
      <c r="AK123" s="71">
        <v>14</v>
      </c>
      <c r="BB123" s="169" t="s">
        <v>84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226</v>
      </c>
      <c r="B124" s="54" t="s">
        <v>227</v>
      </c>
      <c r="C124" s="31">
        <v>4301135277</v>
      </c>
      <c r="D124" s="330">
        <v>4607111034397</v>
      </c>
      <c r="E124" s="331"/>
      <c r="F124" s="315">
        <v>0.25</v>
      </c>
      <c r="G124" s="32">
        <v>12</v>
      </c>
      <c r="H124" s="315">
        <v>3</v>
      </c>
      <c r="I124" s="315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2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21"/>
      <c r="R124" s="321"/>
      <c r="S124" s="321"/>
      <c r="T124" s="322"/>
      <c r="U124" s="34"/>
      <c r="V124" s="34"/>
      <c r="W124" s="35" t="s">
        <v>70</v>
      </c>
      <c r="X124" s="316">
        <v>0</v>
      </c>
      <c r="Y124" s="317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206</v>
      </c>
      <c r="AG124" s="67"/>
      <c r="AJ124" s="71" t="s">
        <v>83</v>
      </c>
      <c r="AK124" s="71">
        <v>14</v>
      </c>
      <c r="BB124" s="17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32"/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33"/>
      <c r="P125" s="323" t="s">
        <v>73</v>
      </c>
      <c r="Q125" s="324"/>
      <c r="R125" s="324"/>
      <c r="S125" s="324"/>
      <c r="T125" s="324"/>
      <c r="U125" s="324"/>
      <c r="V125" s="325"/>
      <c r="W125" s="37" t="s">
        <v>70</v>
      </c>
      <c r="X125" s="318">
        <f>IFERROR(SUM(X122:X124),"0")</f>
        <v>0</v>
      </c>
      <c r="Y125" s="318">
        <f>IFERROR(SUM(Y122:Y124),"0")</f>
        <v>0</v>
      </c>
      <c r="Z125" s="318">
        <f>IFERROR(IF(Z122="",0,Z122),"0")+IFERROR(IF(Z123="",0,Z123),"0")+IFERROR(IF(Z124="",0,Z124),"0")</f>
        <v>0</v>
      </c>
      <c r="AA125" s="319"/>
      <c r="AB125" s="319"/>
      <c r="AC125" s="319"/>
    </row>
    <row r="126" spans="1:68" x14ac:dyDescent="0.2">
      <c r="A126" s="327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33"/>
      <c r="P126" s="323" t="s">
        <v>73</v>
      </c>
      <c r="Q126" s="324"/>
      <c r="R126" s="324"/>
      <c r="S126" s="324"/>
      <c r="T126" s="324"/>
      <c r="U126" s="324"/>
      <c r="V126" s="325"/>
      <c r="W126" s="37" t="s">
        <v>74</v>
      </c>
      <c r="X126" s="318">
        <f>IFERROR(SUMPRODUCT(X122:X124*H122:H124),"0")</f>
        <v>0</v>
      </c>
      <c r="Y126" s="318">
        <f>IFERROR(SUMPRODUCT(Y122:Y124*H122:H124),"0")</f>
        <v>0</v>
      </c>
      <c r="Z126" s="37"/>
      <c r="AA126" s="319"/>
      <c r="AB126" s="319"/>
      <c r="AC126" s="319"/>
    </row>
    <row r="127" spans="1:68" ht="16.5" customHeight="1" x14ac:dyDescent="0.25">
      <c r="A127" s="326" t="s">
        <v>228</v>
      </c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327"/>
      <c r="Z127" s="327"/>
      <c r="AA127" s="311"/>
      <c r="AB127" s="311"/>
      <c r="AC127" s="311"/>
    </row>
    <row r="128" spans="1:68" ht="14.25" customHeight="1" x14ac:dyDescent="0.25">
      <c r="A128" s="345" t="s">
        <v>142</v>
      </c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7"/>
      <c r="P128" s="327"/>
      <c r="Q128" s="327"/>
      <c r="R128" s="327"/>
      <c r="S128" s="327"/>
      <c r="T128" s="327"/>
      <c r="U128" s="327"/>
      <c r="V128" s="327"/>
      <c r="W128" s="327"/>
      <c r="X128" s="327"/>
      <c r="Y128" s="327"/>
      <c r="Z128" s="327"/>
      <c r="AA128" s="312"/>
      <c r="AB128" s="312"/>
      <c r="AC128" s="312"/>
    </row>
    <row r="129" spans="1:68" ht="27" customHeight="1" x14ac:dyDescent="0.25">
      <c r="A129" s="54" t="s">
        <v>229</v>
      </c>
      <c r="B129" s="54" t="s">
        <v>230</v>
      </c>
      <c r="C129" s="31">
        <v>4301135279</v>
      </c>
      <c r="D129" s="330">
        <v>4607111035806</v>
      </c>
      <c r="E129" s="331"/>
      <c r="F129" s="315">
        <v>0.25</v>
      </c>
      <c r="G129" s="32">
        <v>12</v>
      </c>
      <c r="H129" s="315">
        <v>3</v>
      </c>
      <c r="I129" s="315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9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21"/>
      <c r="R129" s="321"/>
      <c r="S129" s="321"/>
      <c r="T129" s="322"/>
      <c r="U129" s="34"/>
      <c r="V129" s="34"/>
      <c r="W129" s="35" t="s">
        <v>70</v>
      </c>
      <c r="X129" s="316">
        <v>14</v>
      </c>
      <c r="Y129" s="317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72" t="s">
        <v>231</v>
      </c>
      <c r="AG129" s="67"/>
      <c r="AJ129" s="71" t="s">
        <v>83</v>
      </c>
      <c r="AK129" s="71">
        <v>14</v>
      </c>
      <c r="BB129" s="173" t="s">
        <v>84</v>
      </c>
      <c r="BM129" s="67">
        <f>IFERROR(X129*I129,"0")</f>
        <v>51.850399999999993</v>
      </c>
      <c r="BN129" s="67">
        <f>IFERROR(Y129*I129,"0")</f>
        <v>51.850399999999993</v>
      </c>
      <c r="BO129" s="67">
        <f>IFERROR(X129/J129,"0")</f>
        <v>0.2</v>
      </c>
      <c r="BP129" s="67">
        <f>IFERROR(Y129/J129,"0")</f>
        <v>0.2</v>
      </c>
    </row>
    <row r="130" spans="1:68" x14ac:dyDescent="0.2">
      <c r="A130" s="332"/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33"/>
      <c r="P130" s="323" t="s">
        <v>73</v>
      </c>
      <c r="Q130" s="324"/>
      <c r="R130" s="324"/>
      <c r="S130" s="324"/>
      <c r="T130" s="324"/>
      <c r="U130" s="324"/>
      <c r="V130" s="325"/>
      <c r="W130" s="37" t="s">
        <v>70</v>
      </c>
      <c r="X130" s="318">
        <f>IFERROR(SUM(X129:X129),"0")</f>
        <v>14</v>
      </c>
      <c r="Y130" s="318">
        <f>IFERROR(SUM(Y129:Y129),"0")</f>
        <v>14</v>
      </c>
      <c r="Z130" s="318">
        <f>IFERROR(IF(Z129="",0,Z129),"0")</f>
        <v>0.25031999999999999</v>
      </c>
      <c r="AA130" s="319"/>
      <c r="AB130" s="319"/>
      <c r="AC130" s="319"/>
    </row>
    <row r="131" spans="1:68" x14ac:dyDescent="0.2">
      <c r="A131" s="327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7"/>
      <c r="N131" s="327"/>
      <c r="O131" s="333"/>
      <c r="P131" s="323" t="s">
        <v>73</v>
      </c>
      <c r="Q131" s="324"/>
      <c r="R131" s="324"/>
      <c r="S131" s="324"/>
      <c r="T131" s="324"/>
      <c r="U131" s="324"/>
      <c r="V131" s="325"/>
      <c r="W131" s="37" t="s">
        <v>74</v>
      </c>
      <c r="X131" s="318">
        <f>IFERROR(SUMPRODUCT(X129:X129*H129:H129),"0")</f>
        <v>42</v>
      </c>
      <c r="Y131" s="318">
        <f>IFERROR(SUMPRODUCT(Y129:Y129*H129:H129),"0")</f>
        <v>42</v>
      </c>
      <c r="Z131" s="37"/>
      <c r="AA131" s="319"/>
      <c r="AB131" s="319"/>
      <c r="AC131" s="319"/>
    </row>
    <row r="132" spans="1:68" ht="16.5" customHeight="1" x14ac:dyDescent="0.25">
      <c r="A132" s="326" t="s">
        <v>232</v>
      </c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27"/>
      <c r="P132" s="327"/>
      <c r="Q132" s="327"/>
      <c r="R132" s="327"/>
      <c r="S132" s="327"/>
      <c r="T132" s="327"/>
      <c r="U132" s="327"/>
      <c r="V132" s="327"/>
      <c r="W132" s="327"/>
      <c r="X132" s="327"/>
      <c r="Y132" s="327"/>
      <c r="Z132" s="327"/>
      <c r="AA132" s="311"/>
      <c r="AB132" s="311"/>
      <c r="AC132" s="311"/>
    </row>
    <row r="133" spans="1:68" ht="14.25" customHeight="1" x14ac:dyDescent="0.25">
      <c r="A133" s="345" t="s">
        <v>233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327"/>
      <c r="Z133" s="327"/>
      <c r="AA133" s="312"/>
      <c r="AB133" s="312"/>
      <c r="AC133" s="312"/>
    </row>
    <row r="134" spans="1:68" ht="27" customHeight="1" x14ac:dyDescent="0.25">
      <c r="A134" s="54" t="s">
        <v>234</v>
      </c>
      <c r="B134" s="54" t="s">
        <v>235</v>
      </c>
      <c r="C134" s="31">
        <v>4301071054</v>
      </c>
      <c r="D134" s="330">
        <v>4607111035639</v>
      </c>
      <c r="E134" s="331"/>
      <c r="F134" s="315">
        <v>0.2</v>
      </c>
      <c r="G134" s="32">
        <v>8</v>
      </c>
      <c r="H134" s="315">
        <v>1.6</v>
      </c>
      <c r="I134" s="315">
        <v>2.12</v>
      </c>
      <c r="J134" s="32">
        <v>72</v>
      </c>
      <c r="K134" s="32" t="s">
        <v>236</v>
      </c>
      <c r="L134" s="32" t="s">
        <v>81</v>
      </c>
      <c r="M134" s="33" t="s">
        <v>69</v>
      </c>
      <c r="N134" s="33"/>
      <c r="O134" s="32">
        <v>180</v>
      </c>
      <c r="P134" s="517" t="s">
        <v>237</v>
      </c>
      <c r="Q134" s="321"/>
      <c r="R134" s="321"/>
      <c r="S134" s="321"/>
      <c r="T134" s="322"/>
      <c r="U134" s="34"/>
      <c r="V134" s="34"/>
      <c r="W134" s="35" t="s">
        <v>70</v>
      </c>
      <c r="X134" s="316">
        <v>0</v>
      </c>
      <c r="Y134" s="317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238</v>
      </c>
      <c r="AG134" s="67"/>
      <c r="AJ134" s="71" t="s">
        <v>83</v>
      </c>
      <c r="AK134" s="71">
        <v>6</v>
      </c>
      <c r="BB134" s="175" t="s">
        <v>84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239</v>
      </c>
      <c r="B135" s="54" t="s">
        <v>240</v>
      </c>
      <c r="C135" s="31">
        <v>4301135540</v>
      </c>
      <c r="D135" s="330">
        <v>4607111035646</v>
      </c>
      <c r="E135" s="331"/>
      <c r="F135" s="315">
        <v>0.2</v>
      </c>
      <c r="G135" s="32">
        <v>8</v>
      </c>
      <c r="H135" s="315">
        <v>1.6</v>
      </c>
      <c r="I135" s="315">
        <v>2.12</v>
      </c>
      <c r="J135" s="32">
        <v>72</v>
      </c>
      <c r="K135" s="32" t="s">
        <v>236</v>
      </c>
      <c r="L135" s="32" t="s">
        <v>81</v>
      </c>
      <c r="M135" s="33" t="s">
        <v>69</v>
      </c>
      <c r="N135" s="33"/>
      <c r="O135" s="32">
        <v>180</v>
      </c>
      <c r="P135" s="49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21"/>
      <c r="R135" s="321"/>
      <c r="S135" s="321"/>
      <c r="T135" s="322"/>
      <c r="U135" s="34"/>
      <c r="V135" s="34"/>
      <c r="W135" s="35" t="s">
        <v>70</v>
      </c>
      <c r="X135" s="316">
        <v>0</v>
      </c>
      <c r="Y135" s="317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238</v>
      </c>
      <c r="AG135" s="67"/>
      <c r="AJ135" s="71" t="s">
        <v>83</v>
      </c>
      <c r="AK135" s="71">
        <v>6</v>
      </c>
      <c r="BB135" s="17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32"/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33"/>
      <c r="P136" s="323" t="s">
        <v>73</v>
      </c>
      <c r="Q136" s="324"/>
      <c r="R136" s="324"/>
      <c r="S136" s="324"/>
      <c r="T136" s="324"/>
      <c r="U136" s="324"/>
      <c r="V136" s="325"/>
      <c r="W136" s="37" t="s">
        <v>70</v>
      </c>
      <c r="X136" s="318">
        <f>IFERROR(SUM(X134:X135),"0")</f>
        <v>0</v>
      </c>
      <c r="Y136" s="318">
        <f>IFERROR(SUM(Y134:Y135),"0")</f>
        <v>0</v>
      </c>
      <c r="Z136" s="318">
        <f>IFERROR(IF(Z134="",0,Z134),"0")+IFERROR(IF(Z135="",0,Z135),"0")</f>
        <v>0</v>
      </c>
      <c r="AA136" s="319"/>
      <c r="AB136" s="319"/>
      <c r="AC136" s="319"/>
    </row>
    <row r="137" spans="1:68" x14ac:dyDescent="0.2">
      <c r="A137" s="327"/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33"/>
      <c r="P137" s="323" t="s">
        <v>73</v>
      </c>
      <c r="Q137" s="324"/>
      <c r="R137" s="324"/>
      <c r="S137" s="324"/>
      <c r="T137" s="324"/>
      <c r="U137" s="324"/>
      <c r="V137" s="325"/>
      <c r="W137" s="37" t="s">
        <v>74</v>
      </c>
      <c r="X137" s="318">
        <f>IFERROR(SUMPRODUCT(X134:X135*H134:H135),"0")</f>
        <v>0</v>
      </c>
      <c r="Y137" s="318">
        <f>IFERROR(SUMPRODUCT(Y134:Y135*H134:H135),"0")</f>
        <v>0</v>
      </c>
      <c r="Z137" s="37"/>
      <c r="AA137" s="319"/>
      <c r="AB137" s="319"/>
      <c r="AC137" s="319"/>
    </row>
    <row r="138" spans="1:68" ht="16.5" customHeight="1" x14ac:dyDescent="0.25">
      <c r="A138" s="326" t="s">
        <v>241</v>
      </c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7"/>
      <c r="P138" s="327"/>
      <c r="Q138" s="327"/>
      <c r="R138" s="327"/>
      <c r="S138" s="327"/>
      <c r="T138" s="327"/>
      <c r="U138" s="327"/>
      <c r="V138" s="327"/>
      <c r="W138" s="327"/>
      <c r="X138" s="327"/>
      <c r="Y138" s="327"/>
      <c r="Z138" s="327"/>
      <c r="AA138" s="311"/>
      <c r="AB138" s="311"/>
      <c r="AC138" s="311"/>
    </row>
    <row r="139" spans="1:68" ht="14.25" customHeight="1" x14ac:dyDescent="0.25">
      <c r="A139" s="345" t="s">
        <v>142</v>
      </c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327"/>
      <c r="R139" s="327"/>
      <c r="S139" s="327"/>
      <c r="T139" s="327"/>
      <c r="U139" s="327"/>
      <c r="V139" s="327"/>
      <c r="W139" s="327"/>
      <c r="X139" s="327"/>
      <c r="Y139" s="327"/>
      <c r="Z139" s="327"/>
      <c r="AA139" s="312"/>
      <c r="AB139" s="312"/>
      <c r="AC139" s="312"/>
    </row>
    <row r="140" spans="1:68" ht="27" customHeight="1" x14ac:dyDescent="0.25">
      <c r="A140" s="54" t="s">
        <v>242</v>
      </c>
      <c r="B140" s="54" t="s">
        <v>243</v>
      </c>
      <c r="C140" s="31">
        <v>4301135281</v>
      </c>
      <c r="D140" s="330">
        <v>4607111036568</v>
      </c>
      <c r="E140" s="331"/>
      <c r="F140" s="315">
        <v>0.28000000000000003</v>
      </c>
      <c r="G140" s="32">
        <v>6</v>
      </c>
      <c r="H140" s="315">
        <v>1.68</v>
      </c>
      <c r="I140" s="315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4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21"/>
      <c r="R140" s="321"/>
      <c r="S140" s="321"/>
      <c r="T140" s="322"/>
      <c r="U140" s="34"/>
      <c r="V140" s="34"/>
      <c r="W140" s="35" t="s">
        <v>70</v>
      </c>
      <c r="X140" s="316">
        <v>0</v>
      </c>
      <c r="Y140" s="317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244</v>
      </c>
      <c r="AG140" s="67"/>
      <c r="AJ140" s="71" t="s">
        <v>72</v>
      </c>
      <c r="AK140" s="71">
        <v>1</v>
      </c>
      <c r="BB140" s="179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32"/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33"/>
      <c r="P141" s="323" t="s">
        <v>73</v>
      </c>
      <c r="Q141" s="324"/>
      <c r="R141" s="324"/>
      <c r="S141" s="324"/>
      <c r="T141" s="324"/>
      <c r="U141" s="324"/>
      <c r="V141" s="325"/>
      <c r="W141" s="37" t="s">
        <v>70</v>
      </c>
      <c r="X141" s="318">
        <f>IFERROR(SUM(X140:X140),"0")</f>
        <v>0</v>
      </c>
      <c r="Y141" s="318">
        <f>IFERROR(SUM(Y140:Y140),"0")</f>
        <v>0</v>
      </c>
      <c r="Z141" s="318">
        <f>IFERROR(IF(Z140="",0,Z140),"0")</f>
        <v>0</v>
      </c>
      <c r="AA141" s="319"/>
      <c r="AB141" s="319"/>
      <c r="AC141" s="319"/>
    </row>
    <row r="142" spans="1:68" x14ac:dyDescent="0.2">
      <c r="A142" s="327"/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33"/>
      <c r="P142" s="323" t="s">
        <v>73</v>
      </c>
      <c r="Q142" s="324"/>
      <c r="R142" s="324"/>
      <c r="S142" s="324"/>
      <c r="T142" s="324"/>
      <c r="U142" s="324"/>
      <c r="V142" s="325"/>
      <c r="W142" s="37" t="s">
        <v>74</v>
      </c>
      <c r="X142" s="318">
        <f>IFERROR(SUMPRODUCT(X140:X140*H140:H140),"0")</f>
        <v>0</v>
      </c>
      <c r="Y142" s="318">
        <f>IFERROR(SUMPRODUCT(Y140:Y140*H140:H140),"0")</f>
        <v>0</v>
      </c>
      <c r="Z142" s="37"/>
      <c r="AA142" s="319"/>
      <c r="AB142" s="319"/>
      <c r="AC142" s="319"/>
    </row>
    <row r="143" spans="1:68" ht="27.75" customHeight="1" x14ac:dyDescent="0.2">
      <c r="A143" s="371" t="s">
        <v>245</v>
      </c>
      <c r="B143" s="372"/>
      <c r="C143" s="372"/>
      <c r="D143" s="372"/>
      <c r="E143" s="372"/>
      <c r="F143" s="372"/>
      <c r="G143" s="372"/>
      <c r="H143" s="372"/>
      <c r="I143" s="372"/>
      <c r="J143" s="372"/>
      <c r="K143" s="372"/>
      <c r="L143" s="372"/>
      <c r="M143" s="372"/>
      <c r="N143" s="372"/>
      <c r="O143" s="372"/>
      <c r="P143" s="372"/>
      <c r="Q143" s="372"/>
      <c r="R143" s="372"/>
      <c r="S143" s="372"/>
      <c r="T143" s="372"/>
      <c r="U143" s="372"/>
      <c r="V143" s="372"/>
      <c r="W143" s="372"/>
      <c r="X143" s="372"/>
      <c r="Y143" s="372"/>
      <c r="Z143" s="372"/>
      <c r="AA143" s="48"/>
      <c r="AB143" s="48"/>
      <c r="AC143" s="48"/>
    </row>
    <row r="144" spans="1:68" ht="16.5" customHeight="1" x14ac:dyDescent="0.25">
      <c r="A144" s="326" t="s">
        <v>246</v>
      </c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7"/>
      <c r="P144" s="327"/>
      <c r="Q144" s="327"/>
      <c r="R144" s="327"/>
      <c r="S144" s="327"/>
      <c r="T144" s="327"/>
      <c r="U144" s="327"/>
      <c r="V144" s="327"/>
      <c r="W144" s="327"/>
      <c r="X144" s="327"/>
      <c r="Y144" s="327"/>
      <c r="Z144" s="327"/>
      <c r="AA144" s="311"/>
      <c r="AB144" s="311"/>
      <c r="AC144" s="311"/>
    </row>
    <row r="145" spans="1:68" ht="14.25" customHeight="1" x14ac:dyDescent="0.25">
      <c r="A145" s="345" t="s">
        <v>142</v>
      </c>
      <c r="B145" s="327"/>
      <c r="C145" s="327"/>
      <c r="D145" s="327"/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27"/>
      <c r="P145" s="327"/>
      <c r="Q145" s="327"/>
      <c r="R145" s="327"/>
      <c r="S145" s="327"/>
      <c r="T145" s="327"/>
      <c r="U145" s="327"/>
      <c r="V145" s="327"/>
      <c r="W145" s="327"/>
      <c r="X145" s="327"/>
      <c r="Y145" s="327"/>
      <c r="Z145" s="327"/>
      <c r="AA145" s="312"/>
      <c r="AB145" s="312"/>
      <c r="AC145" s="312"/>
    </row>
    <row r="146" spans="1:68" ht="27" customHeight="1" x14ac:dyDescent="0.25">
      <c r="A146" s="54" t="s">
        <v>247</v>
      </c>
      <c r="B146" s="54" t="s">
        <v>248</v>
      </c>
      <c r="C146" s="31">
        <v>4301135317</v>
      </c>
      <c r="D146" s="330">
        <v>4607111039057</v>
      </c>
      <c r="E146" s="331"/>
      <c r="F146" s="315">
        <v>1.8</v>
      </c>
      <c r="G146" s="32">
        <v>1</v>
      </c>
      <c r="H146" s="315">
        <v>1.8</v>
      </c>
      <c r="I146" s="315">
        <v>1.9</v>
      </c>
      <c r="J146" s="32">
        <v>234</v>
      </c>
      <c r="K146" s="32" t="s">
        <v>137</v>
      </c>
      <c r="L146" s="32" t="s">
        <v>68</v>
      </c>
      <c r="M146" s="33" t="s">
        <v>69</v>
      </c>
      <c r="N146" s="33"/>
      <c r="O146" s="32">
        <v>180</v>
      </c>
      <c r="P146" s="510" t="s">
        <v>249</v>
      </c>
      <c r="Q146" s="321"/>
      <c r="R146" s="321"/>
      <c r="S146" s="321"/>
      <c r="T146" s="322"/>
      <c r="U146" s="34"/>
      <c r="V146" s="34"/>
      <c r="W146" s="35" t="s">
        <v>70</v>
      </c>
      <c r="X146" s="316">
        <v>0</v>
      </c>
      <c r="Y146" s="317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72</v>
      </c>
      <c r="AK146" s="71">
        <v>1</v>
      </c>
      <c r="BB146" s="181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32"/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33"/>
      <c r="P147" s="323" t="s">
        <v>73</v>
      </c>
      <c r="Q147" s="324"/>
      <c r="R147" s="324"/>
      <c r="S147" s="324"/>
      <c r="T147" s="324"/>
      <c r="U147" s="324"/>
      <c r="V147" s="325"/>
      <c r="W147" s="37" t="s">
        <v>70</v>
      </c>
      <c r="X147" s="318">
        <f>IFERROR(SUM(X146:X146),"0")</f>
        <v>0</v>
      </c>
      <c r="Y147" s="318">
        <f>IFERROR(SUM(Y146:Y146),"0")</f>
        <v>0</v>
      </c>
      <c r="Z147" s="318">
        <f>IFERROR(IF(Z146="",0,Z146),"0")</f>
        <v>0</v>
      </c>
      <c r="AA147" s="319"/>
      <c r="AB147" s="319"/>
      <c r="AC147" s="319"/>
    </row>
    <row r="148" spans="1:68" x14ac:dyDescent="0.2">
      <c r="A148" s="327"/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33"/>
      <c r="P148" s="323" t="s">
        <v>73</v>
      </c>
      <c r="Q148" s="324"/>
      <c r="R148" s="324"/>
      <c r="S148" s="324"/>
      <c r="T148" s="324"/>
      <c r="U148" s="324"/>
      <c r="V148" s="325"/>
      <c r="W148" s="37" t="s">
        <v>74</v>
      </c>
      <c r="X148" s="318">
        <f>IFERROR(SUMPRODUCT(X146:X146*H146:H146),"0")</f>
        <v>0</v>
      </c>
      <c r="Y148" s="318">
        <f>IFERROR(SUMPRODUCT(Y146:Y146*H146:H146),"0")</f>
        <v>0</v>
      </c>
      <c r="Z148" s="37"/>
      <c r="AA148" s="319"/>
      <c r="AB148" s="319"/>
      <c r="AC148" s="319"/>
    </row>
    <row r="149" spans="1:68" ht="16.5" customHeight="1" x14ac:dyDescent="0.25">
      <c r="A149" s="326" t="s">
        <v>250</v>
      </c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27"/>
      <c r="P149" s="327"/>
      <c r="Q149" s="327"/>
      <c r="R149" s="327"/>
      <c r="S149" s="327"/>
      <c r="T149" s="327"/>
      <c r="U149" s="327"/>
      <c r="V149" s="327"/>
      <c r="W149" s="327"/>
      <c r="X149" s="327"/>
      <c r="Y149" s="327"/>
      <c r="Z149" s="327"/>
      <c r="AA149" s="311"/>
      <c r="AB149" s="311"/>
      <c r="AC149" s="311"/>
    </row>
    <row r="150" spans="1:68" ht="14.25" customHeight="1" x14ac:dyDescent="0.25">
      <c r="A150" s="345" t="s">
        <v>64</v>
      </c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  <c r="P150" s="327"/>
      <c r="Q150" s="327"/>
      <c r="R150" s="327"/>
      <c r="S150" s="327"/>
      <c r="T150" s="327"/>
      <c r="U150" s="327"/>
      <c r="V150" s="327"/>
      <c r="W150" s="327"/>
      <c r="X150" s="327"/>
      <c r="Y150" s="327"/>
      <c r="Z150" s="327"/>
      <c r="AA150" s="312"/>
      <c r="AB150" s="312"/>
      <c r="AC150" s="312"/>
    </row>
    <row r="151" spans="1:68" ht="16.5" customHeight="1" x14ac:dyDescent="0.25">
      <c r="A151" s="54" t="s">
        <v>251</v>
      </c>
      <c r="B151" s="54" t="s">
        <v>252</v>
      </c>
      <c r="C151" s="31">
        <v>4301071062</v>
      </c>
      <c r="D151" s="330">
        <v>4607111036384</v>
      </c>
      <c r="E151" s="331"/>
      <c r="F151" s="315">
        <v>5</v>
      </c>
      <c r="G151" s="32">
        <v>1</v>
      </c>
      <c r="H151" s="315">
        <v>5</v>
      </c>
      <c r="I151" s="315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6" t="s">
        <v>253</v>
      </c>
      <c r="Q151" s="321"/>
      <c r="R151" s="321"/>
      <c r="S151" s="321"/>
      <c r="T151" s="322"/>
      <c r="U151" s="34"/>
      <c r="V151" s="34"/>
      <c r="W151" s="35" t="s">
        <v>70</v>
      </c>
      <c r="X151" s="316">
        <v>0</v>
      </c>
      <c r="Y151" s="317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254</v>
      </c>
      <c r="AG151" s="67"/>
      <c r="AJ151" s="71" t="s">
        <v>72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255</v>
      </c>
      <c r="B152" s="54" t="s">
        <v>256</v>
      </c>
      <c r="C152" s="31">
        <v>4301071056</v>
      </c>
      <c r="D152" s="330">
        <v>4640242180250</v>
      </c>
      <c r="E152" s="331"/>
      <c r="F152" s="315">
        <v>5</v>
      </c>
      <c r="G152" s="32">
        <v>1</v>
      </c>
      <c r="H152" s="315">
        <v>5</v>
      </c>
      <c r="I152" s="315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3" t="s">
        <v>257</v>
      </c>
      <c r="Q152" s="321"/>
      <c r="R152" s="321"/>
      <c r="S152" s="321"/>
      <c r="T152" s="322"/>
      <c r="U152" s="34"/>
      <c r="V152" s="34"/>
      <c r="W152" s="35" t="s">
        <v>70</v>
      </c>
      <c r="X152" s="316">
        <v>0</v>
      </c>
      <c r="Y152" s="317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258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259</v>
      </c>
      <c r="B153" s="54" t="s">
        <v>260</v>
      </c>
      <c r="C153" s="31">
        <v>4301071050</v>
      </c>
      <c r="D153" s="330">
        <v>4607111036216</v>
      </c>
      <c r="E153" s="331"/>
      <c r="F153" s="315">
        <v>5</v>
      </c>
      <c r="G153" s="32">
        <v>1</v>
      </c>
      <c r="H153" s="315">
        <v>5</v>
      </c>
      <c r="I153" s="315">
        <v>5.2131999999999996</v>
      </c>
      <c r="J153" s="32">
        <v>144</v>
      </c>
      <c r="K153" s="32" t="s">
        <v>67</v>
      </c>
      <c r="L153" s="32" t="s">
        <v>89</v>
      </c>
      <c r="M153" s="33" t="s">
        <v>69</v>
      </c>
      <c r="N153" s="33"/>
      <c r="O153" s="32">
        <v>180</v>
      </c>
      <c r="P153" s="450" t="s">
        <v>261</v>
      </c>
      <c r="Q153" s="321"/>
      <c r="R153" s="321"/>
      <c r="S153" s="321"/>
      <c r="T153" s="322"/>
      <c r="U153" s="34"/>
      <c r="V153" s="34"/>
      <c r="W153" s="35" t="s">
        <v>70</v>
      </c>
      <c r="X153" s="316">
        <v>0</v>
      </c>
      <c r="Y153" s="317">
        <f>IFERROR(IF(X153="","",X153),"")</f>
        <v>0</v>
      </c>
      <c r="Z153" s="36">
        <f>IFERROR(IF(X153="","",X153*0.00866),"")</f>
        <v>0</v>
      </c>
      <c r="AA153" s="56"/>
      <c r="AB153" s="57"/>
      <c r="AC153" s="186" t="s">
        <v>262</v>
      </c>
      <c r="AG153" s="67"/>
      <c r="AJ153" s="71" t="s">
        <v>90</v>
      </c>
      <c r="AK153" s="71">
        <v>144</v>
      </c>
      <c r="BB153" s="18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263</v>
      </c>
      <c r="B154" s="54" t="s">
        <v>264</v>
      </c>
      <c r="C154" s="31">
        <v>4301071061</v>
      </c>
      <c r="D154" s="330">
        <v>4607111036278</v>
      </c>
      <c r="E154" s="331"/>
      <c r="F154" s="315">
        <v>5</v>
      </c>
      <c r="G154" s="32">
        <v>1</v>
      </c>
      <c r="H154" s="315">
        <v>5</v>
      </c>
      <c r="I154" s="315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7" t="s">
        <v>265</v>
      </c>
      <c r="Q154" s="321"/>
      <c r="R154" s="321"/>
      <c r="S154" s="321"/>
      <c r="T154" s="322"/>
      <c r="U154" s="34"/>
      <c r="V154" s="34"/>
      <c r="W154" s="35" t="s">
        <v>70</v>
      </c>
      <c r="X154" s="316">
        <v>0</v>
      </c>
      <c r="Y154" s="317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266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2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33"/>
      <c r="P155" s="323" t="s">
        <v>73</v>
      </c>
      <c r="Q155" s="324"/>
      <c r="R155" s="324"/>
      <c r="S155" s="324"/>
      <c r="T155" s="324"/>
      <c r="U155" s="324"/>
      <c r="V155" s="325"/>
      <c r="W155" s="37" t="s">
        <v>70</v>
      </c>
      <c r="X155" s="318">
        <f>IFERROR(SUM(X151:X154),"0")</f>
        <v>0</v>
      </c>
      <c r="Y155" s="318">
        <f>IFERROR(SUM(Y151:Y154),"0")</f>
        <v>0</v>
      </c>
      <c r="Z155" s="318">
        <f>IFERROR(IF(Z151="",0,Z151),"0")+IFERROR(IF(Z152="",0,Z152),"0")+IFERROR(IF(Z153="",0,Z153),"0")+IFERROR(IF(Z154="",0,Z154),"0")</f>
        <v>0</v>
      </c>
      <c r="AA155" s="319"/>
      <c r="AB155" s="319"/>
      <c r="AC155" s="319"/>
    </row>
    <row r="156" spans="1:68" x14ac:dyDescent="0.2">
      <c r="A156" s="327"/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33"/>
      <c r="P156" s="323" t="s">
        <v>73</v>
      </c>
      <c r="Q156" s="324"/>
      <c r="R156" s="324"/>
      <c r="S156" s="324"/>
      <c r="T156" s="324"/>
      <c r="U156" s="324"/>
      <c r="V156" s="325"/>
      <c r="W156" s="37" t="s">
        <v>74</v>
      </c>
      <c r="X156" s="318">
        <f>IFERROR(SUMPRODUCT(X151:X154*H151:H154),"0")</f>
        <v>0</v>
      </c>
      <c r="Y156" s="318">
        <f>IFERROR(SUMPRODUCT(Y151:Y154*H151:H154),"0")</f>
        <v>0</v>
      </c>
      <c r="Z156" s="37"/>
      <c r="AA156" s="319"/>
      <c r="AB156" s="319"/>
      <c r="AC156" s="319"/>
    </row>
    <row r="157" spans="1:68" ht="14.25" customHeight="1" x14ac:dyDescent="0.25">
      <c r="A157" s="345" t="s">
        <v>267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27"/>
      <c r="Y157" s="327"/>
      <c r="Z157" s="327"/>
      <c r="AA157" s="312"/>
      <c r="AB157" s="312"/>
      <c r="AC157" s="312"/>
    </row>
    <row r="158" spans="1:68" ht="27" customHeight="1" x14ac:dyDescent="0.25">
      <c r="A158" s="54" t="s">
        <v>268</v>
      </c>
      <c r="B158" s="54" t="s">
        <v>269</v>
      </c>
      <c r="C158" s="31">
        <v>4301080153</v>
      </c>
      <c r="D158" s="330">
        <v>4607111036827</v>
      </c>
      <c r="E158" s="331"/>
      <c r="F158" s="315">
        <v>1</v>
      </c>
      <c r="G158" s="32">
        <v>5</v>
      </c>
      <c r="H158" s="315">
        <v>5</v>
      </c>
      <c r="I158" s="315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21"/>
      <c r="R158" s="321"/>
      <c r="S158" s="321"/>
      <c r="T158" s="322"/>
      <c r="U158" s="34"/>
      <c r="V158" s="34"/>
      <c r="W158" s="35" t="s">
        <v>70</v>
      </c>
      <c r="X158" s="316">
        <v>0</v>
      </c>
      <c r="Y158" s="317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270</v>
      </c>
      <c r="AG158" s="67"/>
      <c r="AJ158" s="71" t="s">
        <v>72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271</v>
      </c>
      <c r="B159" s="54" t="s">
        <v>272</v>
      </c>
      <c r="C159" s="31">
        <v>4301080154</v>
      </c>
      <c r="D159" s="330">
        <v>4607111036834</v>
      </c>
      <c r="E159" s="331"/>
      <c r="F159" s="315">
        <v>1</v>
      </c>
      <c r="G159" s="32">
        <v>5</v>
      </c>
      <c r="H159" s="315">
        <v>5</v>
      </c>
      <c r="I159" s="315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21"/>
      <c r="R159" s="321"/>
      <c r="S159" s="321"/>
      <c r="T159" s="322"/>
      <c r="U159" s="34"/>
      <c r="V159" s="34"/>
      <c r="W159" s="35" t="s">
        <v>70</v>
      </c>
      <c r="X159" s="316">
        <v>0</v>
      </c>
      <c r="Y159" s="317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270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32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33"/>
      <c r="P160" s="323" t="s">
        <v>73</v>
      </c>
      <c r="Q160" s="324"/>
      <c r="R160" s="324"/>
      <c r="S160" s="324"/>
      <c r="T160" s="324"/>
      <c r="U160" s="324"/>
      <c r="V160" s="325"/>
      <c r="W160" s="37" t="s">
        <v>70</v>
      </c>
      <c r="X160" s="318">
        <f>IFERROR(SUM(X158:X159),"0")</f>
        <v>0</v>
      </c>
      <c r="Y160" s="318">
        <f>IFERROR(SUM(Y158:Y159),"0")</f>
        <v>0</v>
      </c>
      <c r="Z160" s="318">
        <f>IFERROR(IF(Z158="",0,Z158),"0")+IFERROR(IF(Z159="",0,Z159),"0")</f>
        <v>0</v>
      </c>
      <c r="AA160" s="319"/>
      <c r="AB160" s="319"/>
      <c r="AC160" s="319"/>
    </row>
    <row r="161" spans="1:68" x14ac:dyDescent="0.2">
      <c r="A161" s="327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7"/>
      <c r="N161" s="327"/>
      <c r="O161" s="333"/>
      <c r="P161" s="323" t="s">
        <v>73</v>
      </c>
      <c r="Q161" s="324"/>
      <c r="R161" s="324"/>
      <c r="S161" s="324"/>
      <c r="T161" s="324"/>
      <c r="U161" s="324"/>
      <c r="V161" s="325"/>
      <c r="W161" s="37" t="s">
        <v>74</v>
      </c>
      <c r="X161" s="318">
        <f>IFERROR(SUMPRODUCT(X158:X159*H158:H159),"0")</f>
        <v>0</v>
      </c>
      <c r="Y161" s="318">
        <f>IFERROR(SUMPRODUCT(Y158:Y159*H158:H159),"0")</f>
        <v>0</v>
      </c>
      <c r="Z161" s="37"/>
      <c r="AA161" s="319"/>
      <c r="AB161" s="319"/>
      <c r="AC161" s="319"/>
    </row>
    <row r="162" spans="1:68" ht="27.75" customHeight="1" x14ac:dyDescent="0.2">
      <c r="A162" s="371" t="s">
        <v>273</v>
      </c>
      <c r="B162" s="372"/>
      <c r="C162" s="372"/>
      <c r="D162" s="372"/>
      <c r="E162" s="372"/>
      <c r="F162" s="372"/>
      <c r="G162" s="372"/>
      <c r="H162" s="372"/>
      <c r="I162" s="372"/>
      <c r="J162" s="372"/>
      <c r="K162" s="372"/>
      <c r="L162" s="372"/>
      <c r="M162" s="372"/>
      <c r="N162" s="372"/>
      <c r="O162" s="372"/>
      <c r="P162" s="372"/>
      <c r="Q162" s="372"/>
      <c r="R162" s="372"/>
      <c r="S162" s="372"/>
      <c r="T162" s="372"/>
      <c r="U162" s="372"/>
      <c r="V162" s="372"/>
      <c r="W162" s="372"/>
      <c r="X162" s="372"/>
      <c r="Y162" s="372"/>
      <c r="Z162" s="372"/>
      <c r="AA162" s="48"/>
      <c r="AB162" s="48"/>
      <c r="AC162" s="48"/>
    </row>
    <row r="163" spans="1:68" ht="16.5" customHeight="1" x14ac:dyDescent="0.25">
      <c r="A163" s="326" t="s">
        <v>274</v>
      </c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7"/>
      <c r="N163" s="327"/>
      <c r="O163" s="327"/>
      <c r="P163" s="327"/>
      <c r="Q163" s="327"/>
      <c r="R163" s="327"/>
      <c r="S163" s="327"/>
      <c r="T163" s="327"/>
      <c r="U163" s="327"/>
      <c r="V163" s="327"/>
      <c r="W163" s="327"/>
      <c r="X163" s="327"/>
      <c r="Y163" s="327"/>
      <c r="Z163" s="327"/>
      <c r="AA163" s="311"/>
      <c r="AB163" s="311"/>
      <c r="AC163" s="311"/>
    </row>
    <row r="164" spans="1:68" ht="14.25" customHeight="1" x14ac:dyDescent="0.25">
      <c r="A164" s="345" t="s">
        <v>77</v>
      </c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7"/>
      <c r="N164" s="327"/>
      <c r="O164" s="327"/>
      <c r="P164" s="327"/>
      <c r="Q164" s="327"/>
      <c r="R164" s="327"/>
      <c r="S164" s="327"/>
      <c r="T164" s="327"/>
      <c r="U164" s="327"/>
      <c r="V164" s="327"/>
      <c r="W164" s="327"/>
      <c r="X164" s="327"/>
      <c r="Y164" s="327"/>
      <c r="Z164" s="327"/>
      <c r="AA164" s="312"/>
      <c r="AB164" s="312"/>
      <c r="AC164" s="312"/>
    </row>
    <row r="165" spans="1:68" ht="27" customHeight="1" x14ac:dyDescent="0.25">
      <c r="A165" s="54" t="s">
        <v>275</v>
      </c>
      <c r="B165" s="54" t="s">
        <v>276</v>
      </c>
      <c r="C165" s="31">
        <v>4301132097</v>
      </c>
      <c r="D165" s="330">
        <v>4607111035721</v>
      </c>
      <c r="E165" s="331"/>
      <c r="F165" s="315">
        <v>0.25</v>
      </c>
      <c r="G165" s="32">
        <v>12</v>
      </c>
      <c r="H165" s="315">
        <v>3</v>
      </c>
      <c r="I165" s="315">
        <v>3.3879999999999999</v>
      </c>
      <c r="J165" s="32">
        <v>70</v>
      </c>
      <c r="K165" s="32" t="s">
        <v>80</v>
      </c>
      <c r="L165" s="32" t="s">
        <v>89</v>
      </c>
      <c r="M165" s="33" t="s">
        <v>69</v>
      </c>
      <c r="N165" s="33"/>
      <c r="O165" s="32">
        <v>365</v>
      </c>
      <c r="P165" s="34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21"/>
      <c r="R165" s="321"/>
      <c r="S165" s="321"/>
      <c r="T165" s="322"/>
      <c r="U165" s="34"/>
      <c r="V165" s="34"/>
      <c r="W165" s="35" t="s">
        <v>70</v>
      </c>
      <c r="X165" s="316">
        <v>0</v>
      </c>
      <c r="Y165" s="317">
        <f>IFERROR(IF(X165="","",X165),"")</f>
        <v>0</v>
      </c>
      <c r="Z165" s="36">
        <f>IFERROR(IF(X165="","",X165*0.01788),"")</f>
        <v>0</v>
      </c>
      <c r="AA165" s="56"/>
      <c r="AB165" s="57"/>
      <c r="AC165" s="194" t="s">
        <v>277</v>
      </c>
      <c r="AG165" s="67"/>
      <c r="AJ165" s="71" t="s">
        <v>90</v>
      </c>
      <c r="AK165" s="71">
        <v>70</v>
      </c>
      <c r="BB165" s="195" t="s">
        <v>84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278</v>
      </c>
      <c r="B166" s="54" t="s">
        <v>279</v>
      </c>
      <c r="C166" s="31">
        <v>4301132100</v>
      </c>
      <c r="D166" s="330">
        <v>4607111035691</v>
      </c>
      <c r="E166" s="331"/>
      <c r="F166" s="315">
        <v>0.25</v>
      </c>
      <c r="G166" s="32">
        <v>12</v>
      </c>
      <c r="H166" s="315">
        <v>3</v>
      </c>
      <c r="I166" s="315">
        <v>3.3879999999999999</v>
      </c>
      <c r="J166" s="32">
        <v>70</v>
      </c>
      <c r="K166" s="32" t="s">
        <v>80</v>
      </c>
      <c r="L166" s="32" t="s">
        <v>89</v>
      </c>
      <c r="M166" s="33" t="s">
        <v>69</v>
      </c>
      <c r="N166" s="33"/>
      <c r="O166" s="32">
        <v>365</v>
      </c>
      <c r="P166" s="38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21"/>
      <c r="R166" s="321"/>
      <c r="S166" s="321"/>
      <c r="T166" s="322"/>
      <c r="U166" s="34"/>
      <c r="V166" s="34"/>
      <c r="W166" s="35" t="s">
        <v>70</v>
      </c>
      <c r="X166" s="316">
        <v>0</v>
      </c>
      <c r="Y166" s="317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280</v>
      </c>
      <c r="AG166" s="67"/>
      <c r="AJ166" s="71" t="s">
        <v>90</v>
      </c>
      <c r="AK166" s="71">
        <v>70</v>
      </c>
      <c r="BB166" s="197" t="s">
        <v>84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281</v>
      </c>
      <c r="B167" s="54" t="s">
        <v>282</v>
      </c>
      <c r="C167" s="31">
        <v>4301132079</v>
      </c>
      <c r="D167" s="330">
        <v>4607111038487</v>
      </c>
      <c r="E167" s="331"/>
      <c r="F167" s="315">
        <v>0.25</v>
      </c>
      <c r="G167" s="32">
        <v>12</v>
      </c>
      <c r="H167" s="315">
        <v>3</v>
      </c>
      <c r="I167" s="315">
        <v>3.7360000000000002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180</v>
      </c>
      <c r="P167" s="41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21"/>
      <c r="R167" s="321"/>
      <c r="S167" s="321"/>
      <c r="T167" s="322"/>
      <c r="U167" s="34"/>
      <c r="V167" s="34"/>
      <c r="W167" s="35" t="s">
        <v>70</v>
      </c>
      <c r="X167" s="316">
        <v>14</v>
      </c>
      <c r="Y167" s="317">
        <f>IFERROR(IF(X167="","",X167),"")</f>
        <v>14</v>
      </c>
      <c r="Z167" s="36">
        <f>IFERROR(IF(X167="","",X167*0.01788),"")</f>
        <v>0.25031999999999999</v>
      </c>
      <c r="AA167" s="56"/>
      <c r="AB167" s="57"/>
      <c r="AC167" s="198" t="s">
        <v>283</v>
      </c>
      <c r="AG167" s="67"/>
      <c r="AJ167" s="71" t="s">
        <v>83</v>
      </c>
      <c r="AK167" s="71">
        <v>14</v>
      </c>
      <c r="BB167" s="199" t="s">
        <v>84</v>
      </c>
      <c r="BM167" s="67">
        <f>IFERROR(X167*I167,"0")</f>
        <v>52.304000000000002</v>
      </c>
      <c r="BN167" s="67">
        <f>IFERROR(Y167*I167,"0")</f>
        <v>52.304000000000002</v>
      </c>
      <c r="BO167" s="67">
        <f>IFERROR(X167/J167,"0")</f>
        <v>0.2</v>
      </c>
      <c r="BP167" s="67">
        <f>IFERROR(Y167/J167,"0")</f>
        <v>0.2</v>
      </c>
    </row>
    <row r="168" spans="1:68" x14ac:dyDescent="0.2">
      <c r="A168" s="332"/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27"/>
      <c r="M168" s="327"/>
      <c r="N168" s="327"/>
      <c r="O168" s="333"/>
      <c r="P168" s="323" t="s">
        <v>73</v>
      </c>
      <c r="Q168" s="324"/>
      <c r="R168" s="324"/>
      <c r="S168" s="324"/>
      <c r="T168" s="324"/>
      <c r="U168" s="324"/>
      <c r="V168" s="325"/>
      <c r="W168" s="37" t="s">
        <v>70</v>
      </c>
      <c r="X168" s="318">
        <f>IFERROR(SUM(X165:X167),"0")</f>
        <v>14</v>
      </c>
      <c r="Y168" s="318">
        <f>IFERROR(SUM(Y165:Y167),"0")</f>
        <v>14</v>
      </c>
      <c r="Z168" s="318">
        <f>IFERROR(IF(Z165="",0,Z165),"0")+IFERROR(IF(Z166="",0,Z166),"0")+IFERROR(IF(Z167="",0,Z167),"0")</f>
        <v>0.25031999999999999</v>
      </c>
      <c r="AA168" s="319"/>
      <c r="AB168" s="319"/>
      <c r="AC168" s="319"/>
    </row>
    <row r="169" spans="1:68" x14ac:dyDescent="0.2">
      <c r="A169" s="327"/>
      <c r="B169" s="327"/>
      <c r="C169" s="327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33"/>
      <c r="P169" s="323" t="s">
        <v>73</v>
      </c>
      <c r="Q169" s="324"/>
      <c r="R169" s="324"/>
      <c r="S169" s="324"/>
      <c r="T169" s="324"/>
      <c r="U169" s="324"/>
      <c r="V169" s="325"/>
      <c r="W169" s="37" t="s">
        <v>74</v>
      </c>
      <c r="X169" s="318">
        <f>IFERROR(SUMPRODUCT(X165:X167*H165:H167),"0")</f>
        <v>42</v>
      </c>
      <c r="Y169" s="318">
        <f>IFERROR(SUMPRODUCT(Y165:Y167*H165:H167),"0")</f>
        <v>42</v>
      </c>
      <c r="Z169" s="37"/>
      <c r="AA169" s="319"/>
      <c r="AB169" s="319"/>
      <c r="AC169" s="319"/>
    </row>
    <row r="170" spans="1:68" ht="14.25" customHeight="1" x14ac:dyDescent="0.25">
      <c r="A170" s="345" t="s">
        <v>284</v>
      </c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7"/>
      <c r="N170" s="327"/>
      <c r="O170" s="327"/>
      <c r="P170" s="327"/>
      <c r="Q170" s="327"/>
      <c r="R170" s="327"/>
      <c r="S170" s="327"/>
      <c r="T170" s="327"/>
      <c r="U170" s="327"/>
      <c r="V170" s="327"/>
      <c r="W170" s="327"/>
      <c r="X170" s="327"/>
      <c r="Y170" s="327"/>
      <c r="Z170" s="327"/>
      <c r="AA170" s="312"/>
      <c r="AB170" s="312"/>
      <c r="AC170" s="312"/>
    </row>
    <row r="171" spans="1:68" ht="27" customHeight="1" x14ac:dyDescent="0.25">
      <c r="A171" s="54" t="s">
        <v>285</v>
      </c>
      <c r="B171" s="54" t="s">
        <v>286</v>
      </c>
      <c r="C171" s="31">
        <v>4301051855</v>
      </c>
      <c r="D171" s="330">
        <v>4680115885875</v>
      </c>
      <c r="E171" s="331"/>
      <c r="F171" s="315">
        <v>1</v>
      </c>
      <c r="G171" s="32">
        <v>9</v>
      </c>
      <c r="H171" s="315">
        <v>9</v>
      </c>
      <c r="I171" s="315">
        <v>9.48</v>
      </c>
      <c r="J171" s="32">
        <v>56</v>
      </c>
      <c r="K171" s="32" t="s">
        <v>287</v>
      </c>
      <c r="L171" s="32" t="s">
        <v>68</v>
      </c>
      <c r="M171" s="33" t="s">
        <v>288</v>
      </c>
      <c r="N171" s="33"/>
      <c r="O171" s="32">
        <v>365</v>
      </c>
      <c r="P171" s="376" t="s">
        <v>289</v>
      </c>
      <c r="Q171" s="321"/>
      <c r="R171" s="321"/>
      <c r="S171" s="321"/>
      <c r="T171" s="322"/>
      <c r="U171" s="34"/>
      <c r="V171" s="34"/>
      <c r="W171" s="35" t="s">
        <v>70</v>
      </c>
      <c r="X171" s="316">
        <v>0</v>
      </c>
      <c r="Y171" s="317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290</v>
      </c>
      <c r="AG171" s="67"/>
      <c r="AJ171" s="71" t="s">
        <v>72</v>
      </c>
      <c r="AK171" s="71">
        <v>1</v>
      </c>
      <c r="BB171" s="201" t="s">
        <v>291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292</v>
      </c>
      <c r="B172" s="54" t="s">
        <v>293</v>
      </c>
      <c r="C172" s="31">
        <v>4301051319</v>
      </c>
      <c r="D172" s="330">
        <v>4680115881204</v>
      </c>
      <c r="E172" s="331"/>
      <c r="F172" s="315">
        <v>0.33</v>
      </c>
      <c r="G172" s="32">
        <v>6</v>
      </c>
      <c r="H172" s="315">
        <v>1.98</v>
      </c>
      <c r="I172" s="315">
        <v>2.246</v>
      </c>
      <c r="J172" s="32">
        <v>156</v>
      </c>
      <c r="K172" s="32" t="s">
        <v>67</v>
      </c>
      <c r="L172" s="32" t="s">
        <v>68</v>
      </c>
      <c r="M172" s="33" t="s">
        <v>288</v>
      </c>
      <c r="N172" s="33"/>
      <c r="O172" s="32">
        <v>365</v>
      </c>
      <c r="P172" s="33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21"/>
      <c r="R172" s="321"/>
      <c r="S172" s="321"/>
      <c r="T172" s="322"/>
      <c r="U172" s="34"/>
      <c r="V172" s="34"/>
      <c r="W172" s="35" t="s">
        <v>70</v>
      </c>
      <c r="X172" s="316">
        <v>0</v>
      </c>
      <c r="Y172" s="317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294</v>
      </c>
      <c r="AG172" s="67"/>
      <c r="AJ172" s="71" t="s">
        <v>72</v>
      </c>
      <c r="AK172" s="71">
        <v>1</v>
      </c>
      <c r="BB172" s="203" t="s">
        <v>291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2"/>
      <c r="B173" s="327"/>
      <c r="C173" s="327"/>
      <c r="D173" s="327"/>
      <c r="E173" s="327"/>
      <c r="F173" s="327"/>
      <c r="G173" s="327"/>
      <c r="H173" s="327"/>
      <c r="I173" s="327"/>
      <c r="J173" s="327"/>
      <c r="K173" s="327"/>
      <c r="L173" s="327"/>
      <c r="M173" s="327"/>
      <c r="N173" s="327"/>
      <c r="O173" s="333"/>
      <c r="P173" s="323" t="s">
        <v>73</v>
      </c>
      <c r="Q173" s="324"/>
      <c r="R173" s="324"/>
      <c r="S173" s="324"/>
      <c r="T173" s="324"/>
      <c r="U173" s="324"/>
      <c r="V173" s="325"/>
      <c r="W173" s="37" t="s">
        <v>70</v>
      </c>
      <c r="X173" s="318">
        <f>IFERROR(SUM(X171:X172),"0")</f>
        <v>0</v>
      </c>
      <c r="Y173" s="318">
        <f>IFERROR(SUM(Y171:Y172),"0")</f>
        <v>0</v>
      </c>
      <c r="Z173" s="318">
        <f>IFERROR(IF(Z171="",0,Z171),"0")+IFERROR(IF(Z172="",0,Z172),"0")</f>
        <v>0</v>
      </c>
      <c r="AA173" s="319"/>
      <c r="AB173" s="319"/>
      <c r="AC173" s="319"/>
    </row>
    <row r="174" spans="1:68" x14ac:dyDescent="0.2">
      <c r="A174" s="327"/>
      <c r="B174" s="327"/>
      <c r="C174" s="327"/>
      <c r="D174" s="327"/>
      <c r="E174" s="327"/>
      <c r="F174" s="327"/>
      <c r="G174" s="327"/>
      <c r="H174" s="327"/>
      <c r="I174" s="327"/>
      <c r="J174" s="327"/>
      <c r="K174" s="327"/>
      <c r="L174" s="327"/>
      <c r="M174" s="327"/>
      <c r="N174" s="327"/>
      <c r="O174" s="333"/>
      <c r="P174" s="323" t="s">
        <v>73</v>
      </c>
      <c r="Q174" s="324"/>
      <c r="R174" s="324"/>
      <c r="S174" s="324"/>
      <c r="T174" s="324"/>
      <c r="U174" s="324"/>
      <c r="V174" s="325"/>
      <c r="W174" s="37" t="s">
        <v>74</v>
      </c>
      <c r="X174" s="318">
        <f>IFERROR(SUMPRODUCT(X171:X172*H171:H172),"0")</f>
        <v>0</v>
      </c>
      <c r="Y174" s="318">
        <f>IFERROR(SUMPRODUCT(Y171:Y172*H171:H172),"0")</f>
        <v>0</v>
      </c>
      <c r="Z174" s="37"/>
      <c r="AA174" s="319"/>
      <c r="AB174" s="319"/>
      <c r="AC174" s="319"/>
    </row>
    <row r="175" spans="1:68" ht="27.75" customHeight="1" x14ac:dyDescent="0.2">
      <c r="A175" s="371" t="s">
        <v>295</v>
      </c>
      <c r="B175" s="372"/>
      <c r="C175" s="372"/>
      <c r="D175" s="372"/>
      <c r="E175" s="372"/>
      <c r="F175" s="372"/>
      <c r="G175" s="372"/>
      <c r="H175" s="372"/>
      <c r="I175" s="372"/>
      <c r="J175" s="372"/>
      <c r="K175" s="372"/>
      <c r="L175" s="372"/>
      <c r="M175" s="372"/>
      <c r="N175" s="372"/>
      <c r="O175" s="372"/>
      <c r="P175" s="372"/>
      <c r="Q175" s="372"/>
      <c r="R175" s="372"/>
      <c r="S175" s="372"/>
      <c r="T175" s="372"/>
      <c r="U175" s="372"/>
      <c r="V175" s="372"/>
      <c r="W175" s="372"/>
      <c r="X175" s="372"/>
      <c r="Y175" s="372"/>
      <c r="Z175" s="372"/>
      <c r="AA175" s="48"/>
      <c r="AB175" s="48"/>
      <c r="AC175" s="48"/>
    </row>
    <row r="176" spans="1:68" ht="16.5" customHeight="1" x14ac:dyDescent="0.25">
      <c r="A176" s="326" t="s">
        <v>296</v>
      </c>
      <c r="B176" s="327"/>
      <c r="C176" s="327"/>
      <c r="D176" s="327"/>
      <c r="E176" s="327"/>
      <c r="F176" s="327"/>
      <c r="G176" s="327"/>
      <c r="H176" s="327"/>
      <c r="I176" s="327"/>
      <c r="J176" s="327"/>
      <c r="K176" s="327"/>
      <c r="L176" s="327"/>
      <c r="M176" s="327"/>
      <c r="N176" s="327"/>
      <c r="O176" s="327"/>
      <c r="P176" s="327"/>
      <c r="Q176" s="327"/>
      <c r="R176" s="327"/>
      <c r="S176" s="327"/>
      <c r="T176" s="327"/>
      <c r="U176" s="327"/>
      <c r="V176" s="327"/>
      <c r="W176" s="327"/>
      <c r="X176" s="327"/>
      <c r="Y176" s="327"/>
      <c r="Z176" s="327"/>
      <c r="AA176" s="311"/>
      <c r="AB176" s="311"/>
      <c r="AC176" s="311"/>
    </row>
    <row r="177" spans="1:68" ht="14.25" customHeight="1" x14ac:dyDescent="0.25">
      <c r="A177" s="345" t="s">
        <v>142</v>
      </c>
      <c r="B177" s="327"/>
      <c r="C177" s="327"/>
      <c r="D177" s="327"/>
      <c r="E177" s="327"/>
      <c r="F177" s="327"/>
      <c r="G177" s="327"/>
      <c r="H177" s="327"/>
      <c r="I177" s="327"/>
      <c r="J177" s="327"/>
      <c r="K177" s="327"/>
      <c r="L177" s="327"/>
      <c r="M177" s="327"/>
      <c r="N177" s="327"/>
      <c r="O177" s="327"/>
      <c r="P177" s="327"/>
      <c r="Q177" s="327"/>
      <c r="R177" s="327"/>
      <c r="S177" s="327"/>
      <c r="T177" s="327"/>
      <c r="U177" s="327"/>
      <c r="V177" s="327"/>
      <c r="W177" s="327"/>
      <c r="X177" s="327"/>
      <c r="Y177" s="327"/>
      <c r="Z177" s="327"/>
      <c r="AA177" s="312"/>
      <c r="AB177" s="312"/>
      <c r="AC177" s="312"/>
    </row>
    <row r="178" spans="1:68" ht="27" customHeight="1" x14ac:dyDescent="0.25">
      <c r="A178" s="54" t="s">
        <v>297</v>
      </c>
      <c r="B178" s="54" t="s">
        <v>298</v>
      </c>
      <c r="C178" s="31">
        <v>4301135719</v>
      </c>
      <c r="D178" s="330">
        <v>4620207490235</v>
      </c>
      <c r="E178" s="331"/>
      <c r="F178" s="315">
        <v>0.2</v>
      </c>
      <c r="G178" s="32">
        <v>12</v>
      </c>
      <c r="H178" s="315">
        <v>2.4</v>
      </c>
      <c r="I178" s="315">
        <v>3.1036000000000001</v>
      </c>
      <c r="J178" s="32">
        <v>70</v>
      </c>
      <c r="K178" s="32" t="s">
        <v>80</v>
      </c>
      <c r="L178" s="32" t="s">
        <v>68</v>
      </c>
      <c r="M178" s="33" t="s">
        <v>69</v>
      </c>
      <c r="N178" s="33"/>
      <c r="O178" s="32">
        <v>180</v>
      </c>
      <c r="P178" s="487" t="s">
        <v>299</v>
      </c>
      <c r="Q178" s="321"/>
      <c r="R178" s="321"/>
      <c r="S178" s="321"/>
      <c r="T178" s="322"/>
      <c r="U178" s="34"/>
      <c r="V178" s="34"/>
      <c r="W178" s="35" t="s">
        <v>70</v>
      </c>
      <c r="X178" s="316">
        <v>14</v>
      </c>
      <c r="Y178" s="317">
        <f>IFERROR(IF(X178="","",X178),"")</f>
        <v>14</v>
      </c>
      <c r="Z178" s="36">
        <f>IFERROR(IF(X178="","",X178*0.01788),"")</f>
        <v>0.25031999999999999</v>
      </c>
      <c r="AA178" s="56"/>
      <c r="AB178" s="57"/>
      <c r="AC178" s="204" t="s">
        <v>300</v>
      </c>
      <c r="AG178" s="67"/>
      <c r="AJ178" s="71" t="s">
        <v>72</v>
      </c>
      <c r="AK178" s="71">
        <v>1</v>
      </c>
      <c r="BB178" s="205" t="s">
        <v>84</v>
      </c>
      <c r="BM178" s="67">
        <f>IFERROR(X178*I178,"0")</f>
        <v>43.450400000000002</v>
      </c>
      <c r="BN178" s="67">
        <f>IFERROR(Y178*I178,"0")</f>
        <v>43.450400000000002</v>
      </c>
      <c r="BO178" s="67">
        <f>IFERROR(X178/J178,"0")</f>
        <v>0.2</v>
      </c>
      <c r="BP178" s="67">
        <f>IFERROR(Y178/J178,"0")</f>
        <v>0.2</v>
      </c>
    </row>
    <row r="179" spans="1:68" x14ac:dyDescent="0.2">
      <c r="A179" s="332"/>
      <c r="B179" s="327"/>
      <c r="C179" s="327"/>
      <c r="D179" s="327"/>
      <c r="E179" s="327"/>
      <c r="F179" s="327"/>
      <c r="G179" s="327"/>
      <c r="H179" s="327"/>
      <c r="I179" s="327"/>
      <c r="J179" s="327"/>
      <c r="K179" s="327"/>
      <c r="L179" s="327"/>
      <c r="M179" s="327"/>
      <c r="N179" s="327"/>
      <c r="O179" s="333"/>
      <c r="P179" s="323" t="s">
        <v>73</v>
      </c>
      <c r="Q179" s="324"/>
      <c r="R179" s="324"/>
      <c r="S179" s="324"/>
      <c r="T179" s="324"/>
      <c r="U179" s="324"/>
      <c r="V179" s="325"/>
      <c r="W179" s="37" t="s">
        <v>70</v>
      </c>
      <c r="X179" s="318">
        <f>IFERROR(SUM(X178:X178),"0")</f>
        <v>14</v>
      </c>
      <c r="Y179" s="318">
        <f>IFERROR(SUM(Y178:Y178),"0")</f>
        <v>14</v>
      </c>
      <c r="Z179" s="318">
        <f>IFERROR(IF(Z178="",0,Z178),"0")</f>
        <v>0.25031999999999999</v>
      </c>
      <c r="AA179" s="319"/>
      <c r="AB179" s="319"/>
      <c r="AC179" s="319"/>
    </row>
    <row r="180" spans="1:68" x14ac:dyDescent="0.2">
      <c r="A180" s="327"/>
      <c r="B180" s="327"/>
      <c r="C180" s="327"/>
      <c r="D180" s="327"/>
      <c r="E180" s="327"/>
      <c r="F180" s="327"/>
      <c r="G180" s="327"/>
      <c r="H180" s="327"/>
      <c r="I180" s="327"/>
      <c r="J180" s="327"/>
      <c r="K180" s="327"/>
      <c r="L180" s="327"/>
      <c r="M180" s="327"/>
      <c r="N180" s="327"/>
      <c r="O180" s="333"/>
      <c r="P180" s="323" t="s">
        <v>73</v>
      </c>
      <c r="Q180" s="324"/>
      <c r="R180" s="324"/>
      <c r="S180" s="324"/>
      <c r="T180" s="324"/>
      <c r="U180" s="324"/>
      <c r="V180" s="325"/>
      <c r="W180" s="37" t="s">
        <v>74</v>
      </c>
      <c r="X180" s="318">
        <f>IFERROR(SUMPRODUCT(X178:X178*H178:H178),"0")</f>
        <v>33.6</v>
      </c>
      <c r="Y180" s="318">
        <f>IFERROR(SUMPRODUCT(Y178:Y178*H178:H178),"0")</f>
        <v>33.6</v>
      </c>
      <c r="Z180" s="37"/>
      <c r="AA180" s="319"/>
      <c r="AB180" s="319"/>
      <c r="AC180" s="319"/>
    </row>
    <row r="181" spans="1:68" ht="16.5" customHeight="1" x14ac:dyDescent="0.25">
      <c r="A181" s="326" t="s">
        <v>301</v>
      </c>
      <c r="B181" s="327"/>
      <c r="C181" s="327"/>
      <c r="D181" s="327"/>
      <c r="E181" s="327"/>
      <c r="F181" s="327"/>
      <c r="G181" s="327"/>
      <c r="H181" s="327"/>
      <c r="I181" s="327"/>
      <c r="J181" s="327"/>
      <c r="K181" s="327"/>
      <c r="L181" s="327"/>
      <c r="M181" s="327"/>
      <c r="N181" s="327"/>
      <c r="O181" s="327"/>
      <c r="P181" s="327"/>
      <c r="Q181" s="327"/>
      <c r="R181" s="327"/>
      <c r="S181" s="327"/>
      <c r="T181" s="327"/>
      <c r="U181" s="327"/>
      <c r="V181" s="327"/>
      <c r="W181" s="327"/>
      <c r="X181" s="327"/>
      <c r="Y181" s="327"/>
      <c r="Z181" s="327"/>
      <c r="AA181" s="311"/>
      <c r="AB181" s="311"/>
      <c r="AC181" s="311"/>
    </row>
    <row r="182" spans="1:68" ht="14.25" customHeight="1" x14ac:dyDescent="0.25">
      <c r="A182" s="345" t="s">
        <v>64</v>
      </c>
      <c r="B182" s="327"/>
      <c r="C182" s="327"/>
      <c r="D182" s="327"/>
      <c r="E182" s="327"/>
      <c r="F182" s="327"/>
      <c r="G182" s="327"/>
      <c r="H182" s="327"/>
      <c r="I182" s="327"/>
      <c r="J182" s="327"/>
      <c r="K182" s="327"/>
      <c r="L182" s="327"/>
      <c r="M182" s="327"/>
      <c r="N182" s="327"/>
      <c r="O182" s="327"/>
      <c r="P182" s="327"/>
      <c r="Q182" s="327"/>
      <c r="R182" s="327"/>
      <c r="S182" s="327"/>
      <c r="T182" s="327"/>
      <c r="U182" s="327"/>
      <c r="V182" s="327"/>
      <c r="W182" s="327"/>
      <c r="X182" s="327"/>
      <c r="Y182" s="327"/>
      <c r="Z182" s="327"/>
      <c r="AA182" s="312"/>
      <c r="AB182" s="312"/>
      <c r="AC182" s="312"/>
    </row>
    <row r="183" spans="1:68" ht="16.5" customHeight="1" x14ac:dyDescent="0.25">
      <c r="A183" s="54" t="s">
        <v>302</v>
      </c>
      <c r="B183" s="54" t="s">
        <v>303</v>
      </c>
      <c r="C183" s="31">
        <v>4301070948</v>
      </c>
      <c r="D183" s="330">
        <v>4607111037022</v>
      </c>
      <c r="E183" s="331"/>
      <c r="F183" s="315">
        <v>0.7</v>
      </c>
      <c r="G183" s="32">
        <v>8</v>
      </c>
      <c r="H183" s="315">
        <v>5.6</v>
      </c>
      <c r="I183" s="315">
        <v>5.87</v>
      </c>
      <c r="J183" s="32">
        <v>84</v>
      </c>
      <c r="K183" s="32" t="s">
        <v>67</v>
      </c>
      <c r="L183" s="32" t="s">
        <v>81</v>
      </c>
      <c r="M183" s="33" t="s">
        <v>69</v>
      </c>
      <c r="N183" s="33"/>
      <c r="O183" s="32">
        <v>180</v>
      </c>
      <c r="P183" s="49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321"/>
      <c r="R183" s="321"/>
      <c r="S183" s="321"/>
      <c r="T183" s="322"/>
      <c r="U183" s="34"/>
      <c r="V183" s="34"/>
      <c r="W183" s="35" t="s">
        <v>70</v>
      </c>
      <c r="X183" s="316">
        <v>0</v>
      </c>
      <c r="Y183" s="317">
        <f>IFERROR(IF(X183="","",X183),"")</f>
        <v>0</v>
      </c>
      <c r="Z183" s="36">
        <f>IFERROR(IF(X183="","",X183*0.0155),"")</f>
        <v>0</v>
      </c>
      <c r="AA183" s="56"/>
      <c r="AB183" s="57"/>
      <c r="AC183" s="206" t="s">
        <v>304</v>
      </c>
      <c r="AG183" s="67"/>
      <c r="AJ183" s="71" t="s">
        <v>83</v>
      </c>
      <c r="AK183" s="71">
        <v>12</v>
      </c>
      <c r="BB183" s="207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305</v>
      </c>
      <c r="B184" s="54" t="s">
        <v>306</v>
      </c>
      <c r="C184" s="31">
        <v>4301070990</v>
      </c>
      <c r="D184" s="330">
        <v>4607111038494</v>
      </c>
      <c r="E184" s="331"/>
      <c r="F184" s="315">
        <v>0.7</v>
      </c>
      <c r="G184" s="32">
        <v>8</v>
      </c>
      <c r="H184" s="315">
        <v>5.6</v>
      </c>
      <c r="I184" s="315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37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321"/>
      <c r="R184" s="321"/>
      <c r="S184" s="321"/>
      <c r="T184" s="322"/>
      <c r="U184" s="34"/>
      <c r="V184" s="34"/>
      <c r="W184" s="35" t="s">
        <v>70</v>
      </c>
      <c r="X184" s="316">
        <v>0</v>
      </c>
      <c r="Y184" s="317">
        <f>IFERROR(IF(X184="","",X184),"")</f>
        <v>0</v>
      </c>
      <c r="Z184" s="36">
        <f>IFERROR(IF(X184="","",X184*0.0155),"")</f>
        <v>0</v>
      </c>
      <c r="AA184" s="56"/>
      <c r="AB184" s="57"/>
      <c r="AC184" s="208" t="s">
        <v>307</v>
      </c>
      <c r="AG184" s="67"/>
      <c r="AJ184" s="71" t="s">
        <v>72</v>
      </c>
      <c r="AK184" s="71">
        <v>1</v>
      </c>
      <c r="BB184" s="209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308</v>
      </c>
      <c r="B185" s="54" t="s">
        <v>309</v>
      </c>
      <c r="C185" s="31">
        <v>4301070966</v>
      </c>
      <c r="D185" s="330">
        <v>4607111038135</v>
      </c>
      <c r="E185" s="331"/>
      <c r="F185" s="315">
        <v>0.7</v>
      </c>
      <c r="G185" s="32">
        <v>8</v>
      </c>
      <c r="H185" s="315">
        <v>5.6</v>
      </c>
      <c r="I185" s="315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43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321"/>
      <c r="R185" s="321"/>
      <c r="S185" s="321"/>
      <c r="T185" s="322"/>
      <c r="U185" s="34"/>
      <c r="V185" s="34"/>
      <c r="W185" s="35" t="s">
        <v>70</v>
      </c>
      <c r="X185" s="316">
        <v>0</v>
      </c>
      <c r="Y185" s="317">
        <f>IFERROR(IF(X185="","",X185),"")</f>
        <v>0</v>
      </c>
      <c r="Z185" s="36">
        <f>IFERROR(IF(X185="","",X185*0.0155),"")</f>
        <v>0</v>
      </c>
      <c r="AA185" s="56"/>
      <c r="AB185" s="57"/>
      <c r="AC185" s="210" t="s">
        <v>310</v>
      </c>
      <c r="AG185" s="67"/>
      <c r="AJ185" s="71" t="s">
        <v>72</v>
      </c>
      <c r="AK185" s="71">
        <v>1</v>
      </c>
      <c r="BB185" s="211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32"/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27"/>
      <c r="N186" s="327"/>
      <c r="O186" s="333"/>
      <c r="P186" s="323" t="s">
        <v>73</v>
      </c>
      <c r="Q186" s="324"/>
      <c r="R186" s="324"/>
      <c r="S186" s="324"/>
      <c r="T186" s="324"/>
      <c r="U186" s="324"/>
      <c r="V186" s="325"/>
      <c r="W186" s="37" t="s">
        <v>70</v>
      </c>
      <c r="X186" s="318">
        <f>IFERROR(SUM(X183:X185),"0")</f>
        <v>0</v>
      </c>
      <c r="Y186" s="318">
        <f>IFERROR(SUM(Y183:Y185),"0")</f>
        <v>0</v>
      </c>
      <c r="Z186" s="318">
        <f>IFERROR(IF(Z183="",0,Z183),"0")+IFERROR(IF(Z184="",0,Z184),"0")+IFERROR(IF(Z185="",0,Z185),"0")</f>
        <v>0</v>
      </c>
      <c r="AA186" s="319"/>
      <c r="AB186" s="319"/>
      <c r="AC186" s="319"/>
    </row>
    <row r="187" spans="1:68" x14ac:dyDescent="0.2">
      <c r="A187" s="327"/>
      <c r="B187" s="327"/>
      <c r="C187" s="327"/>
      <c r="D187" s="327"/>
      <c r="E187" s="327"/>
      <c r="F187" s="327"/>
      <c r="G187" s="327"/>
      <c r="H187" s="327"/>
      <c r="I187" s="327"/>
      <c r="J187" s="327"/>
      <c r="K187" s="327"/>
      <c r="L187" s="327"/>
      <c r="M187" s="327"/>
      <c r="N187" s="327"/>
      <c r="O187" s="333"/>
      <c r="P187" s="323" t="s">
        <v>73</v>
      </c>
      <c r="Q187" s="324"/>
      <c r="R187" s="324"/>
      <c r="S187" s="324"/>
      <c r="T187" s="324"/>
      <c r="U187" s="324"/>
      <c r="V187" s="325"/>
      <c r="W187" s="37" t="s">
        <v>74</v>
      </c>
      <c r="X187" s="318">
        <f>IFERROR(SUMPRODUCT(X183:X185*H183:H185),"0")</f>
        <v>0</v>
      </c>
      <c r="Y187" s="318">
        <f>IFERROR(SUMPRODUCT(Y183:Y185*H183:H185),"0")</f>
        <v>0</v>
      </c>
      <c r="Z187" s="37"/>
      <c r="AA187" s="319"/>
      <c r="AB187" s="319"/>
      <c r="AC187" s="319"/>
    </row>
    <row r="188" spans="1:68" ht="16.5" customHeight="1" x14ac:dyDescent="0.25">
      <c r="A188" s="326" t="s">
        <v>311</v>
      </c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27"/>
      <c r="M188" s="327"/>
      <c r="N188" s="327"/>
      <c r="O188" s="327"/>
      <c r="P188" s="327"/>
      <c r="Q188" s="327"/>
      <c r="R188" s="327"/>
      <c r="S188" s="327"/>
      <c r="T188" s="327"/>
      <c r="U188" s="327"/>
      <c r="V188" s="327"/>
      <c r="W188" s="327"/>
      <c r="X188" s="327"/>
      <c r="Y188" s="327"/>
      <c r="Z188" s="327"/>
      <c r="AA188" s="311"/>
      <c r="AB188" s="311"/>
      <c r="AC188" s="311"/>
    </row>
    <row r="189" spans="1:68" ht="14.25" customHeight="1" x14ac:dyDescent="0.25">
      <c r="A189" s="345" t="s">
        <v>64</v>
      </c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7"/>
      <c r="M189" s="327"/>
      <c r="N189" s="327"/>
      <c r="O189" s="327"/>
      <c r="P189" s="327"/>
      <c r="Q189" s="327"/>
      <c r="R189" s="327"/>
      <c r="S189" s="327"/>
      <c r="T189" s="327"/>
      <c r="U189" s="327"/>
      <c r="V189" s="327"/>
      <c r="W189" s="327"/>
      <c r="X189" s="327"/>
      <c r="Y189" s="327"/>
      <c r="Z189" s="327"/>
      <c r="AA189" s="312"/>
      <c r="AB189" s="312"/>
      <c r="AC189" s="312"/>
    </row>
    <row r="190" spans="1:68" ht="27" customHeight="1" x14ac:dyDescent="0.25">
      <c r="A190" s="54" t="s">
        <v>312</v>
      </c>
      <c r="B190" s="54" t="s">
        <v>313</v>
      </c>
      <c r="C190" s="31">
        <v>4301070996</v>
      </c>
      <c r="D190" s="330">
        <v>4607111038654</v>
      </c>
      <c r="E190" s="331"/>
      <c r="F190" s="315">
        <v>0.4</v>
      </c>
      <c r="G190" s="32">
        <v>16</v>
      </c>
      <c r="H190" s="315">
        <v>6.4</v>
      </c>
      <c r="I190" s="315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48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321"/>
      <c r="R190" s="321"/>
      <c r="S190" s="321"/>
      <c r="T190" s="322"/>
      <c r="U190" s="34"/>
      <c r="V190" s="34"/>
      <c r="W190" s="35" t="s">
        <v>70</v>
      </c>
      <c r="X190" s="316">
        <v>0</v>
      </c>
      <c r="Y190" s="317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212" t="s">
        <v>314</v>
      </c>
      <c r="AG190" s="67"/>
      <c r="AJ190" s="71" t="s">
        <v>72</v>
      </c>
      <c r="AK190" s="71">
        <v>1</v>
      </c>
      <c r="BB190" s="213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315</v>
      </c>
      <c r="B191" s="54" t="s">
        <v>316</v>
      </c>
      <c r="C191" s="31">
        <v>4301070997</v>
      </c>
      <c r="D191" s="330">
        <v>4607111038586</v>
      </c>
      <c r="E191" s="331"/>
      <c r="F191" s="315">
        <v>0.7</v>
      </c>
      <c r="G191" s="32">
        <v>8</v>
      </c>
      <c r="H191" s="315">
        <v>5.6</v>
      </c>
      <c r="I191" s="315">
        <v>5.83</v>
      </c>
      <c r="J191" s="32">
        <v>84</v>
      </c>
      <c r="K191" s="32" t="s">
        <v>67</v>
      </c>
      <c r="L191" s="32" t="s">
        <v>81</v>
      </c>
      <c r="M191" s="33" t="s">
        <v>69</v>
      </c>
      <c r="N191" s="33"/>
      <c r="O191" s="32">
        <v>180</v>
      </c>
      <c r="P191" s="50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321"/>
      <c r="R191" s="321"/>
      <c r="S191" s="321"/>
      <c r="T191" s="322"/>
      <c r="U191" s="34"/>
      <c r="V191" s="34"/>
      <c r="W191" s="35" t="s">
        <v>70</v>
      </c>
      <c r="X191" s="316">
        <v>0</v>
      </c>
      <c r="Y191" s="317">
        <f t="shared" si="18"/>
        <v>0</v>
      </c>
      <c r="Z191" s="36">
        <f t="shared" si="19"/>
        <v>0</v>
      </c>
      <c r="AA191" s="56"/>
      <c r="AB191" s="57"/>
      <c r="AC191" s="214" t="s">
        <v>314</v>
      </c>
      <c r="AG191" s="67"/>
      <c r="AJ191" s="71" t="s">
        <v>83</v>
      </c>
      <c r="AK191" s="71">
        <v>12</v>
      </c>
      <c r="BB191" s="215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customHeight="1" x14ac:dyDescent="0.25">
      <c r="A192" s="54" t="s">
        <v>317</v>
      </c>
      <c r="B192" s="54" t="s">
        <v>318</v>
      </c>
      <c r="C192" s="31">
        <v>4301070962</v>
      </c>
      <c r="D192" s="330">
        <v>4607111038609</v>
      </c>
      <c r="E192" s="331"/>
      <c r="F192" s="315">
        <v>0.4</v>
      </c>
      <c r="G192" s="32">
        <v>16</v>
      </c>
      <c r="H192" s="315">
        <v>6.4</v>
      </c>
      <c r="I192" s="315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321"/>
      <c r="R192" s="321"/>
      <c r="S192" s="321"/>
      <c r="T192" s="322"/>
      <c r="U192" s="34"/>
      <c r="V192" s="34"/>
      <c r="W192" s="35" t="s">
        <v>70</v>
      </c>
      <c r="X192" s="316">
        <v>0</v>
      </c>
      <c r="Y192" s="317">
        <f t="shared" si="18"/>
        <v>0</v>
      </c>
      <c r="Z192" s="36">
        <f t="shared" si="19"/>
        <v>0</v>
      </c>
      <c r="AA192" s="56"/>
      <c r="AB192" s="57"/>
      <c r="AC192" s="216" t="s">
        <v>319</v>
      </c>
      <c r="AG192" s="67"/>
      <c r="AJ192" s="71" t="s">
        <v>72</v>
      </c>
      <c r="AK192" s="71">
        <v>1</v>
      </c>
      <c r="BB192" s="217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320</v>
      </c>
      <c r="B193" s="54" t="s">
        <v>321</v>
      </c>
      <c r="C193" s="31">
        <v>4301070963</v>
      </c>
      <c r="D193" s="330">
        <v>4607111038630</v>
      </c>
      <c r="E193" s="331"/>
      <c r="F193" s="315">
        <v>0.7</v>
      </c>
      <c r="G193" s="32">
        <v>8</v>
      </c>
      <c r="H193" s="315">
        <v>5.6</v>
      </c>
      <c r="I193" s="315">
        <v>5.87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7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321"/>
      <c r="R193" s="321"/>
      <c r="S193" s="321"/>
      <c r="T193" s="322"/>
      <c r="U193" s="34"/>
      <c r="V193" s="34"/>
      <c r="W193" s="35" t="s">
        <v>70</v>
      </c>
      <c r="X193" s="316">
        <v>0</v>
      </c>
      <c r="Y193" s="317">
        <f t="shared" si="18"/>
        <v>0</v>
      </c>
      <c r="Z193" s="36">
        <f t="shared" si="19"/>
        <v>0</v>
      </c>
      <c r="AA193" s="56"/>
      <c r="AB193" s="57"/>
      <c r="AC193" s="218" t="s">
        <v>319</v>
      </c>
      <c r="AG193" s="67"/>
      <c r="AJ193" s="71" t="s">
        <v>83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322</v>
      </c>
      <c r="B194" s="54" t="s">
        <v>323</v>
      </c>
      <c r="C194" s="31">
        <v>4301070959</v>
      </c>
      <c r="D194" s="330">
        <v>4607111038616</v>
      </c>
      <c r="E194" s="331"/>
      <c r="F194" s="315">
        <v>0.4</v>
      </c>
      <c r="G194" s="32">
        <v>16</v>
      </c>
      <c r="H194" s="315">
        <v>6.4</v>
      </c>
      <c r="I194" s="315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321"/>
      <c r="R194" s="321"/>
      <c r="S194" s="321"/>
      <c r="T194" s="322"/>
      <c r="U194" s="34"/>
      <c r="V194" s="34"/>
      <c r="W194" s="35" t="s">
        <v>70</v>
      </c>
      <c r="X194" s="316">
        <v>0</v>
      </c>
      <c r="Y194" s="317">
        <f t="shared" si="18"/>
        <v>0</v>
      </c>
      <c r="Z194" s="36">
        <f t="shared" si="19"/>
        <v>0</v>
      </c>
      <c r="AA194" s="56"/>
      <c r="AB194" s="57"/>
      <c r="AC194" s="220" t="s">
        <v>314</v>
      </c>
      <c r="AG194" s="67"/>
      <c r="AJ194" s="71" t="s">
        <v>72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324</v>
      </c>
      <c r="B195" s="54" t="s">
        <v>325</v>
      </c>
      <c r="C195" s="31">
        <v>4301070960</v>
      </c>
      <c r="D195" s="330">
        <v>4607111038623</v>
      </c>
      <c r="E195" s="331"/>
      <c r="F195" s="315">
        <v>0.7</v>
      </c>
      <c r="G195" s="32">
        <v>8</v>
      </c>
      <c r="H195" s="315">
        <v>5.6</v>
      </c>
      <c r="I195" s="315">
        <v>5.87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2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321"/>
      <c r="R195" s="321"/>
      <c r="S195" s="321"/>
      <c r="T195" s="322"/>
      <c r="U195" s="34"/>
      <c r="V195" s="34"/>
      <c r="W195" s="35" t="s">
        <v>70</v>
      </c>
      <c r="X195" s="316">
        <v>0</v>
      </c>
      <c r="Y195" s="317">
        <f t="shared" si="18"/>
        <v>0</v>
      </c>
      <c r="Z195" s="36">
        <f t="shared" si="19"/>
        <v>0</v>
      </c>
      <c r="AA195" s="56"/>
      <c r="AB195" s="57"/>
      <c r="AC195" s="222" t="s">
        <v>314</v>
      </c>
      <c r="AG195" s="67"/>
      <c r="AJ195" s="71" t="s">
        <v>83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x14ac:dyDescent="0.2">
      <c r="A196" s="332"/>
      <c r="B196" s="327"/>
      <c r="C196" s="327"/>
      <c r="D196" s="327"/>
      <c r="E196" s="327"/>
      <c r="F196" s="327"/>
      <c r="G196" s="327"/>
      <c r="H196" s="327"/>
      <c r="I196" s="327"/>
      <c r="J196" s="327"/>
      <c r="K196" s="327"/>
      <c r="L196" s="327"/>
      <c r="M196" s="327"/>
      <c r="N196" s="327"/>
      <c r="O196" s="333"/>
      <c r="P196" s="323" t="s">
        <v>73</v>
      </c>
      <c r="Q196" s="324"/>
      <c r="R196" s="324"/>
      <c r="S196" s="324"/>
      <c r="T196" s="324"/>
      <c r="U196" s="324"/>
      <c r="V196" s="325"/>
      <c r="W196" s="37" t="s">
        <v>70</v>
      </c>
      <c r="X196" s="318">
        <f>IFERROR(SUM(X190:X195),"0")</f>
        <v>0</v>
      </c>
      <c r="Y196" s="318">
        <f>IFERROR(SUM(Y190:Y195),"0")</f>
        <v>0</v>
      </c>
      <c r="Z196" s="318">
        <f>IFERROR(IF(Z190="",0,Z190),"0")+IFERROR(IF(Z191="",0,Z191),"0")+IFERROR(IF(Z192="",0,Z192),"0")+IFERROR(IF(Z193="",0,Z193),"0")+IFERROR(IF(Z194="",0,Z194),"0")+IFERROR(IF(Z195="",0,Z195),"0")</f>
        <v>0</v>
      </c>
      <c r="AA196" s="319"/>
      <c r="AB196" s="319"/>
      <c r="AC196" s="319"/>
    </row>
    <row r="197" spans="1:68" x14ac:dyDescent="0.2">
      <c r="A197" s="327"/>
      <c r="B197" s="327"/>
      <c r="C197" s="327"/>
      <c r="D197" s="327"/>
      <c r="E197" s="327"/>
      <c r="F197" s="327"/>
      <c r="G197" s="327"/>
      <c r="H197" s="327"/>
      <c r="I197" s="327"/>
      <c r="J197" s="327"/>
      <c r="K197" s="327"/>
      <c r="L197" s="327"/>
      <c r="M197" s="327"/>
      <c r="N197" s="327"/>
      <c r="O197" s="333"/>
      <c r="P197" s="323" t="s">
        <v>73</v>
      </c>
      <c r="Q197" s="324"/>
      <c r="R197" s="324"/>
      <c r="S197" s="324"/>
      <c r="T197" s="324"/>
      <c r="U197" s="324"/>
      <c r="V197" s="325"/>
      <c r="W197" s="37" t="s">
        <v>74</v>
      </c>
      <c r="X197" s="318">
        <f>IFERROR(SUMPRODUCT(X190:X195*H190:H195),"0")</f>
        <v>0</v>
      </c>
      <c r="Y197" s="318">
        <f>IFERROR(SUMPRODUCT(Y190:Y195*H190:H195),"0")</f>
        <v>0</v>
      </c>
      <c r="Z197" s="37"/>
      <c r="AA197" s="319"/>
      <c r="AB197" s="319"/>
      <c r="AC197" s="319"/>
    </row>
    <row r="198" spans="1:68" ht="16.5" customHeight="1" x14ac:dyDescent="0.25">
      <c r="A198" s="326" t="s">
        <v>326</v>
      </c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27"/>
      <c r="N198" s="327"/>
      <c r="O198" s="327"/>
      <c r="P198" s="327"/>
      <c r="Q198" s="327"/>
      <c r="R198" s="327"/>
      <c r="S198" s="327"/>
      <c r="T198" s="327"/>
      <c r="U198" s="327"/>
      <c r="V198" s="327"/>
      <c r="W198" s="327"/>
      <c r="X198" s="327"/>
      <c r="Y198" s="327"/>
      <c r="Z198" s="327"/>
      <c r="AA198" s="311"/>
      <c r="AB198" s="311"/>
      <c r="AC198" s="311"/>
    </row>
    <row r="199" spans="1:68" ht="14.25" customHeight="1" x14ac:dyDescent="0.25">
      <c r="A199" s="345" t="s">
        <v>64</v>
      </c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327"/>
      <c r="R199" s="327"/>
      <c r="S199" s="327"/>
      <c r="T199" s="327"/>
      <c r="U199" s="327"/>
      <c r="V199" s="327"/>
      <c r="W199" s="327"/>
      <c r="X199" s="327"/>
      <c r="Y199" s="327"/>
      <c r="Z199" s="327"/>
      <c r="AA199" s="312"/>
      <c r="AB199" s="312"/>
      <c r="AC199" s="312"/>
    </row>
    <row r="200" spans="1:68" ht="27" customHeight="1" x14ac:dyDescent="0.25">
      <c r="A200" s="54" t="s">
        <v>327</v>
      </c>
      <c r="B200" s="54" t="s">
        <v>328</v>
      </c>
      <c r="C200" s="31">
        <v>4301070915</v>
      </c>
      <c r="D200" s="330">
        <v>4607111035882</v>
      </c>
      <c r="E200" s="331"/>
      <c r="F200" s="315">
        <v>0.43</v>
      </c>
      <c r="G200" s="32">
        <v>16</v>
      </c>
      <c r="H200" s="315">
        <v>6.88</v>
      </c>
      <c r="I200" s="31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1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321"/>
      <c r="R200" s="321"/>
      <c r="S200" s="321"/>
      <c r="T200" s="322"/>
      <c r="U200" s="34"/>
      <c r="V200" s="34"/>
      <c r="W200" s="35" t="s">
        <v>70</v>
      </c>
      <c r="X200" s="316">
        <v>0</v>
      </c>
      <c r="Y200" s="317">
        <f>IFERROR(IF(X200="","",X200),"")</f>
        <v>0</v>
      </c>
      <c r="Z200" s="36">
        <f>IFERROR(IF(X200="","",X200*0.0155),"")</f>
        <v>0</v>
      </c>
      <c r="AA200" s="56"/>
      <c r="AB200" s="57"/>
      <c r="AC200" s="224" t="s">
        <v>329</v>
      </c>
      <c r="AG200" s="67"/>
      <c r="AJ200" s="71" t="s">
        <v>72</v>
      </c>
      <c r="AK200" s="71">
        <v>1</v>
      </c>
      <c r="BB200" s="225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330</v>
      </c>
      <c r="B201" s="54" t="s">
        <v>331</v>
      </c>
      <c r="C201" s="31">
        <v>4301070921</v>
      </c>
      <c r="D201" s="330">
        <v>4607111035905</v>
      </c>
      <c r="E201" s="331"/>
      <c r="F201" s="315">
        <v>0.9</v>
      </c>
      <c r="G201" s="32">
        <v>8</v>
      </c>
      <c r="H201" s="315">
        <v>7.2</v>
      </c>
      <c r="I201" s="315">
        <v>7.47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8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321"/>
      <c r="R201" s="321"/>
      <c r="S201" s="321"/>
      <c r="T201" s="322"/>
      <c r="U201" s="34"/>
      <c r="V201" s="34"/>
      <c r="W201" s="35" t="s">
        <v>70</v>
      </c>
      <c r="X201" s="316">
        <v>0</v>
      </c>
      <c r="Y201" s="317">
        <f>IFERROR(IF(X201="","",X201),"")</f>
        <v>0</v>
      </c>
      <c r="Z201" s="36">
        <f>IFERROR(IF(X201="","",X201*0.0155),"")</f>
        <v>0</v>
      </c>
      <c r="AA201" s="56"/>
      <c r="AB201" s="57"/>
      <c r="AC201" s="226" t="s">
        <v>329</v>
      </c>
      <c r="AG201" s="67"/>
      <c r="AJ201" s="71" t="s">
        <v>83</v>
      </c>
      <c r="AK201" s="71">
        <v>12</v>
      </c>
      <c r="BB201" s="227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332</v>
      </c>
      <c r="B202" s="54" t="s">
        <v>333</v>
      </c>
      <c r="C202" s="31">
        <v>4301070917</v>
      </c>
      <c r="D202" s="330">
        <v>4607111035912</v>
      </c>
      <c r="E202" s="331"/>
      <c r="F202" s="315">
        <v>0.43</v>
      </c>
      <c r="G202" s="32">
        <v>16</v>
      </c>
      <c r="H202" s="315">
        <v>6.88</v>
      </c>
      <c r="I202" s="31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2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21"/>
      <c r="R202" s="321"/>
      <c r="S202" s="321"/>
      <c r="T202" s="322"/>
      <c r="U202" s="34"/>
      <c r="V202" s="34"/>
      <c r="W202" s="35" t="s">
        <v>70</v>
      </c>
      <c r="X202" s="316">
        <v>0</v>
      </c>
      <c r="Y202" s="317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334</v>
      </c>
      <c r="AG202" s="67"/>
      <c r="AJ202" s="71" t="s">
        <v>72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335</v>
      </c>
      <c r="B203" s="54" t="s">
        <v>336</v>
      </c>
      <c r="C203" s="31">
        <v>4301070920</v>
      </c>
      <c r="D203" s="330">
        <v>4607111035929</v>
      </c>
      <c r="E203" s="331"/>
      <c r="F203" s="315">
        <v>0.9</v>
      </c>
      <c r="G203" s="32">
        <v>8</v>
      </c>
      <c r="H203" s="315">
        <v>7.2</v>
      </c>
      <c r="I203" s="315">
        <v>7.47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4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21"/>
      <c r="R203" s="321"/>
      <c r="S203" s="321"/>
      <c r="T203" s="322"/>
      <c r="U203" s="34"/>
      <c r="V203" s="34"/>
      <c r="W203" s="35" t="s">
        <v>70</v>
      </c>
      <c r="X203" s="316">
        <v>0</v>
      </c>
      <c r="Y203" s="317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334</v>
      </c>
      <c r="AG203" s="67"/>
      <c r="AJ203" s="71" t="s">
        <v>83</v>
      </c>
      <c r="AK203" s="71">
        <v>12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332"/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33"/>
      <c r="P204" s="323" t="s">
        <v>73</v>
      </c>
      <c r="Q204" s="324"/>
      <c r="R204" s="324"/>
      <c r="S204" s="324"/>
      <c r="T204" s="324"/>
      <c r="U204" s="324"/>
      <c r="V204" s="325"/>
      <c r="W204" s="37" t="s">
        <v>70</v>
      </c>
      <c r="X204" s="318">
        <f>IFERROR(SUM(X200:X203),"0")</f>
        <v>0</v>
      </c>
      <c r="Y204" s="318">
        <f>IFERROR(SUM(Y200:Y203),"0")</f>
        <v>0</v>
      </c>
      <c r="Z204" s="318">
        <f>IFERROR(IF(Z200="",0,Z200),"0")+IFERROR(IF(Z201="",0,Z201),"0")+IFERROR(IF(Z202="",0,Z202),"0")+IFERROR(IF(Z203="",0,Z203),"0")</f>
        <v>0</v>
      </c>
      <c r="AA204" s="319"/>
      <c r="AB204" s="319"/>
      <c r="AC204" s="319"/>
    </row>
    <row r="205" spans="1:68" x14ac:dyDescent="0.2">
      <c r="A205" s="327"/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7"/>
      <c r="N205" s="327"/>
      <c r="O205" s="333"/>
      <c r="P205" s="323" t="s">
        <v>73</v>
      </c>
      <c r="Q205" s="324"/>
      <c r="R205" s="324"/>
      <c r="S205" s="324"/>
      <c r="T205" s="324"/>
      <c r="U205" s="324"/>
      <c r="V205" s="325"/>
      <c r="W205" s="37" t="s">
        <v>74</v>
      </c>
      <c r="X205" s="318">
        <f>IFERROR(SUMPRODUCT(X200:X203*H200:H203),"0")</f>
        <v>0</v>
      </c>
      <c r="Y205" s="318">
        <f>IFERROR(SUMPRODUCT(Y200:Y203*H200:H203),"0")</f>
        <v>0</v>
      </c>
      <c r="Z205" s="37"/>
      <c r="AA205" s="319"/>
      <c r="AB205" s="319"/>
      <c r="AC205" s="319"/>
    </row>
    <row r="206" spans="1:68" ht="16.5" customHeight="1" x14ac:dyDescent="0.25">
      <c r="A206" s="326" t="s">
        <v>337</v>
      </c>
      <c r="B206" s="327"/>
      <c r="C206" s="327"/>
      <c r="D206" s="327"/>
      <c r="E206" s="327"/>
      <c r="F206" s="327"/>
      <c r="G206" s="327"/>
      <c r="H206" s="327"/>
      <c r="I206" s="327"/>
      <c r="J206" s="327"/>
      <c r="K206" s="327"/>
      <c r="L206" s="327"/>
      <c r="M206" s="327"/>
      <c r="N206" s="327"/>
      <c r="O206" s="327"/>
      <c r="P206" s="327"/>
      <c r="Q206" s="327"/>
      <c r="R206" s="327"/>
      <c r="S206" s="327"/>
      <c r="T206" s="327"/>
      <c r="U206" s="327"/>
      <c r="V206" s="327"/>
      <c r="W206" s="327"/>
      <c r="X206" s="327"/>
      <c r="Y206" s="327"/>
      <c r="Z206" s="327"/>
      <c r="AA206" s="311"/>
      <c r="AB206" s="311"/>
      <c r="AC206" s="311"/>
    </row>
    <row r="207" spans="1:68" ht="14.25" customHeight="1" x14ac:dyDescent="0.25">
      <c r="A207" s="345" t="s">
        <v>64</v>
      </c>
      <c r="B207" s="327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27"/>
      <c r="N207" s="327"/>
      <c r="O207" s="327"/>
      <c r="P207" s="327"/>
      <c r="Q207" s="327"/>
      <c r="R207" s="327"/>
      <c r="S207" s="327"/>
      <c r="T207" s="327"/>
      <c r="U207" s="327"/>
      <c r="V207" s="327"/>
      <c r="W207" s="327"/>
      <c r="X207" s="327"/>
      <c r="Y207" s="327"/>
      <c r="Z207" s="327"/>
      <c r="AA207" s="312"/>
      <c r="AB207" s="312"/>
      <c r="AC207" s="312"/>
    </row>
    <row r="208" spans="1:68" ht="16.5" customHeight="1" x14ac:dyDescent="0.25">
      <c r="A208" s="54" t="s">
        <v>338</v>
      </c>
      <c r="B208" s="54" t="s">
        <v>339</v>
      </c>
      <c r="C208" s="31">
        <v>4301070912</v>
      </c>
      <c r="D208" s="330">
        <v>4607111037213</v>
      </c>
      <c r="E208" s="331"/>
      <c r="F208" s="315">
        <v>0.4</v>
      </c>
      <c r="G208" s="32">
        <v>8</v>
      </c>
      <c r="H208" s="315">
        <v>3.2</v>
      </c>
      <c r="I208" s="315">
        <v>3.44</v>
      </c>
      <c r="J208" s="32">
        <v>144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7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8" s="321"/>
      <c r="R208" s="321"/>
      <c r="S208" s="321"/>
      <c r="T208" s="322"/>
      <c r="U208" s="34"/>
      <c r="V208" s="34"/>
      <c r="W208" s="35" t="s">
        <v>70</v>
      </c>
      <c r="X208" s="316">
        <v>0</v>
      </c>
      <c r="Y208" s="317">
        <f>IFERROR(IF(X208="","",X208),"")</f>
        <v>0</v>
      </c>
      <c r="Z208" s="36">
        <f>IFERROR(IF(X208="","",X208*0.00866),"")</f>
        <v>0</v>
      </c>
      <c r="AA208" s="56"/>
      <c r="AB208" s="57"/>
      <c r="AC208" s="232" t="s">
        <v>340</v>
      </c>
      <c r="AG208" s="67"/>
      <c r="AJ208" s="71" t="s">
        <v>72</v>
      </c>
      <c r="AK208" s="71">
        <v>1</v>
      </c>
      <c r="BB208" s="23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32"/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33"/>
      <c r="P209" s="323" t="s">
        <v>73</v>
      </c>
      <c r="Q209" s="324"/>
      <c r="R209" s="324"/>
      <c r="S209" s="324"/>
      <c r="T209" s="324"/>
      <c r="U209" s="324"/>
      <c r="V209" s="325"/>
      <c r="W209" s="37" t="s">
        <v>70</v>
      </c>
      <c r="X209" s="318">
        <f>IFERROR(SUM(X208:X208),"0")</f>
        <v>0</v>
      </c>
      <c r="Y209" s="318">
        <f>IFERROR(SUM(Y208:Y208),"0")</f>
        <v>0</v>
      </c>
      <c r="Z209" s="318">
        <f>IFERROR(IF(Z208="",0,Z208),"0")</f>
        <v>0</v>
      </c>
      <c r="AA209" s="319"/>
      <c r="AB209" s="319"/>
      <c r="AC209" s="319"/>
    </row>
    <row r="210" spans="1:68" x14ac:dyDescent="0.2">
      <c r="A210" s="327"/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33"/>
      <c r="P210" s="323" t="s">
        <v>73</v>
      </c>
      <c r="Q210" s="324"/>
      <c r="R210" s="324"/>
      <c r="S210" s="324"/>
      <c r="T210" s="324"/>
      <c r="U210" s="324"/>
      <c r="V210" s="325"/>
      <c r="W210" s="37" t="s">
        <v>74</v>
      </c>
      <c r="X210" s="318">
        <f>IFERROR(SUMPRODUCT(X208:X208*H208:H208),"0")</f>
        <v>0</v>
      </c>
      <c r="Y210" s="318">
        <f>IFERROR(SUMPRODUCT(Y208:Y208*H208:H208),"0")</f>
        <v>0</v>
      </c>
      <c r="Z210" s="37"/>
      <c r="AA210" s="319"/>
      <c r="AB210" s="319"/>
      <c r="AC210" s="319"/>
    </row>
    <row r="211" spans="1:68" ht="16.5" customHeight="1" x14ac:dyDescent="0.25">
      <c r="A211" s="326" t="s">
        <v>341</v>
      </c>
      <c r="B211" s="327"/>
      <c r="C211" s="327"/>
      <c r="D211" s="327"/>
      <c r="E211" s="327"/>
      <c r="F211" s="327"/>
      <c r="G211" s="327"/>
      <c r="H211" s="327"/>
      <c r="I211" s="327"/>
      <c r="J211" s="327"/>
      <c r="K211" s="327"/>
      <c r="L211" s="327"/>
      <c r="M211" s="327"/>
      <c r="N211" s="327"/>
      <c r="O211" s="327"/>
      <c r="P211" s="327"/>
      <c r="Q211" s="327"/>
      <c r="R211" s="327"/>
      <c r="S211" s="327"/>
      <c r="T211" s="327"/>
      <c r="U211" s="327"/>
      <c r="V211" s="327"/>
      <c r="W211" s="327"/>
      <c r="X211" s="327"/>
      <c r="Y211" s="327"/>
      <c r="Z211" s="327"/>
      <c r="AA211" s="311"/>
      <c r="AB211" s="311"/>
      <c r="AC211" s="311"/>
    </row>
    <row r="212" spans="1:68" ht="14.25" customHeight="1" x14ac:dyDescent="0.25">
      <c r="A212" s="345" t="s">
        <v>284</v>
      </c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7"/>
      <c r="N212" s="327"/>
      <c r="O212" s="327"/>
      <c r="P212" s="327"/>
      <c r="Q212" s="327"/>
      <c r="R212" s="327"/>
      <c r="S212" s="327"/>
      <c r="T212" s="327"/>
      <c r="U212" s="327"/>
      <c r="V212" s="327"/>
      <c r="W212" s="327"/>
      <c r="X212" s="327"/>
      <c r="Y212" s="327"/>
      <c r="Z212" s="327"/>
      <c r="AA212" s="312"/>
      <c r="AB212" s="312"/>
      <c r="AC212" s="312"/>
    </row>
    <row r="213" spans="1:68" ht="27" customHeight="1" x14ac:dyDescent="0.25">
      <c r="A213" s="54" t="s">
        <v>342</v>
      </c>
      <c r="B213" s="54" t="s">
        <v>343</v>
      </c>
      <c r="C213" s="31">
        <v>4301051320</v>
      </c>
      <c r="D213" s="330">
        <v>4680115881334</v>
      </c>
      <c r="E213" s="331"/>
      <c r="F213" s="315">
        <v>0.33</v>
      </c>
      <c r="G213" s="32">
        <v>6</v>
      </c>
      <c r="H213" s="315">
        <v>1.98</v>
      </c>
      <c r="I213" s="315">
        <v>2.27</v>
      </c>
      <c r="J213" s="32">
        <v>156</v>
      </c>
      <c r="K213" s="32" t="s">
        <v>67</v>
      </c>
      <c r="L213" s="32" t="s">
        <v>68</v>
      </c>
      <c r="M213" s="33" t="s">
        <v>288</v>
      </c>
      <c r="N213" s="33"/>
      <c r="O213" s="32">
        <v>365</v>
      </c>
      <c r="P213" s="33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21"/>
      <c r="R213" s="321"/>
      <c r="S213" s="321"/>
      <c r="T213" s="322"/>
      <c r="U213" s="34"/>
      <c r="V213" s="34"/>
      <c r="W213" s="35" t="s">
        <v>70</v>
      </c>
      <c r="X213" s="316">
        <v>0</v>
      </c>
      <c r="Y213" s="317">
        <f>IFERROR(IF(X213="","",X213),"")</f>
        <v>0</v>
      </c>
      <c r="Z213" s="36">
        <f>IFERROR(IF(X213="","",X213*0.00753),"")</f>
        <v>0</v>
      </c>
      <c r="AA213" s="56"/>
      <c r="AB213" s="57"/>
      <c r="AC213" s="234" t="s">
        <v>344</v>
      </c>
      <c r="AG213" s="67"/>
      <c r="AJ213" s="71" t="s">
        <v>72</v>
      </c>
      <c r="AK213" s="71">
        <v>1</v>
      </c>
      <c r="BB213" s="235" t="s">
        <v>291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32"/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33"/>
      <c r="P214" s="323" t="s">
        <v>73</v>
      </c>
      <c r="Q214" s="324"/>
      <c r="R214" s="324"/>
      <c r="S214" s="324"/>
      <c r="T214" s="324"/>
      <c r="U214" s="324"/>
      <c r="V214" s="325"/>
      <c r="W214" s="37" t="s">
        <v>70</v>
      </c>
      <c r="X214" s="318">
        <f>IFERROR(SUM(X213:X213),"0")</f>
        <v>0</v>
      </c>
      <c r="Y214" s="318">
        <f>IFERROR(SUM(Y213:Y213),"0")</f>
        <v>0</v>
      </c>
      <c r="Z214" s="318">
        <f>IFERROR(IF(Z213="",0,Z213),"0")</f>
        <v>0</v>
      </c>
      <c r="AA214" s="319"/>
      <c r="AB214" s="319"/>
      <c r="AC214" s="319"/>
    </row>
    <row r="215" spans="1:68" x14ac:dyDescent="0.2">
      <c r="A215" s="327"/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7"/>
      <c r="N215" s="327"/>
      <c r="O215" s="333"/>
      <c r="P215" s="323" t="s">
        <v>73</v>
      </c>
      <c r="Q215" s="324"/>
      <c r="R215" s="324"/>
      <c r="S215" s="324"/>
      <c r="T215" s="324"/>
      <c r="U215" s="324"/>
      <c r="V215" s="325"/>
      <c r="W215" s="37" t="s">
        <v>74</v>
      </c>
      <c r="X215" s="318">
        <f>IFERROR(SUMPRODUCT(X213:X213*H213:H213),"0")</f>
        <v>0</v>
      </c>
      <c r="Y215" s="318">
        <f>IFERROR(SUMPRODUCT(Y213:Y213*H213:H213),"0")</f>
        <v>0</v>
      </c>
      <c r="Z215" s="37"/>
      <c r="AA215" s="319"/>
      <c r="AB215" s="319"/>
      <c r="AC215" s="319"/>
    </row>
    <row r="216" spans="1:68" ht="16.5" customHeight="1" x14ac:dyDescent="0.25">
      <c r="A216" s="326" t="s">
        <v>345</v>
      </c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27"/>
      <c r="M216" s="327"/>
      <c r="N216" s="327"/>
      <c r="O216" s="327"/>
      <c r="P216" s="327"/>
      <c r="Q216" s="327"/>
      <c r="R216" s="327"/>
      <c r="S216" s="327"/>
      <c r="T216" s="327"/>
      <c r="U216" s="327"/>
      <c r="V216" s="327"/>
      <c r="W216" s="327"/>
      <c r="X216" s="327"/>
      <c r="Y216" s="327"/>
      <c r="Z216" s="327"/>
      <c r="AA216" s="311"/>
      <c r="AB216" s="311"/>
      <c r="AC216" s="311"/>
    </row>
    <row r="217" spans="1:68" ht="14.25" customHeight="1" x14ac:dyDescent="0.25">
      <c r="A217" s="345" t="s">
        <v>64</v>
      </c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27"/>
      <c r="N217" s="327"/>
      <c r="O217" s="327"/>
      <c r="P217" s="327"/>
      <c r="Q217" s="327"/>
      <c r="R217" s="327"/>
      <c r="S217" s="327"/>
      <c r="T217" s="327"/>
      <c r="U217" s="327"/>
      <c r="V217" s="327"/>
      <c r="W217" s="327"/>
      <c r="X217" s="327"/>
      <c r="Y217" s="327"/>
      <c r="Z217" s="327"/>
      <c r="AA217" s="312"/>
      <c r="AB217" s="312"/>
      <c r="AC217" s="312"/>
    </row>
    <row r="218" spans="1:68" ht="16.5" customHeight="1" x14ac:dyDescent="0.25">
      <c r="A218" s="54" t="s">
        <v>346</v>
      </c>
      <c r="B218" s="54" t="s">
        <v>347</v>
      </c>
      <c r="C218" s="31">
        <v>4301071063</v>
      </c>
      <c r="D218" s="330">
        <v>4607111039019</v>
      </c>
      <c r="E218" s="331"/>
      <c r="F218" s="315">
        <v>0.43</v>
      </c>
      <c r="G218" s="32">
        <v>16</v>
      </c>
      <c r="H218" s="315">
        <v>6.88</v>
      </c>
      <c r="I218" s="315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7" t="s">
        <v>348</v>
      </c>
      <c r="Q218" s="321"/>
      <c r="R218" s="321"/>
      <c r="S218" s="321"/>
      <c r="T218" s="322"/>
      <c r="U218" s="34"/>
      <c r="V218" s="34"/>
      <c r="W218" s="35" t="s">
        <v>70</v>
      </c>
      <c r="X218" s="316">
        <v>0</v>
      </c>
      <c r="Y218" s="317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349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350</v>
      </c>
      <c r="B219" s="54" t="s">
        <v>351</v>
      </c>
      <c r="C219" s="31">
        <v>4301071000</v>
      </c>
      <c r="D219" s="330">
        <v>4607111038708</v>
      </c>
      <c r="E219" s="331"/>
      <c r="F219" s="315">
        <v>0.8</v>
      </c>
      <c r="G219" s="32">
        <v>8</v>
      </c>
      <c r="H219" s="315">
        <v>6.4</v>
      </c>
      <c r="I219" s="315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3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21"/>
      <c r="R219" s="321"/>
      <c r="S219" s="321"/>
      <c r="T219" s="322"/>
      <c r="U219" s="34"/>
      <c r="V219" s="34"/>
      <c r="W219" s="35" t="s">
        <v>70</v>
      </c>
      <c r="X219" s="316">
        <v>0</v>
      </c>
      <c r="Y219" s="317">
        <f>IFERROR(IF(X219="","",X219),"")</f>
        <v>0</v>
      </c>
      <c r="Z219" s="36">
        <f>IFERROR(IF(X219="","",X219*0.0155),"")</f>
        <v>0</v>
      </c>
      <c r="AA219" s="56"/>
      <c r="AB219" s="57"/>
      <c r="AC219" s="238" t="s">
        <v>349</v>
      </c>
      <c r="AG219" s="67"/>
      <c r="AJ219" s="71" t="s">
        <v>72</v>
      </c>
      <c r="AK219" s="71">
        <v>1</v>
      </c>
      <c r="BB219" s="239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332"/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7"/>
      <c r="M220" s="327"/>
      <c r="N220" s="327"/>
      <c r="O220" s="333"/>
      <c r="P220" s="323" t="s">
        <v>73</v>
      </c>
      <c r="Q220" s="324"/>
      <c r="R220" s="324"/>
      <c r="S220" s="324"/>
      <c r="T220" s="324"/>
      <c r="U220" s="324"/>
      <c r="V220" s="325"/>
      <c r="W220" s="37" t="s">
        <v>70</v>
      </c>
      <c r="X220" s="318">
        <f>IFERROR(SUM(X218:X219),"0")</f>
        <v>0</v>
      </c>
      <c r="Y220" s="318">
        <f>IFERROR(SUM(Y218:Y219),"0")</f>
        <v>0</v>
      </c>
      <c r="Z220" s="318">
        <f>IFERROR(IF(Z218="",0,Z218),"0")+IFERROR(IF(Z219="",0,Z219),"0")</f>
        <v>0</v>
      </c>
      <c r="AA220" s="319"/>
      <c r="AB220" s="319"/>
      <c r="AC220" s="319"/>
    </row>
    <row r="221" spans="1:68" x14ac:dyDescent="0.2">
      <c r="A221" s="327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33"/>
      <c r="P221" s="323" t="s">
        <v>73</v>
      </c>
      <c r="Q221" s="324"/>
      <c r="R221" s="324"/>
      <c r="S221" s="324"/>
      <c r="T221" s="324"/>
      <c r="U221" s="324"/>
      <c r="V221" s="325"/>
      <c r="W221" s="37" t="s">
        <v>74</v>
      </c>
      <c r="X221" s="318">
        <f>IFERROR(SUMPRODUCT(X218:X219*H218:H219),"0")</f>
        <v>0</v>
      </c>
      <c r="Y221" s="318">
        <f>IFERROR(SUMPRODUCT(Y218:Y219*H218:H219),"0")</f>
        <v>0</v>
      </c>
      <c r="Z221" s="37"/>
      <c r="AA221" s="319"/>
      <c r="AB221" s="319"/>
      <c r="AC221" s="319"/>
    </row>
    <row r="222" spans="1:68" ht="27.75" customHeight="1" x14ac:dyDescent="0.2">
      <c r="A222" s="371" t="s">
        <v>352</v>
      </c>
      <c r="B222" s="372"/>
      <c r="C222" s="372"/>
      <c r="D222" s="372"/>
      <c r="E222" s="372"/>
      <c r="F222" s="372"/>
      <c r="G222" s="372"/>
      <c r="H222" s="372"/>
      <c r="I222" s="372"/>
      <c r="J222" s="372"/>
      <c r="K222" s="372"/>
      <c r="L222" s="372"/>
      <c r="M222" s="372"/>
      <c r="N222" s="372"/>
      <c r="O222" s="372"/>
      <c r="P222" s="372"/>
      <c r="Q222" s="372"/>
      <c r="R222" s="372"/>
      <c r="S222" s="372"/>
      <c r="T222" s="372"/>
      <c r="U222" s="372"/>
      <c r="V222" s="372"/>
      <c r="W222" s="372"/>
      <c r="X222" s="372"/>
      <c r="Y222" s="372"/>
      <c r="Z222" s="372"/>
      <c r="AA222" s="48"/>
      <c r="AB222" s="48"/>
      <c r="AC222" s="48"/>
    </row>
    <row r="223" spans="1:68" ht="16.5" customHeight="1" x14ac:dyDescent="0.25">
      <c r="A223" s="326" t="s">
        <v>353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27"/>
      <c r="Z223" s="327"/>
      <c r="AA223" s="311"/>
      <c r="AB223" s="311"/>
      <c r="AC223" s="311"/>
    </row>
    <row r="224" spans="1:68" ht="14.25" customHeight="1" x14ac:dyDescent="0.25">
      <c r="A224" s="345" t="s">
        <v>64</v>
      </c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27"/>
      <c r="P224" s="327"/>
      <c r="Q224" s="327"/>
      <c r="R224" s="327"/>
      <c r="S224" s="327"/>
      <c r="T224" s="327"/>
      <c r="U224" s="327"/>
      <c r="V224" s="327"/>
      <c r="W224" s="327"/>
      <c r="X224" s="327"/>
      <c r="Y224" s="327"/>
      <c r="Z224" s="327"/>
      <c r="AA224" s="312"/>
      <c r="AB224" s="312"/>
      <c r="AC224" s="312"/>
    </row>
    <row r="225" spans="1:68" ht="27" customHeight="1" x14ac:dyDescent="0.25">
      <c r="A225" s="54" t="s">
        <v>354</v>
      </c>
      <c r="B225" s="54" t="s">
        <v>355</v>
      </c>
      <c r="C225" s="31">
        <v>4301071036</v>
      </c>
      <c r="D225" s="330">
        <v>4607111036162</v>
      </c>
      <c r="E225" s="331"/>
      <c r="F225" s="315">
        <v>0.8</v>
      </c>
      <c r="G225" s="32">
        <v>8</v>
      </c>
      <c r="H225" s="315">
        <v>6.4</v>
      </c>
      <c r="I225" s="315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79" t="s">
        <v>356</v>
      </c>
      <c r="Q225" s="321"/>
      <c r="R225" s="321"/>
      <c r="S225" s="321"/>
      <c r="T225" s="322"/>
      <c r="U225" s="34"/>
      <c r="V225" s="34"/>
      <c r="W225" s="35" t="s">
        <v>70</v>
      </c>
      <c r="X225" s="316">
        <v>0</v>
      </c>
      <c r="Y225" s="317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357</v>
      </c>
      <c r="AG225" s="67"/>
      <c r="AJ225" s="71" t="s">
        <v>72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32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7"/>
      <c r="N226" s="327"/>
      <c r="O226" s="333"/>
      <c r="P226" s="323" t="s">
        <v>73</v>
      </c>
      <c r="Q226" s="324"/>
      <c r="R226" s="324"/>
      <c r="S226" s="324"/>
      <c r="T226" s="324"/>
      <c r="U226" s="324"/>
      <c r="V226" s="325"/>
      <c r="W226" s="37" t="s">
        <v>70</v>
      </c>
      <c r="X226" s="318">
        <f>IFERROR(SUM(X225:X225),"0")</f>
        <v>0</v>
      </c>
      <c r="Y226" s="318">
        <f>IFERROR(SUM(Y225:Y225),"0")</f>
        <v>0</v>
      </c>
      <c r="Z226" s="318">
        <f>IFERROR(IF(Z225="",0,Z225),"0")</f>
        <v>0</v>
      </c>
      <c r="AA226" s="319"/>
      <c r="AB226" s="319"/>
      <c r="AC226" s="319"/>
    </row>
    <row r="227" spans="1:68" x14ac:dyDescent="0.2">
      <c r="A227" s="327"/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33"/>
      <c r="P227" s="323" t="s">
        <v>73</v>
      </c>
      <c r="Q227" s="324"/>
      <c r="R227" s="324"/>
      <c r="S227" s="324"/>
      <c r="T227" s="324"/>
      <c r="U227" s="324"/>
      <c r="V227" s="325"/>
      <c r="W227" s="37" t="s">
        <v>74</v>
      </c>
      <c r="X227" s="318">
        <f>IFERROR(SUMPRODUCT(X225:X225*H225:H225),"0")</f>
        <v>0</v>
      </c>
      <c r="Y227" s="318">
        <f>IFERROR(SUMPRODUCT(Y225:Y225*H225:H225),"0")</f>
        <v>0</v>
      </c>
      <c r="Z227" s="37"/>
      <c r="AA227" s="319"/>
      <c r="AB227" s="319"/>
      <c r="AC227" s="319"/>
    </row>
    <row r="228" spans="1:68" ht="27.75" customHeight="1" x14ac:dyDescent="0.2">
      <c r="A228" s="371" t="s">
        <v>358</v>
      </c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2"/>
      <c r="O228" s="372"/>
      <c r="P228" s="372"/>
      <c r="Q228" s="372"/>
      <c r="R228" s="372"/>
      <c r="S228" s="372"/>
      <c r="T228" s="372"/>
      <c r="U228" s="372"/>
      <c r="V228" s="372"/>
      <c r="W228" s="372"/>
      <c r="X228" s="372"/>
      <c r="Y228" s="372"/>
      <c r="Z228" s="372"/>
      <c r="AA228" s="48"/>
      <c r="AB228" s="48"/>
      <c r="AC228" s="48"/>
    </row>
    <row r="229" spans="1:68" ht="16.5" customHeight="1" x14ac:dyDescent="0.25">
      <c r="A229" s="326" t="s">
        <v>359</v>
      </c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27"/>
      <c r="P229" s="327"/>
      <c r="Q229" s="327"/>
      <c r="R229" s="327"/>
      <c r="S229" s="327"/>
      <c r="T229" s="327"/>
      <c r="U229" s="327"/>
      <c r="V229" s="327"/>
      <c r="W229" s="327"/>
      <c r="X229" s="327"/>
      <c r="Y229" s="327"/>
      <c r="Z229" s="327"/>
      <c r="AA229" s="311"/>
      <c r="AB229" s="311"/>
      <c r="AC229" s="311"/>
    </row>
    <row r="230" spans="1:68" ht="14.25" customHeight="1" x14ac:dyDescent="0.25">
      <c r="A230" s="345" t="s">
        <v>64</v>
      </c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27"/>
      <c r="P230" s="327"/>
      <c r="Q230" s="327"/>
      <c r="R230" s="327"/>
      <c r="S230" s="327"/>
      <c r="T230" s="327"/>
      <c r="U230" s="327"/>
      <c r="V230" s="327"/>
      <c r="W230" s="327"/>
      <c r="X230" s="327"/>
      <c r="Y230" s="327"/>
      <c r="Z230" s="327"/>
      <c r="AA230" s="312"/>
      <c r="AB230" s="312"/>
      <c r="AC230" s="312"/>
    </row>
    <row r="231" spans="1:68" ht="27" customHeight="1" x14ac:dyDescent="0.25">
      <c r="A231" s="54" t="s">
        <v>360</v>
      </c>
      <c r="B231" s="54" t="s">
        <v>361</v>
      </c>
      <c r="C231" s="31">
        <v>4301071029</v>
      </c>
      <c r="D231" s="330">
        <v>4607111035899</v>
      </c>
      <c r="E231" s="331"/>
      <c r="F231" s="315">
        <v>1</v>
      </c>
      <c r="G231" s="32">
        <v>5</v>
      </c>
      <c r="H231" s="315">
        <v>5</v>
      </c>
      <c r="I231" s="315">
        <v>5.2619999999999996</v>
      </c>
      <c r="J231" s="32">
        <v>84</v>
      </c>
      <c r="K231" s="32" t="s">
        <v>67</v>
      </c>
      <c r="L231" s="32" t="s">
        <v>89</v>
      </c>
      <c r="M231" s="33" t="s">
        <v>69</v>
      </c>
      <c r="N231" s="33"/>
      <c r="O231" s="32">
        <v>180</v>
      </c>
      <c r="P231" s="32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21"/>
      <c r="R231" s="321"/>
      <c r="S231" s="321"/>
      <c r="T231" s="322"/>
      <c r="U231" s="34"/>
      <c r="V231" s="34"/>
      <c r="W231" s="35" t="s">
        <v>70</v>
      </c>
      <c r="X231" s="316">
        <v>0</v>
      </c>
      <c r="Y231" s="317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262</v>
      </c>
      <c r="AG231" s="67"/>
      <c r="AJ231" s="71" t="s">
        <v>90</v>
      </c>
      <c r="AK231" s="71">
        <v>84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362</v>
      </c>
      <c r="B232" s="54" t="s">
        <v>363</v>
      </c>
      <c r="C232" s="31">
        <v>4301070991</v>
      </c>
      <c r="D232" s="330">
        <v>4607111038180</v>
      </c>
      <c r="E232" s="331"/>
      <c r="F232" s="315">
        <v>0.4</v>
      </c>
      <c r="G232" s="32">
        <v>16</v>
      </c>
      <c r="H232" s="315">
        <v>6.4</v>
      </c>
      <c r="I232" s="315">
        <v>6.71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180</v>
      </c>
      <c r="P232" s="45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21"/>
      <c r="R232" s="321"/>
      <c r="S232" s="321"/>
      <c r="T232" s="322"/>
      <c r="U232" s="34"/>
      <c r="V232" s="34"/>
      <c r="W232" s="35" t="s">
        <v>70</v>
      </c>
      <c r="X232" s="316">
        <v>0</v>
      </c>
      <c r="Y232" s="317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364</v>
      </c>
      <c r="AG232" s="67"/>
      <c r="AJ232" s="71" t="s">
        <v>72</v>
      </c>
      <c r="AK232" s="71">
        <v>1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32"/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33"/>
      <c r="P233" s="323" t="s">
        <v>73</v>
      </c>
      <c r="Q233" s="324"/>
      <c r="R233" s="324"/>
      <c r="S233" s="324"/>
      <c r="T233" s="324"/>
      <c r="U233" s="324"/>
      <c r="V233" s="325"/>
      <c r="W233" s="37" t="s">
        <v>70</v>
      </c>
      <c r="X233" s="318">
        <f>IFERROR(SUM(X231:X232),"0")</f>
        <v>0</v>
      </c>
      <c r="Y233" s="318">
        <f>IFERROR(SUM(Y231:Y232),"0")</f>
        <v>0</v>
      </c>
      <c r="Z233" s="318">
        <f>IFERROR(IF(Z231="",0,Z231),"0")+IFERROR(IF(Z232="",0,Z232),"0")</f>
        <v>0</v>
      </c>
      <c r="AA233" s="319"/>
      <c r="AB233" s="319"/>
      <c r="AC233" s="319"/>
    </row>
    <row r="234" spans="1:68" x14ac:dyDescent="0.2">
      <c r="A234" s="327"/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7"/>
      <c r="N234" s="327"/>
      <c r="O234" s="333"/>
      <c r="P234" s="323" t="s">
        <v>73</v>
      </c>
      <c r="Q234" s="324"/>
      <c r="R234" s="324"/>
      <c r="S234" s="324"/>
      <c r="T234" s="324"/>
      <c r="U234" s="324"/>
      <c r="V234" s="325"/>
      <c r="W234" s="37" t="s">
        <v>74</v>
      </c>
      <c r="X234" s="318">
        <f>IFERROR(SUMPRODUCT(X231:X232*H231:H232),"0")</f>
        <v>0</v>
      </c>
      <c r="Y234" s="318">
        <f>IFERROR(SUMPRODUCT(Y231:Y232*H231:H232),"0")</f>
        <v>0</v>
      </c>
      <c r="Z234" s="37"/>
      <c r="AA234" s="319"/>
      <c r="AB234" s="319"/>
      <c r="AC234" s="319"/>
    </row>
    <row r="235" spans="1:68" ht="16.5" customHeight="1" x14ac:dyDescent="0.25">
      <c r="A235" s="326" t="s">
        <v>365</v>
      </c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7"/>
      <c r="M235" s="327"/>
      <c r="N235" s="327"/>
      <c r="O235" s="327"/>
      <c r="P235" s="327"/>
      <c r="Q235" s="327"/>
      <c r="R235" s="327"/>
      <c r="S235" s="327"/>
      <c r="T235" s="327"/>
      <c r="U235" s="327"/>
      <c r="V235" s="327"/>
      <c r="W235" s="327"/>
      <c r="X235" s="327"/>
      <c r="Y235" s="327"/>
      <c r="Z235" s="327"/>
      <c r="AA235" s="311"/>
      <c r="AB235" s="311"/>
      <c r="AC235" s="311"/>
    </row>
    <row r="236" spans="1:68" ht="14.25" customHeight="1" x14ac:dyDescent="0.25">
      <c r="A236" s="345" t="s">
        <v>64</v>
      </c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27"/>
      <c r="N236" s="327"/>
      <c r="O236" s="327"/>
      <c r="P236" s="327"/>
      <c r="Q236" s="327"/>
      <c r="R236" s="327"/>
      <c r="S236" s="327"/>
      <c r="T236" s="327"/>
      <c r="U236" s="327"/>
      <c r="V236" s="327"/>
      <c r="W236" s="327"/>
      <c r="X236" s="327"/>
      <c r="Y236" s="327"/>
      <c r="Z236" s="327"/>
      <c r="AA236" s="312"/>
      <c r="AB236" s="312"/>
      <c r="AC236" s="312"/>
    </row>
    <row r="237" spans="1:68" ht="27" customHeight="1" x14ac:dyDescent="0.25">
      <c r="A237" s="54" t="s">
        <v>366</v>
      </c>
      <c r="B237" s="54" t="s">
        <v>367</v>
      </c>
      <c r="C237" s="31">
        <v>4301070870</v>
      </c>
      <c r="D237" s="330">
        <v>4607111036711</v>
      </c>
      <c r="E237" s="331"/>
      <c r="F237" s="315">
        <v>0.8</v>
      </c>
      <c r="G237" s="32">
        <v>8</v>
      </c>
      <c r="H237" s="315">
        <v>6.4</v>
      </c>
      <c r="I237" s="315">
        <v>6.67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90</v>
      </c>
      <c r="P237" s="36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7" s="321"/>
      <c r="R237" s="321"/>
      <c r="S237" s="321"/>
      <c r="T237" s="322"/>
      <c r="U237" s="34"/>
      <c r="V237" s="34"/>
      <c r="W237" s="35" t="s">
        <v>70</v>
      </c>
      <c r="X237" s="316">
        <v>0</v>
      </c>
      <c r="Y237" s="317">
        <f>IFERROR(IF(X237="","",X237),"")</f>
        <v>0</v>
      </c>
      <c r="Z237" s="36">
        <f>IFERROR(IF(X237="","",X237*0.0155),"")</f>
        <v>0</v>
      </c>
      <c r="AA237" s="56"/>
      <c r="AB237" s="57"/>
      <c r="AC237" s="246" t="s">
        <v>340</v>
      </c>
      <c r="AG237" s="67"/>
      <c r="AJ237" s="71" t="s">
        <v>72</v>
      </c>
      <c r="AK237" s="71">
        <v>1</v>
      </c>
      <c r="BB237" s="24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32"/>
      <c r="B238" s="327"/>
      <c r="C238" s="327"/>
      <c r="D238" s="327"/>
      <c r="E238" s="327"/>
      <c r="F238" s="327"/>
      <c r="G238" s="327"/>
      <c r="H238" s="327"/>
      <c r="I238" s="327"/>
      <c r="J238" s="327"/>
      <c r="K238" s="327"/>
      <c r="L238" s="327"/>
      <c r="M238" s="327"/>
      <c r="N238" s="327"/>
      <c r="O238" s="333"/>
      <c r="P238" s="323" t="s">
        <v>73</v>
      </c>
      <c r="Q238" s="324"/>
      <c r="R238" s="324"/>
      <c r="S238" s="324"/>
      <c r="T238" s="324"/>
      <c r="U238" s="324"/>
      <c r="V238" s="325"/>
      <c r="W238" s="37" t="s">
        <v>70</v>
      </c>
      <c r="X238" s="318">
        <f>IFERROR(SUM(X237:X237),"0")</f>
        <v>0</v>
      </c>
      <c r="Y238" s="318">
        <f>IFERROR(SUM(Y237:Y237),"0")</f>
        <v>0</v>
      </c>
      <c r="Z238" s="318">
        <f>IFERROR(IF(Z237="",0,Z237),"0")</f>
        <v>0</v>
      </c>
      <c r="AA238" s="319"/>
      <c r="AB238" s="319"/>
      <c r="AC238" s="319"/>
    </row>
    <row r="239" spans="1:68" x14ac:dyDescent="0.2">
      <c r="A239" s="327"/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33"/>
      <c r="P239" s="323" t="s">
        <v>73</v>
      </c>
      <c r="Q239" s="324"/>
      <c r="R239" s="324"/>
      <c r="S239" s="324"/>
      <c r="T239" s="324"/>
      <c r="U239" s="324"/>
      <c r="V239" s="325"/>
      <c r="W239" s="37" t="s">
        <v>74</v>
      </c>
      <c r="X239" s="318">
        <f>IFERROR(SUMPRODUCT(X237:X237*H237:H237),"0")</f>
        <v>0</v>
      </c>
      <c r="Y239" s="318">
        <f>IFERROR(SUMPRODUCT(Y237:Y237*H237:H237),"0")</f>
        <v>0</v>
      </c>
      <c r="Z239" s="37"/>
      <c r="AA239" s="319"/>
      <c r="AB239" s="319"/>
      <c r="AC239" s="319"/>
    </row>
    <row r="240" spans="1:68" ht="27.75" customHeight="1" x14ac:dyDescent="0.2">
      <c r="A240" s="371" t="s">
        <v>368</v>
      </c>
      <c r="B240" s="372"/>
      <c r="C240" s="372"/>
      <c r="D240" s="372"/>
      <c r="E240" s="372"/>
      <c r="F240" s="372"/>
      <c r="G240" s="372"/>
      <c r="H240" s="372"/>
      <c r="I240" s="372"/>
      <c r="J240" s="372"/>
      <c r="K240" s="372"/>
      <c r="L240" s="372"/>
      <c r="M240" s="372"/>
      <c r="N240" s="372"/>
      <c r="O240" s="372"/>
      <c r="P240" s="372"/>
      <c r="Q240" s="372"/>
      <c r="R240" s="372"/>
      <c r="S240" s="372"/>
      <c r="T240" s="372"/>
      <c r="U240" s="372"/>
      <c r="V240" s="372"/>
      <c r="W240" s="372"/>
      <c r="X240" s="372"/>
      <c r="Y240" s="372"/>
      <c r="Z240" s="372"/>
      <c r="AA240" s="48"/>
      <c r="AB240" s="48"/>
      <c r="AC240" s="48"/>
    </row>
    <row r="241" spans="1:68" ht="16.5" customHeight="1" x14ac:dyDescent="0.25">
      <c r="A241" s="326" t="s">
        <v>369</v>
      </c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27"/>
      <c r="P241" s="327"/>
      <c r="Q241" s="327"/>
      <c r="R241" s="327"/>
      <c r="S241" s="327"/>
      <c r="T241" s="327"/>
      <c r="U241" s="327"/>
      <c r="V241" s="327"/>
      <c r="W241" s="327"/>
      <c r="X241" s="327"/>
      <c r="Y241" s="327"/>
      <c r="Z241" s="327"/>
      <c r="AA241" s="311"/>
      <c r="AB241" s="311"/>
      <c r="AC241" s="311"/>
    </row>
    <row r="242" spans="1:68" ht="14.25" customHeight="1" x14ac:dyDescent="0.25">
      <c r="A242" s="345" t="s">
        <v>142</v>
      </c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27"/>
      <c r="P242" s="327"/>
      <c r="Q242" s="327"/>
      <c r="R242" s="327"/>
      <c r="S242" s="327"/>
      <c r="T242" s="327"/>
      <c r="U242" s="327"/>
      <c r="V242" s="327"/>
      <c r="W242" s="327"/>
      <c r="X242" s="327"/>
      <c r="Y242" s="327"/>
      <c r="Z242" s="327"/>
      <c r="AA242" s="312"/>
      <c r="AB242" s="312"/>
      <c r="AC242" s="312"/>
    </row>
    <row r="243" spans="1:68" ht="37.5" customHeight="1" x14ac:dyDescent="0.25">
      <c r="A243" s="54" t="s">
        <v>370</v>
      </c>
      <c r="B243" s="54" t="s">
        <v>371</v>
      </c>
      <c r="C243" s="31">
        <v>4301135400</v>
      </c>
      <c r="D243" s="330">
        <v>4607111039361</v>
      </c>
      <c r="E243" s="331"/>
      <c r="F243" s="315">
        <v>0.25</v>
      </c>
      <c r="G243" s="32">
        <v>12</v>
      </c>
      <c r="H243" s="315">
        <v>3</v>
      </c>
      <c r="I243" s="315">
        <v>3.7035999999999998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518" t="s">
        <v>372</v>
      </c>
      <c r="Q243" s="321"/>
      <c r="R243" s="321"/>
      <c r="S243" s="321"/>
      <c r="T243" s="322"/>
      <c r="U243" s="34"/>
      <c r="V243" s="34"/>
      <c r="W243" s="35" t="s">
        <v>70</v>
      </c>
      <c r="X243" s="316">
        <v>0</v>
      </c>
      <c r="Y243" s="317">
        <f>IFERROR(IF(X243="","",X243),"")</f>
        <v>0</v>
      </c>
      <c r="Z243" s="36">
        <f>IFERROR(IF(X243="","",X243*0.01788),"")</f>
        <v>0</v>
      </c>
      <c r="AA243" s="56"/>
      <c r="AB243" s="57"/>
      <c r="AC243" s="248" t="s">
        <v>373</v>
      </c>
      <c r="AG243" s="67"/>
      <c r="AJ243" s="71" t="s">
        <v>72</v>
      </c>
      <c r="AK243" s="71">
        <v>1</v>
      </c>
      <c r="BB243" s="249" t="s">
        <v>84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32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7"/>
      <c r="N244" s="327"/>
      <c r="O244" s="333"/>
      <c r="P244" s="323" t="s">
        <v>73</v>
      </c>
      <c r="Q244" s="324"/>
      <c r="R244" s="324"/>
      <c r="S244" s="324"/>
      <c r="T244" s="324"/>
      <c r="U244" s="324"/>
      <c r="V244" s="325"/>
      <c r="W244" s="37" t="s">
        <v>70</v>
      </c>
      <c r="X244" s="318">
        <f>IFERROR(SUM(X243:X243),"0")</f>
        <v>0</v>
      </c>
      <c r="Y244" s="318">
        <f>IFERROR(SUM(Y243:Y243),"0")</f>
        <v>0</v>
      </c>
      <c r="Z244" s="318">
        <f>IFERROR(IF(Z243="",0,Z243),"0")</f>
        <v>0</v>
      </c>
      <c r="AA244" s="319"/>
      <c r="AB244" s="319"/>
      <c r="AC244" s="319"/>
    </row>
    <row r="245" spans="1:68" x14ac:dyDescent="0.2">
      <c r="A245" s="327"/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33"/>
      <c r="P245" s="323" t="s">
        <v>73</v>
      </c>
      <c r="Q245" s="324"/>
      <c r="R245" s="324"/>
      <c r="S245" s="324"/>
      <c r="T245" s="324"/>
      <c r="U245" s="324"/>
      <c r="V245" s="325"/>
      <c r="W245" s="37" t="s">
        <v>74</v>
      </c>
      <c r="X245" s="318">
        <f>IFERROR(SUMPRODUCT(X243:X243*H243:H243),"0")</f>
        <v>0</v>
      </c>
      <c r="Y245" s="318">
        <f>IFERROR(SUMPRODUCT(Y243:Y243*H243:H243),"0")</f>
        <v>0</v>
      </c>
      <c r="Z245" s="37"/>
      <c r="AA245" s="319"/>
      <c r="AB245" s="319"/>
      <c r="AC245" s="319"/>
    </row>
    <row r="246" spans="1:68" ht="27.75" customHeight="1" x14ac:dyDescent="0.2">
      <c r="A246" s="371" t="s">
        <v>246</v>
      </c>
      <c r="B246" s="372"/>
      <c r="C246" s="372"/>
      <c r="D246" s="372"/>
      <c r="E246" s="372"/>
      <c r="F246" s="372"/>
      <c r="G246" s="372"/>
      <c r="H246" s="372"/>
      <c r="I246" s="372"/>
      <c r="J246" s="372"/>
      <c r="K246" s="372"/>
      <c r="L246" s="372"/>
      <c r="M246" s="372"/>
      <c r="N246" s="372"/>
      <c r="O246" s="372"/>
      <c r="P246" s="372"/>
      <c r="Q246" s="372"/>
      <c r="R246" s="372"/>
      <c r="S246" s="372"/>
      <c r="T246" s="372"/>
      <c r="U246" s="372"/>
      <c r="V246" s="372"/>
      <c r="W246" s="372"/>
      <c r="X246" s="372"/>
      <c r="Y246" s="372"/>
      <c r="Z246" s="372"/>
      <c r="AA246" s="48"/>
      <c r="AB246" s="48"/>
      <c r="AC246" s="48"/>
    </row>
    <row r="247" spans="1:68" ht="16.5" customHeight="1" x14ac:dyDescent="0.25">
      <c r="A247" s="326" t="s">
        <v>246</v>
      </c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27"/>
      <c r="Z247" s="327"/>
      <c r="AA247" s="311"/>
      <c r="AB247" s="311"/>
      <c r="AC247" s="311"/>
    </row>
    <row r="248" spans="1:68" ht="14.25" customHeight="1" x14ac:dyDescent="0.25">
      <c r="A248" s="345" t="s">
        <v>64</v>
      </c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27"/>
      <c r="P248" s="327"/>
      <c r="Q248" s="327"/>
      <c r="R248" s="327"/>
      <c r="S248" s="327"/>
      <c r="T248" s="327"/>
      <c r="U248" s="327"/>
      <c r="V248" s="327"/>
      <c r="W248" s="327"/>
      <c r="X248" s="327"/>
      <c r="Y248" s="327"/>
      <c r="Z248" s="327"/>
      <c r="AA248" s="312"/>
      <c r="AB248" s="312"/>
      <c r="AC248" s="312"/>
    </row>
    <row r="249" spans="1:68" ht="27" customHeight="1" x14ac:dyDescent="0.25">
      <c r="A249" s="54" t="s">
        <v>374</v>
      </c>
      <c r="B249" s="54" t="s">
        <v>375</v>
      </c>
      <c r="C249" s="31">
        <v>4301071014</v>
      </c>
      <c r="D249" s="330">
        <v>4640242181264</v>
      </c>
      <c r="E249" s="331"/>
      <c r="F249" s="315">
        <v>0.7</v>
      </c>
      <c r="G249" s="32">
        <v>10</v>
      </c>
      <c r="H249" s="315">
        <v>7</v>
      </c>
      <c r="I249" s="315">
        <v>7.28</v>
      </c>
      <c r="J249" s="32">
        <v>84</v>
      </c>
      <c r="K249" s="32" t="s">
        <v>67</v>
      </c>
      <c r="L249" s="32" t="s">
        <v>81</v>
      </c>
      <c r="M249" s="33" t="s">
        <v>69</v>
      </c>
      <c r="N249" s="33"/>
      <c r="O249" s="32">
        <v>180</v>
      </c>
      <c r="P249" s="335" t="s">
        <v>376</v>
      </c>
      <c r="Q249" s="321"/>
      <c r="R249" s="321"/>
      <c r="S249" s="321"/>
      <c r="T249" s="322"/>
      <c r="U249" s="34"/>
      <c r="V249" s="34"/>
      <c r="W249" s="35" t="s">
        <v>70</v>
      </c>
      <c r="X249" s="316">
        <v>0</v>
      </c>
      <c r="Y249" s="317">
        <f>IFERROR(IF(X249="","",X249),"")</f>
        <v>0</v>
      </c>
      <c r="Z249" s="36">
        <f>IFERROR(IF(X249="","",X249*0.0155),"")</f>
        <v>0</v>
      </c>
      <c r="AA249" s="56"/>
      <c r="AB249" s="57"/>
      <c r="AC249" s="250" t="s">
        <v>377</v>
      </c>
      <c r="AG249" s="67"/>
      <c r="AJ249" s="71" t="s">
        <v>83</v>
      </c>
      <c r="AK249" s="71">
        <v>12</v>
      </c>
      <c r="BB249" s="251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customHeight="1" x14ac:dyDescent="0.25">
      <c r="A250" s="54" t="s">
        <v>378</v>
      </c>
      <c r="B250" s="54" t="s">
        <v>379</v>
      </c>
      <c r="C250" s="31">
        <v>4301071021</v>
      </c>
      <c r="D250" s="330">
        <v>4640242181325</v>
      </c>
      <c r="E250" s="331"/>
      <c r="F250" s="315">
        <v>0.7</v>
      </c>
      <c r="G250" s="32">
        <v>10</v>
      </c>
      <c r="H250" s="315">
        <v>7</v>
      </c>
      <c r="I250" s="315">
        <v>7.28</v>
      </c>
      <c r="J250" s="32">
        <v>84</v>
      </c>
      <c r="K250" s="32" t="s">
        <v>67</v>
      </c>
      <c r="L250" s="32" t="s">
        <v>81</v>
      </c>
      <c r="M250" s="33" t="s">
        <v>69</v>
      </c>
      <c r="N250" s="33"/>
      <c r="O250" s="32">
        <v>180</v>
      </c>
      <c r="P250" s="400" t="s">
        <v>380</v>
      </c>
      <c r="Q250" s="321"/>
      <c r="R250" s="321"/>
      <c r="S250" s="321"/>
      <c r="T250" s="322"/>
      <c r="U250" s="34"/>
      <c r="V250" s="34"/>
      <c r="W250" s="35" t="s">
        <v>70</v>
      </c>
      <c r="X250" s="316">
        <v>0</v>
      </c>
      <c r="Y250" s="317">
        <f>IFERROR(IF(X250="","",X250),"")</f>
        <v>0</v>
      </c>
      <c r="Z250" s="36">
        <f>IFERROR(IF(X250="","",X250*0.0155),"")</f>
        <v>0</v>
      </c>
      <c r="AA250" s="56"/>
      <c r="AB250" s="57"/>
      <c r="AC250" s="252" t="s">
        <v>377</v>
      </c>
      <c r="AG250" s="67"/>
      <c r="AJ250" s="71" t="s">
        <v>83</v>
      </c>
      <c r="AK250" s="71">
        <v>12</v>
      </c>
      <c r="BB250" s="253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381</v>
      </c>
      <c r="B251" s="54" t="s">
        <v>382</v>
      </c>
      <c r="C251" s="31">
        <v>4301070993</v>
      </c>
      <c r="D251" s="330">
        <v>4640242180670</v>
      </c>
      <c r="E251" s="331"/>
      <c r="F251" s="315">
        <v>1</v>
      </c>
      <c r="G251" s="32">
        <v>6</v>
      </c>
      <c r="H251" s="315">
        <v>6</v>
      </c>
      <c r="I251" s="315">
        <v>6.23</v>
      </c>
      <c r="J251" s="32">
        <v>84</v>
      </c>
      <c r="K251" s="32" t="s">
        <v>67</v>
      </c>
      <c r="L251" s="32" t="s">
        <v>81</v>
      </c>
      <c r="M251" s="33" t="s">
        <v>69</v>
      </c>
      <c r="N251" s="33"/>
      <c r="O251" s="32">
        <v>180</v>
      </c>
      <c r="P251" s="463" t="s">
        <v>383</v>
      </c>
      <c r="Q251" s="321"/>
      <c r="R251" s="321"/>
      <c r="S251" s="321"/>
      <c r="T251" s="322"/>
      <c r="U251" s="34"/>
      <c r="V251" s="34"/>
      <c r="W251" s="35" t="s">
        <v>70</v>
      </c>
      <c r="X251" s="316">
        <v>0</v>
      </c>
      <c r="Y251" s="317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83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32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7"/>
      <c r="N252" s="327"/>
      <c r="O252" s="333"/>
      <c r="P252" s="323" t="s">
        <v>73</v>
      </c>
      <c r="Q252" s="324"/>
      <c r="R252" s="324"/>
      <c r="S252" s="324"/>
      <c r="T252" s="324"/>
      <c r="U252" s="324"/>
      <c r="V252" s="325"/>
      <c r="W252" s="37" t="s">
        <v>70</v>
      </c>
      <c r="X252" s="318">
        <f>IFERROR(SUM(X249:X251),"0")</f>
        <v>0</v>
      </c>
      <c r="Y252" s="318">
        <f>IFERROR(SUM(Y249:Y251),"0")</f>
        <v>0</v>
      </c>
      <c r="Z252" s="318">
        <f>IFERROR(IF(Z249="",0,Z249),"0")+IFERROR(IF(Z250="",0,Z250),"0")+IFERROR(IF(Z251="",0,Z251),"0")</f>
        <v>0</v>
      </c>
      <c r="AA252" s="319"/>
      <c r="AB252" s="319"/>
      <c r="AC252" s="319"/>
    </row>
    <row r="253" spans="1:68" x14ac:dyDescent="0.2">
      <c r="A253" s="327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33"/>
      <c r="P253" s="323" t="s">
        <v>73</v>
      </c>
      <c r="Q253" s="324"/>
      <c r="R253" s="324"/>
      <c r="S253" s="324"/>
      <c r="T253" s="324"/>
      <c r="U253" s="324"/>
      <c r="V253" s="325"/>
      <c r="W253" s="37" t="s">
        <v>74</v>
      </c>
      <c r="X253" s="318">
        <f>IFERROR(SUMPRODUCT(X249:X251*H249:H251),"0")</f>
        <v>0</v>
      </c>
      <c r="Y253" s="318">
        <f>IFERROR(SUMPRODUCT(Y249:Y251*H249:H251),"0")</f>
        <v>0</v>
      </c>
      <c r="Z253" s="37"/>
      <c r="AA253" s="319"/>
      <c r="AB253" s="319"/>
      <c r="AC253" s="319"/>
    </row>
    <row r="254" spans="1:68" ht="14.25" customHeight="1" x14ac:dyDescent="0.25">
      <c r="A254" s="345" t="s">
        <v>147</v>
      </c>
      <c r="B254" s="327"/>
      <c r="C254" s="327"/>
      <c r="D254" s="327"/>
      <c r="E254" s="327"/>
      <c r="F254" s="327"/>
      <c r="G254" s="327"/>
      <c r="H254" s="327"/>
      <c r="I254" s="327"/>
      <c r="J254" s="327"/>
      <c r="K254" s="327"/>
      <c r="L254" s="327"/>
      <c r="M254" s="327"/>
      <c r="N254" s="327"/>
      <c r="O254" s="327"/>
      <c r="P254" s="327"/>
      <c r="Q254" s="327"/>
      <c r="R254" s="327"/>
      <c r="S254" s="327"/>
      <c r="T254" s="327"/>
      <c r="U254" s="327"/>
      <c r="V254" s="327"/>
      <c r="W254" s="327"/>
      <c r="X254" s="327"/>
      <c r="Y254" s="327"/>
      <c r="Z254" s="327"/>
      <c r="AA254" s="312"/>
      <c r="AB254" s="312"/>
      <c r="AC254" s="312"/>
    </row>
    <row r="255" spans="1:68" ht="27" customHeight="1" x14ac:dyDescent="0.25">
      <c r="A255" s="54" t="s">
        <v>385</v>
      </c>
      <c r="B255" s="54" t="s">
        <v>386</v>
      </c>
      <c r="C255" s="31">
        <v>4301131019</v>
      </c>
      <c r="D255" s="330">
        <v>4640242180427</v>
      </c>
      <c r="E255" s="331"/>
      <c r="F255" s="315">
        <v>1.8</v>
      </c>
      <c r="G255" s="32">
        <v>1</v>
      </c>
      <c r="H255" s="315">
        <v>1.8</v>
      </c>
      <c r="I255" s="315">
        <v>1.915</v>
      </c>
      <c r="J255" s="32">
        <v>234</v>
      </c>
      <c r="K255" s="32" t="s">
        <v>137</v>
      </c>
      <c r="L255" s="32" t="s">
        <v>81</v>
      </c>
      <c r="M255" s="33" t="s">
        <v>69</v>
      </c>
      <c r="N255" s="33"/>
      <c r="O255" s="32">
        <v>180</v>
      </c>
      <c r="P255" s="389" t="s">
        <v>387</v>
      </c>
      <c r="Q255" s="321"/>
      <c r="R255" s="321"/>
      <c r="S255" s="321"/>
      <c r="T255" s="322"/>
      <c r="U255" s="34"/>
      <c r="V255" s="34"/>
      <c r="W255" s="35" t="s">
        <v>70</v>
      </c>
      <c r="X255" s="316">
        <v>0</v>
      </c>
      <c r="Y255" s="317">
        <f>IFERROR(IF(X255="","",X255),"")</f>
        <v>0</v>
      </c>
      <c r="Z255" s="36">
        <f>IFERROR(IF(X255="","",X255*0.00502),"")</f>
        <v>0</v>
      </c>
      <c r="AA255" s="56"/>
      <c r="AB255" s="57"/>
      <c r="AC255" s="256" t="s">
        <v>388</v>
      </c>
      <c r="AG255" s="67"/>
      <c r="AJ255" s="71" t="s">
        <v>83</v>
      </c>
      <c r="AK255" s="71">
        <v>18</v>
      </c>
      <c r="BB255" s="257" t="s">
        <v>84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32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7"/>
      <c r="N256" s="327"/>
      <c r="O256" s="333"/>
      <c r="P256" s="323" t="s">
        <v>73</v>
      </c>
      <c r="Q256" s="324"/>
      <c r="R256" s="324"/>
      <c r="S256" s="324"/>
      <c r="T256" s="324"/>
      <c r="U256" s="324"/>
      <c r="V256" s="325"/>
      <c r="W256" s="37" t="s">
        <v>70</v>
      </c>
      <c r="X256" s="318">
        <f>IFERROR(SUM(X255:X255),"0")</f>
        <v>0</v>
      </c>
      <c r="Y256" s="318">
        <f>IFERROR(SUM(Y255:Y255),"0")</f>
        <v>0</v>
      </c>
      <c r="Z256" s="318">
        <f>IFERROR(IF(Z255="",0,Z255),"0")</f>
        <v>0</v>
      </c>
      <c r="AA256" s="319"/>
      <c r="AB256" s="319"/>
      <c r="AC256" s="319"/>
    </row>
    <row r="257" spans="1:68" x14ac:dyDescent="0.2">
      <c r="A257" s="327"/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33"/>
      <c r="P257" s="323" t="s">
        <v>73</v>
      </c>
      <c r="Q257" s="324"/>
      <c r="R257" s="324"/>
      <c r="S257" s="324"/>
      <c r="T257" s="324"/>
      <c r="U257" s="324"/>
      <c r="V257" s="325"/>
      <c r="W257" s="37" t="s">
        <v>74</v>
      </c>
      <c r="X257" s="318">
        <f>IFERROR(SUMPRODUCT(X255:X255*H255:H255),"0")</f>
        <v>0</v>
      </c>
      <c r="Y257" s="318">
        <f>IFERROR(SUMPRODUCT(Y255:Y255*H255:H255),"0")</f>
        <v>0</v>
      </c>
      <c r="Z257" s="37"/>
      <c r="AA257" s="319"/>
      <c r="AB257" s="319"/>
      <c r="AC257" s="319"/>
    </row>
    <row r="258" spans="1:68" ht="14.25" customHeight="1" x14ac:dyDescent="0.25">
      <c r="A258" s="345" t="s">
        <v>77</v>
      </c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7"/>
      <c r="M258" s="327"/>
      <c r="N258" s="327"/>
      <c r="O258" s="327"/>
      <c r="P258" s="327"/>
      <c r="Q258" s="327"/>
      <c r="R258" s="327"/>
      <c r="S258" s="327"/>
      <c r="T258" s="327"/>
      <c r="U258" s="327"/>
      <c r="V258" s="327"/>
      <c r="W258" s="327"/>
      <c r="X258" s="327"/>
      <c r="Y258" s="327"/>
      <c r="Z258" s="327"/>
      <c r="AA258" s="312"/>
      <c r="AB258" s="312"/>
      <c r="AC258" s="312"/>
    </row>
    <row r="259" spans="1:68" ht="27" customHeight="1" x14ac:dyDescent="0.25">
      <c r="A259" s="54" t="s">
        <v>389</v>
      </c>
      <c r="B259" s="54" t="s">
        <v>390</v>
      </c>
      <c r="C259" s="31">
        <v>4301132080</v>
      </c>
      <c r="D259" s="330">
        <v>4640242180397</v>
      </c>
      <c r="E259" s="331"/>
      <c r="F259" s="315">
        <v>1</v>
      </c>
      <c r="G259" s="32">
        <v>6</v>
      </c>
      <c r="H259" s="315">
        <v>6</v>
      </c>
      <c r="I259" s="315">
        <v>6.26</v>
      </c>
      <c r="J259" s="32">
        <v>84</v>
      </c>
      <c r="K259" s="32" t="s">
        <v>67</v>
      </c>
      <c r="L259" s="32" t="s">
        <v>89</v>
      </c>
      <c r="M259" s="33" t="s">
        <v>69</v>
      </c>
      <c r="N259" s="33"/>
      <c r="O259" s="32">
        <v>180</v>
      </c>
      <c r="P259" s="382" t="s">
        <v>391</v>
      </c>
      <c r="Q259" s="321"/>
      <c r="R259" s="321"/>
      <c r="S259" s="321"/>
      <c r="T259" s="322"/>
      <c r="U259" s="34"/>
      <c r="V259" s="34"/>
      <c r="W259" s="35" t="s">
        <v>70</v>
      </c>
      <c r="X259" s="316">
        <v>96</v>
      </c>
      <c r="Y259" s="317">
        <f>IFERROR(IF(X259="","",X259),"")</f>
        <v>96</v>
      </c>
      <c r="Z259" s="36">
        <f>IFERROR(IF(X259="","",X259*0.0155),"")</f>
        <v>1.488</v>
      </c>
      <c r="AA259" s="56"/>
      <c r="AB259" s="57"/>
      <c r="AC259" s="258" t="s">
        <v>392</v>
      </c>
      <c r="AG259" s="67"/>
      <c r="AJ259" s="71" t="s">
        <v>90</v>
      </c>
      <c r="AK259" s="71">
        <v>84</v>
      </c>
      <c r="BB259" s="259" t="s">
        <v>84</v>
      </c>
      <c r="BM259" s="67">
        <f>IFERROR(X259*I259,"0")</f>
        <v>600.96</v>
      </c>
      <c r="BN259" s="67">
        <f>IFERROR(Y259*I259,"0")</f>
        <v>600.96</v>
      </c>
      <c r="BO259" s="67">
        <f>IFERROR(X259/J259,"0")</f>
        <v>1.1428571428571428</v>
      </c>
      <c r="BP259" s="67">
        <f>IFERROR(Y259/J259,"0")</f>
        <v>1.1428571428571428</v>
      </c>
    </row>
    <row r="260" spans="1:68" ht="27" customHeight="1" x14ac:dyDescent="0.25">
      <c r="A260" s="54" t="s">
        <v>393</v>
      </c>
      <c r="B260" s="54" t="s">
        <v>394</v>
      </c>
      <c r="C260" s="31">
        <v>4301132104</v>
      </c>
      <c r="D260" s="330">
        <v>4640242181219</v>
      </c>
      <c r="E260" s="331"/>
      <c r="F260" s="315">
        <v>0.3</v>
      </c>
      <c r="G260" s="32">
        <v>9</v>
      </c>
      <c r="H260" s="315">
        <v>2.7</v>
      </c>
      <c r="I260" s="315">
        <v>2.8450000000000002</v>
      </c>
      <c r="J260" s="32">
        <v>234</v>
      </c>
      <c r="K260" s="32" t="s">
        <v>137</v>
      </c>
      <c r="L260" s="32" t="s">
        <v>68</v>
      </c>
      <c r="M260" s="33" t="s">
        <v>69</v>
      </c>
      <c r="N260" s="33"/>
      <c r="O260" s="32">
        <v>180</v>
      </c>
      <c r="P260" s="448" t="s">
        <v>395</v>
      </c>
      <c r="Q260" s="321"/>
      <c r="R260" s="321"/>
      <c r="S260" s="321"/>
      <c r="T260" s="322"/>
      <c r="U260" s="34"/>
      <c r="V260" s="34"/>
      <c r="W260" s="35" t="s">
        <v>70</v>
      </c>
      <c r="X260" s="316">
        <v>0</v>
      </c>
      <c r="Y260" s="317">
        <f>IFERROR(IF(X260="","",X260),"")</f>
        <v>0</v>
      </c>
      <c r="Z260" s="36">
        <f>IFERROR(IF(X260="","",X260*0.00502),"")</f>
        <v>0</v>
      </c>
      <c r="AA260" s="56"/>
      <c r="AB260" s="57"/>
      <c r="AC260" s="260" t="s">
        <v>392</v>
      </c>
      <c r="AG260" s="67"/>
      <c r="AJ260" s="71" t="s">
        <v>72</v>
      </c>
      <c r="AK260" s="71">
        <v>1</v>
      </c>
      <c r="BB260" s="261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32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33"/>
      <c r="P261" s="323" t="s">
        <v>73</v>
      </c>
      <c r="Q261" s="324"/>
      <c r="R261" s="324"/>
      <c r="S261" s="324"/>
      <c r="T261" s="324"/>
      <c r="U261" s="324"/>
      <c r="V261" s="325"/>
      <c r="W261" s="37" t="s">
        <v>70</v>
      </c>
      <c r="X261" s="318">
        <f>IFERROR(SUM(X259:X260),"0")</f>
        <v>96</v>
      </c>
      <c r="Y261" s="318">
        <f>IFERROR(SUM(Y259:Y260),"0")</f>
        <v>96</v>
      </c>
      <c r="Z261" s="318">
        <f>IFERROR(IF(Z259="",0,Z259),"0")+IFERROR(IF(Z260="",0,Z260),"0")</f>
        <v>1.488</v>
      </c>
      <c r="AA261" s="319"/>
      <c r="AB261" s="319"/>
      <c r="AC261" s="319"/>
    </row>
    <row r="262" spans="1:68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7"/>
      <c r="N262" s="327"/>
      <c r="O262" s="333"/>
      <c r="P262" s="323" t="s">
        <v>73</v>
      </c>
      <c r="Q262" s="324"/>
      <c r="R262" s="324"/>
      <c r="S262" s="324"/>
      <c r="T262" s="324"/>
      <c r="U262" s="324"/>
      <c r="V262" s="325"/>
      <c r="W262" s="37" t="s">
        <v>74</v>
      </c>
      <c r="X262" s="318">
        <f>IFERROR(SUMPRODUCT(X259:X260*H259:H260),"0")</f>
        <v>576</v>
      </c>
      <c r="Y262" s="318">
        <f>IFERROR(SUMPRODUCT(Y259:Y260*H259:H260),"0")</f>
        <v>576</v>
      </c>
      <c r="Z262" s="37"/>
      <c r="AA262" s="319"/>
      <c r="AB262" s="319"/>
      <c r="AC262" s="319"/>
    </row>
    <row r="263" spans="1:68" ht="14.25" customHeight="1" x14ac:dyDescent="0.25">
      <c r="A263" s="345" t="s">
        <v>174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27"/>
      <c r="Z263" s="327"/>
      <c r="AA263" s="312"/>
      <c r="AB263" s="312"/>
      <c r="AC263" s="312"/>
    </row>
    <row r="264" spans="1:68" ht="27" customHeight="1" x14ac:dyDescent="0.25">
      <c r="A264" s="54" t="s">
        <v>396</v>
      </c>
      <c r="B264" s="54" t="s">
        <v>397</v>
      </c>
      <c r="C264" s="31">
        <v>4301136028</v>
      </c>
      <c r="D264" s="330">
        <v>4640242180304</v>
      </c>
      <c r="E264" s="331"/>
      <c r="F264" s="315">
        <v>2.7</v>
      </c>
      <c r="G264" s="32">
        <v>1</v>
      </c>
      <c r="H264" s="315">
        <v>2.7</v>
      </c>
      <c r="I264" s="315">
        <v>2.8906000000000001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426" t="s">
        <v>398</v>
      </c>
      <c r="Q264" s="321"/>
      <c r="R264" s="321"/>
      <c r="S264" s="321"/>
      <c r="T264" s="322"/>
      <c r="U264" s="34"/>
      <c r="V264" s="34"/>
      <c r="W264" s="35" t="s">
        <v>70</v>
      </c>
      <c r="X264" s="316">
        <v>112</v>
      </c>
      <c r="Y264" s="317">
        <f>IFERROR(IF(X264="","",X264),"")</f>
        <v>112</v>
      </c>
      <c r="Z264" s="36">
        <f>IFERROR(IF(X264="","",X264*0.00936),"")</f>
        <v>1.0483199999999999</v>
      </c>
      <c r="AA264" s="56"/>
      <c r="AB264" s="57"/>
      <c r="AC264" s="262" t="s">
        <v>399</v>
      </c>
      <c r="AG264" s="67"/>
      <c r="AJ264" s="71" t="s">
        <v>83</v>
      </c>
      <c r="AK264" s="71">
        <v>14</v>
      </c>
      <c r="BB264" s="263" t="s">
        <v>84</v>
      </c>
      <c r="BM264" s="67">
        <f>IFERROR(X264*I264,"0")</f>
        <v>323.74720000000002</v>
      </c>
      <c r="BN264" s="67">
        <f>IFERROR(Y264*I264,"0")</f>
        <v>323.74720000000002</v>
      </c>
      <c r="BO264" s="67">
        <f>IFERROR(X264/J264,"0")</f>
        <v>0.88888888888888884</v>
      </c>
      <c r="BP264" s="67">
        <f>IFERROR(Y264/J264,"0")</f>
        <v>0.88888888888888884</v>
      </c>
    </row>
    <row r="265" spans="1:68" ht="27" customHeight="1" x14ac:dyDescent="0.25">
      <c r="A265" s="54" t="s">
        <v>400</v>
      </c>
      <c r="B265" s="54" t="s">
        <v>401</v>
      </c>
      <c r="C265" s="31">
        <v>4301136026</v>
      </c>
      <c r="D265" s="330">
        <v>4640242180236</v>
      </c>
      <c r="E265" s="331"/>
      <c r="F265" s="315">
        <v>5</v>
      </c>
      <c r="G265" s="32">
        <v>1</v>
      </c>
      <c r="H265" s="315">
        <v>5</v>
      </c>
      <c r="I265" s="315">
        <v>5.2350000000000003</v>
      </c>
      <c r="J265" s="32">
        <v>84</v>
      </c>
      <c r="K265" s="32" t="s">
        <v>67</v>
      </c>
      <c r="L265" s="32" t="s">
        <v>89</v>
      </c>
      <c r="M265" s="33" t="s">
        <v>69</v>
      </c>
      <c r="N265" s="33"/>
      <c r="O265" s="32">
        <v>180</v>
      </c>
      <c r="P265" s="364" t="s">
        <v>402</v>
      </c>
      <c r="Q265" s="321"/>
      <c r="R265" s="321"/>
      <c r="S265" s="321"/>
      <c r="T265" s="322"/>
      <c r="U265" s="34"/>
      <c r="V265" s="34"/>
      <c r="W265" s="35" t="s">
        <v>70</v>
      </c>
      <c r="X265" s="316">
        <v>0</v>
      </c>
      <c r="Y265" s="317">
        <f>IFERROR(IF(X265="","",X265),"")</f>
        <v>0</v>
      </c>
      <c r="Z265" s="36">
        <f>IFERROR(IF(X265="","",X265*0.0155),"")</f>
        <v>0</v>
      </c>
      <c r="AA265" s="56"/>
      <c r="AB265" s="57"/>
      <c r="AC265" s="264" t="s">
        <v>399</v>
      </c>
      <c r="AG265" s="67"/>
      <c r="AJ265" s="71" t="s">
        <v>90</v>
      </c>
      <c r="AK265" s="71">
        <v>84</v>
      </c>
      <c r="BB265" s="265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403</v>
      </c>
      <c r="B266" s="54" t="s">
        <v>404</v>
      </c>
      <c r="C266" s="31">
        <v>4301136029</v>
      </c>
      <c r="D266" s="330">
        <v>4640242180410</v>
      </c>
      <c r="E266" s="331"/>
      <c r="F266" s="315">
        <v>2.2400000000000002</v>
      </c>
      <c r="G266" s="32">
        <v>1</v>
      </c>
      <c r="H266" s="315">
        <v>2.2400000000000002</v>
      </c>
      <c r="I266" s="315">
        <v>2.4319999999999999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7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321"/>
      <c r="R266" s="321"/>
      <c r="S266" s="321"/>
      <c r="T266" s="322"/>
      <c r="U266" s="34"/>
      <c r="V266" s="34"/>
      <c r="W266" s="35" t="s">
        <v>70</v>
      </c>
      <c r="X266" s="316">
        <v>0</v>
      </c>
      <c r="Y266" s="317">
        <f>IFERROR(IF(X266="","",X266),"")</f>
        <v>0</v>
      </c>
      <c r="Z266" s="36">
        <f>IFERROR(IF(X266="","",X266*0.00936),"")</f>
        <v>0</v>
      </c>
      <c r="AA266" s="56"/>
      <c r="AB266" s="57"/>
      <c r="AC266" s="266" t="s">
        <v>399</v>
      </c>
      <c r="AG266" s="67"/>
      <c r="AJ266" s="71" t="s">
        <v>72</v>
      </c>
      <c r="AK266" s="71">
        <v>1</v>
      </c>
      <c r="BB266" s="267" t="s">
        <v>84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32"/>
      <c r="B267" s="327"/>
      <c r="C267" s="327"/>
      <c r="D267" s="327"/>
      <c r="E267" s="327"/>
      <c r="F267" s="327"/>
      <c r="G267" s="327"/>
      <c r="H267" s="327"/>
      <c r="I267" s="327"/>
      <c r="J267" s="327"/>
      <c r="K267" s="327"/>
      <c r="L267" s="327"/>
      <c r="M267" s="327"/>
      <c r="N267" s="327"/>
      <c r="O267" s="333"/>
      <c r="P267" s="323" t="s">
        <v>73</v>
      </c>
      <c r="Q267" s="324"/>
      <c r="R267" s="324"/>
      <c r="S267" s="324"/>
      <c r="T267" s="324"/>
      <c r="U267" s="324"/>
      <c r="V267" s="325"/>
      <c r="W267" s="37" t="s">
        <v>70</v>
      </c>
      <c r="X267" s="318">
        <f>IFERROR(SUM(X264:X266),"0")</f>
        <v>112</v>
      </c>
      <c r="Y267" s="318">
        <f>IFERROR(SUM(Y264:Y266),"0")</f>
        <v>112</v>
      </c>
      <c r="Z267" s="318">
        <f>IFERROR(IF(Z264="",0,Z264),"0")+IFERROR(IF(Z265="",0,Z265),"0")+IFERROR(IF(Z266="",0,Z266),"0")</f>
        <v>1.0483199999999999</v>
      </c>
      <c r="AA267" s="319"/>
      <c r="AB267" s="319"/>
      <c r="AC267" s="319"/>
    </row>
    <row r="268" spans="1:68" x14ac:dyDescent="0.2">
      <c r="A268" s="327"/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27"/>
      <c r="N268" s="327"/>
      <c r="O268" s="333"/>
      <c r="P268" s="323" t="s">
        <v>73</v>
      </c>
      <c r="Q268" s="324"/>
      <c r="R268" s="324"/>
      <c r="S268" s="324"/>
      <c r="T268" s="324"/>
      <c r="U268" s="324"/>
      <c r="V268" s="325"/>
      <c r="W268" s="37" t="s">
        <v>74</v>
      </c>
      <c r="X268" s="318">
        <f>IFERROR(SUMPRODUCT(X264:X266*H264:H266),"0")</f>
        <v>302.40000000000003</v>
      </c>
      <c r="Y268" s="318">
        <f>IFERROR(SUMPRODUCT(Y264:Y266*H264:H266),"0")</f>
        <v>302.40000000000003</v>
      </c>
      <c r="Z268" s="37"/>
      <c r="AA268" s="319"/>
      <c r="AB268" s="319"/>
      <c r="AC268" s="319"/>
    </row>
    <row r="269" spans="1:68" ht="14.25" customHeight="1" x14ac:dyDescent="0.25">
      <c r="A269" s="345" t="s">
        <v>142</v>
      </c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27"/>
      <c r="N269" s="327"/>
      <c r="O269" s="327"/>
      <c r="P269" s="327"/>
      <c r="Q269" s="327"/>
      <c r="R269" s="327"/>
      <c r="S269" s="327"/>
      <c r="T269" s="327"/>
      <c r="U269" s="327"/>
      <c r="V269" s="327"/>
      <c r="W269" s="327"/>
      <c r="X269" s="327"/>
      <c r="Y269" s="327"/>
      <c r="Z269" s="327"/>
      <c r="AA269" s="312"/>
      <c r="AB269" s="312"/>
      <c r="AC269" s="312"/>
    </row>
    <row r="270" spans="1:68" ht="27" customHeight="1" x14ac:dyDescent="0.25">
      <c r="A270" s="54" t="s">
        <v>405</v>
      </c>
      <c r="B270" s="54" t="s">
        <v>406</v>
      </c>
      <c r="C270" s="31">
        <v>4301135504</v>
      </c>
      <c r="D270" s="330">
        <v>4640242181554</v>
      </c>
      <c r="E270" s="331"/>
      <c r="F270" s="315">
        <v>3</v>
      </c>
      <c r="G270" s="32">
        <v>1</v>
      </c>
      <c r="H270" s="315">
        <v>3</v>
      </c>
      <c r="I270" s="315">
        <v>3.1920000000000002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89" t="s">
        <v>407</v>
      </c>
      <c r="Q270" s="321"/>
      <c r="R270" s="321"/>
      <c r="S270" s="321"/>
      <c r="T270" s="322"/>
      <c r="U270" s="34"/>
      <c r="V270" s="34"/>
      <c r="W270" s="35" t="s">
        <v>70</v>
      </c>
      <c r="X270" s="316">
        <v>0</v>
      </c>
      <c r="Y270" s="317">
        <f t="shared" ref="Y270:Y289" si="24">IFERROR(IF(X270="","",X270),"")</f>
        <v>0</v>
      </c>
      <c r="Z270" s="36">
        <f>IFERROR(IF(X270="","",X270*0.00936),"")</f>
        <v>0</v>
      </c>
      <c r="AA270" s="56"/>
      <c r="AB270" s="57"/>
      <c r="AC270" s="268" t="s">
        <v>408</v>
      </c>
      <c r="AG270" s="67"/>
      <c r="AJ270" s="71" t="s">
        <v>72</v>
      </c>
      <c r="AK270" s="71">
        <v>1</v>
      </c>
      <c r="BB270" s="269" t="s">
        <v>84</v>
      </c>
      <c r="BM270" s="67">
        <f t="shared" ref="BM270:BM289" si="25">IFERROR(X270*I270,"0")</f>
        <v>0</v>
      </c>
      <c r="BN270" s="67">
        <f t="shared" ref="BN270:BN289" si="26">IFERROR(Y270*I270,"0")</f>
        <v>0</v>
      </c>
      <c r="BO270" s="67">
        <f t="shared" ref="BO270:BO289" si="27">IFERROR(X270/J270,"0")</f>
        <v>0</v>
      </c>
      <c r="BP270" s="67">
        <f t="shared" ref="BP270:BP289" si="28">IFERROR(Y270/J270,"0")</f>
        <v>0</v>
      </c>
    </row>
    <row r="271" spans="1:68" ht="27" customHeight="1" x14ac:dyDescent="0.25">
      <c r="A271" s="54" t="s">
        <v>409</v>
      </c>
      <c r="B271" s="54" t="s">
        <v>410</v>
      </c>
      <c r="C271" s="31">
        <v>4301135394</v>
      </c>
      <c r="D271" s="330">
        <v>4640242181561</v>
      </c>
      <c r="E271" s="331"/>
      <c r="F271" s="315">
        <v>3.7</v>
      </c>
      <c r="G271" s="32">
        <v>1</v>
      </c>
      <c r="H271" s="315">
        <v>3.7</v>
      </c>
      <c r="I271" s="315">
        <v>3.8919999999999999</v>
      </c>
      <c r="J271" s="32">
        <v>126</v>
      </c>
      <c r="K271" s="32" t="s">
        <v>80</v>
      </c>
      <c r="L271" s="32" t="s">
        <v>81</v>
      </c>
      <c r="M271" s="33" t="s">
        <v>69</v>
      </c>
      <c r="N271" s="33"/>
      <c r="O271" s="32">
        <v>180</v>
      </c>
      <c r="P271" s="362" t="s">
        <v>411</v>
      </c>
      <c r="Q271" s="321"/>
      <c r="R271" s="321"/>
      <c r="S271" s="321"/>
      <c r="T271" s="322"/>
      <c r="U271" s="34"/>
      <c r="V271" s="34"/>
      <c r="W271" s="35" t="s">
        <v>70</v>
      </c>
      <c r="X271" s="316">
        <v>70</v>
      </c>
      <c r="Y271" s="317">
        <f t="shared" si="24"/>
        <v>70</v>
      </c>
      <c r="Z271" s="36">
        <f>IFERROR(IF(X271="","",X271*0.00936),"")</f>
        <v>0.6552</v>
      </c>
      <c r="AA271" s="56"/>
      <c r="AB271" s="57"/>
      <c r="AC271" s="270" t="s">
        <v>412</v>
      </c>
      <c r="AG271" s="67"/>
      <c r="AJ271" s="71" t="s">
        <v>83</v>
      </c>
      <c r="AK271" s="71">
        <v>14</v>
      </c>
      <c r="BB271" s="271" t="s">
        <v>84</v>
      </c>
      <c r="BM271" s="67">
        <f t="shared" si="25"/>
        <v>272.44</v>
      </c>
      <c r="BN271" s="67">
        <f t="shared" si="26"/>
        <v>272.44</v>
      </c>
      <c r="BO271" s="67">
        <f t="shared" si="27"/>
        <v>0.55555555555555558</v>
      </c>
      <c r="BP271" s="67">
        <f t="shared" si="28"/>
        <v>0.55555555555555558</v>
      </c>
    </row>
    <row r="272" spans="1:68" ht="37.5" customHeight="1" x14ac:dyDescent="0.25">
      <c r="A272" s="54" t="s">
        <v>413</v>
      </c>
      <c r="B272" s="54" t="s">
        <v>414</v>
      </c>
      <c r="C272" s="31">
        <v>4301135552</v>
      </c>
      <c r="D272" s="330">
        <v>4640242181431</v>
      </c>
      <c r="E272" s="331"/>
      <c r="F272" s="315">
        <v>3.5</v>
      </c>
      <c r="G272" s="32">
        <v>1</v>
      </c>
      <c r="H272" s="315">
        <v>3.5</v>
      </c>
      <c r="I272" s="315">
        <v>3.6920000000000002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31" t="s">
        <v>415</v>
      </c>
      <c r="Q272" s="321"/>
      <c r="R272" s="321"/>
      <c r="S272" s="321"/>
      <c r="T272" s="322"/>
      <c r="U272" s="34"/>
      <c r="V272" s="34"/>
      <c r="W272" s="35" t="s">
        <v>70</v>
      </c>
      <c r="X272" s="316">
        <v>0</v>
      </c>
      <c r="Y272" s="317">
        <f t="shared" si="24"/>
        <v>0</v>
      </c>
      <c r="Z272" s="36">
        <f>IFERROR(IF(X272="","",X272*0.00936),"")</f>
        <v>0</v>
      </c>
      <c r="AA272" s="56"/>
      <c r="AB272" s="57"/>
      <c r="AC272" s="272" t="s">
        <v>416</v>
      </c>
      <c r="AG272" s="67"/>
      <c r="AJ272" s="71" t="s">
        <v>72</v>
      </c>
      <c r="AK272" s="71">
        <v>1</v>
      </c>
      <c r="BB272" s="273" t="s">
        <v>84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417</v>
      </c>
      <c r="B273" s="54" t="s">
        <v>418</v>
      </c>
      <c r="C273" s="31">
        <v>4301135374</v>
      </c>
      <c r="D273" s="330">
        <v>4640242181424</v>
      </c>
      <c r="E273" s="331"/>
      <c r="F273" s="315">
        <v>5.5</v>
      </c>
      <c r="G273" s="32">
        <v>1</v>
      </c>
      <c r="H273" s="315">
        <v>5.5</v>
      </c>
      <c r="I273" s="315">
        <v>5.7350000000000003</v>
      </c>
      <c r="J273" s="32">
        <v>84</v>
      </c>
      <c r="K273" s="32" t="s">
        <v>67</v>
      </c>
      <c r="L273" s="32" t="s">
        <v>81</v>
      </c>
      <c r="M273" s="33" t="s">
        <v>69</v>
      </c>
      <c r="N273" s="33"/>
      <c r="O273" s="32">
        <v>180</v>
      </c>
      <c r="P273" s="383" t="s">
        <v>419</v>
      </c>
      <c r="Q273" s="321"/>
      <c r="R273" s="321"/>
      <c r="S273" s="321"/>
      <c r="T273" s="322"/>
      <c r="U273" s="34"/>
      <c r="V273" s="34"/>
      <c r="W273" s="35" t="s">
        <v>70</v>
      </c>
      <c r="X273" s="316">
        <v>48</v>
      </c>
      <c r="Y273" s="317">
        <f t="shared" si="24"/>
        <v>48</v>
      </c>
      <c r="Z273" s="36">
        <f>IFERROR(IF(X273="","",X273*0.0155),"")</f>
        <v>0.74399999999999999</v>
      </c>
      <c r="AA273" s="56"/>
      <c r="AB273" s="57"/>
      <c r="AC273" s="274" t="s">
        <v>408</v>
      </c>
      <c r="AG273" s="67"/>
      <c r="AJ273" s="71" t="s">
        <v>83</v>
      </c>
      <c r="AK273" s="71">
        <v>12</v>
      </c>
      <c r="BB273" s="275" t="s">
        <v>84</v>
      </c>
      <c r="BM273" s="67">
        <f t="shared" si="25"/>
        <v>275.28000000000003</v>
      </c>
      <c r="BN273" s="67">
        <f t="shared" si="26"/>
        <v>275.28000000000003</v>
      </c>
      <c r="BO273" s="67">
        <f t="shared" si="27"/>
        <v>0.5714285714285714</v>
      </c>
      <c r="BP273" s="67">
        <f t="shared" si="28"/>
        <v>0.5714285714285714</v>
      </c>
    </row>
    <row r="274" spans="1:68" ht="27" customHeight="1" x14ac:dyDescent="0.25">
      <c r="A274" s="54" t="s">
        <v>420</v>
      </c>
      <c r="B274" s="54" t="s">
        <v>421</v>
      </c>
      <c r="C274" s="31">
        <v>4301135320</v>
      </c>
      <c r="D274" s="330">
        <v>4640242181592</v>
      </c>
      <c r="E274" s="331"/>
      <c r="F274" s="315">
        <v>3.5</v>
      </c>
      <c r="G274" s="32">
        <v>1</v>
      </c>
      <c r="H274" s="315">
        <v>3.5</v>
      </c>
      <c r="I274" s="315">
        <v>3.6850000000000001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0" t="s">
        <v>422</v>
      </c>
      <c r="Q274" s="321"/>
      <c r="R274" s="321"/>
      <c r="S274" s="321"/>
      <c r="T274" s="322"/>
      <c r="U274" s="34"/>
      <c r="V274" s="34"/>
      <c r="W274" s="35" t="s">
        <v>70</v>
      </c>
      <c r="X274" s="316">
        <v>0</v>
      </c>
      <c r="Y274" s="317">
        <f t="shared" si="24"/>
        <v>0</v>
      </c>
      <c r="Z274" s="36">
        <f t="shared" ref="Z274:Z281" si="29">IFERROR(IF(X274="","",X274*0.00936),"")</f>
        <v>0</v>
      </c>
      <c r="AA274" s="56"/>
      <c r="AB274" s="57"/>
      <c r="AC274" s="276" t="s">
        <v>423</v>
      </c>
      <c r="AG274" s="67"/>
      <c r="AJ274" s="71" t="s">
        <v>72</v>
      </c>
      <c r="AK274" s="71">
        <v>1</v>
      </c>
      <c r="BB274" s="277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424</v>
      </c>
      <c r="B275" s="54" t="s">
        <v>425</v>
      </c>
      <c r="C275" s="31">
        <v>4301135405</v>
      </c>
      <c r="D275" s="330">
        <v>4640242181523</v>
      </c>
      <c r="E275" s="331"/>
      <c r="F275" s="315">
        <v>3</v>
      </c>
      <c r="G275" s="32">
        <v>1</v>
      </c>
      <c r="H275" s="315">
        <v>3</v>
      </c>
      <c r="I275" s="315">
        <v>3.1920000000000002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46" t="s">
        <v>426</v>
      </c>
      <c r="Q275" s="321"/>
      <c r="R275" s="321"/>
      <c r="S275" s="321"/>
      <c r="T275" s="322"/>
      <c r="U275" s="34"/>
      <c r="V275" s="34"/>
      <c r="W275" s="35" t="s">
        <v>70</v>
      </c>
      <c r="X275" s="316">
        <v>0</v>
      </c>
      <c r="Y275" s="317">
        <f t="shared" si="24"/>
        <v>0</v>
      </c>
      <c r="Z275" s="36">
        <f t="shared" si="29"/>
        <v>0</v>
      </c>
      <c r="AA275" s="56"/>
      <c r="AB275" s="57"/>
      <c r="AC275" s="278" t="s">
        <v>412</v>
      </c>
      <c r="AG275" s="67"/>
      <c r="AJ275" s="71" t="s">
        <v>83</v>
      </c>
      <c r="AK275" s="71">
        <v>14</v>
      </c>
      <c r="BB275" s="279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427</v>
      </c>
      <c r="B276" s="54" t="s">
        <v>428</v>
      </c>
      <c r="C276" s="31">
        <v>4301135404</v>
      </c>
      <c r="D276" s="330">
        <v>4640242181516</v>
      </c>
      <c r="E276" s="331"/>
      <c r="F276" s="315">
        <v>3.7</v>
      </c>
      <c r="G276" s="32">
        <v>1</v>
      </c>
      <c r="H276" s="315">
        <v>3.7</v>
      </c>
      <c r="I276" s="315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88" t="s">
        <v>429</v>
      </c>
      <c r="Q276" s="321"/>
      <c r="R276" s="321"/>
      <c r="S276" s="321"/>
      <c r="T276" s="322"/>
      <c r="U276" s="34"/>
      <c r="V276" s="34"/>
      <c r="W276" s="35" t="s">
        <v>70</v>
      </c>
      <c r="X276" s="316">
        <v>0</v>
      </c>
      <c r="Y276" s="317">
        <f t="shared" si="24"/>
        <v>0</v>
      </c>
      <c r="Z276" s="36">
        <f t="shared" si="29"/>
        <v>0</v>
      </c>
      <c r="AA276" s="56"/>
      <c r="AB276" s="57"/>
      <c r="AC276" s="280" t="s">
        <v>416</v>
      </c>
      <c r="AG276" s="67"/>
      <c r="AJ276" s="71" t="s">
        <v>72</v>
      </c>
      <c r="AK276" s="71">
        <v>1</v>
      </c>
      <c r="BB276" s="281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37.5" customHeight="1" x14ac:dyDescent="0.25">
      <c r="A277" s="54" t="s">
        <v>430</v>
      </c>
      <c r="B277" s="54" t="s">
        <v>431</v>
      </c>
      <c r="C277" s="31">
        <v>4301135402</v>
      </c>
      <c r="D277" s="330">
        <v>4640242181493</v>
      </c>
      <c r="E277" s="331"/>
      <c r="F277" s="315">
        <v>3.7</v>
      </c>
      <c r="G277" s="32">
        <v>1</v>
      </c>
      <c r="H277" s="315">
        <v>3.7</v>
      </c>
      <c r="I277" s="315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34" t="s">
        <v>432</v>
      </c>
      <c r="Q277" s="321"/>
      <c r="R277" s="321"/>
      <c r="S277" s="321"/>
      <c r="T277" s="322"/>
      <c r="U277" s="34"/>
      <c r="V277" s="34"/>
      <c r="W277" s="35" t="s">
        <v>70</v>
      </c>
      <c r="X277" s="316">
        <v>0</v>
      </c>
      <c r="Y277" s="317">
        <f t="shared" si="24"/>
        <v>0</v>
      </c>
      <c r="Z277" s="36">
        <f t="shared" si="29"/>
        <v>0</v>
      </c>
      <c r="AA277" s="56"/>
      <c r="AB277" s="57"/>
      <c r="AC277" s="282" t="s">
        <v>408</v>
      </c>
      <c r="AG277" s="67"/>
      <c r="AJ277" s="71" t="s">
        <v>72</v>
      </c>
      <c r="AK277" s="71">
        <v>1</v>
      </c>
      <c r="BB277" s="283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433</v>
      </c>
      <c r="B278" s="54" t="s">
        <v>434</v>
      </c>
      <c r="C278" s="31">
        <v>4301135375</v>
      </c>
      <c r="D278" s="330">
        <v>4640242181486</v>
      </c>
      <c r="E278" s="331"/>
      <c r="F278" s="315">
        <v>3.7</v>
      </c>
      <c r="G278" s="32">
        <v>1</v>
      </c>
      <c r="H278" s="315">
        <v>3.7</v>
      </c>
      <c r="I278" s="315">
        <v>3.8919999999999999</v>
      </c>
      <c r="J278" s="32">
        <v>126</v>
      </c>
      <c r="K278" s="32" t="s">
        <v>80</v>
      </c>
      <c r="L278" s="32" t="s">
        <v>89</v>
      </c>
      <c r="M278" s="33" t="s">
        <v>69</v>
      </c>
      <c r="N278" s="33"/>
      <c r="O278" s="32">
        <v>180</v>
      </c>
      <c r="P278" s="492" t="s">
        <v>435</v>
      </c>
      <c r="Q278" s="321"/>
      <c r="R278" s="321"/>
      <c r="S278" s="321"/>
      <c r="T278" s="322"/>
      <c r="U278" s="34"/>
      <c r="V278" s="34"/>
      <c r="W278" s="35" t="s">
        <v>70</v>
      </c>
      <c r="X278" s="316">
        <v>168</v>
      </c>
      <c r="Y278" s="317">
        <f t="shared" si="24"/>
        <v>168</v>
      </c>
      <c r="Z278" s="36">
        <f t="shared" si="29"/>
        <v>1.5724800000000001</v>
      </c>
      <c r="AA278" s="56"/>
      <c r="AB278" s="57"/>
      <c r="AC278" s="284" t="s">
        <v>408</v>
      </c>
      <c r="AG278" s="67"/>
      <c r="AJ278" s="71" t="s">
        <v>90</v>
      </c>
      <c r="AK278" s="71">
        <v>126</v>
      </c>
      <c r="BB278" s="285" t="s">
        <v>84</v>
      </c>
      <c r="BM278" s="67">
        <f t="shared" si="25"/>
        <v>653.85599999999999</v>
      </c>
      <c r="BN278" s="67">
        <f t="shared" si="26"/>
        <v>653.85599999999999</v>
      </c>
      <c r="BO278" s="67">
        <f t="shared" si="27"/>
        <v>1.3333333333333333</v>
      </c>
      <c r="BP278" s="67">
        <f t="shared" si="28"/>
        <v>1.3333333333333333</v>
      </c>
    </row>
    <row r="279" spans="1:68" ht="27" customHeight="1" x14ac:dyDescent="0.25">
      <c r="A279" s="54" t="s">
        <v>436</v>
      </c>
      <c r="B279" s="54" t="s">
        <v>437</v>
      </c>
      <c r="C279" s="31">
        <v>4301135403</v>
      </c>
      <c r="D279" s="330">
        <v>4640242181509</v>
      </c>
      <c r="E279" s="331"/>
      <c r="F279" s="315">
        <v>3.7</v>
      </c>
      <c r="G279" s="32">
        <v>1</v>
      </c>
      <c r="H279" s="315">
        <v>3.7</v>
      </c>
      <c r="I279" s="315">
        <v>3.8919999999999999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62" t="s">
        <v>438</v>
      </c>
      <c r="Q279" s="321"/>
      <c r="R279" s="321"/>
      <c r="S279" s="321"/>
      <c r="T279" s="322"/>
      <c r="U279" s="34"/>
      <c r="V279" s="34"/>
      <c r="W279" s="35" t="s">
        <v>70</v>
      </c>
      <c r="X279" s="316">
        <v>0</v>
      </c>
      <c r="Y279" s="317">
        <f t="shared" si="24"/>
        <v>0</v>
      </c>
      <c r="Z279" s="36">
        <f t="shared" si="29"/>
        <v>0</v>
      </c>
      <c r="AA279" s="56"/>
      <c r="AB279" s="57"/>
      <c r="AC279" s="286" t="s">
        <v>408</v>
      </c>
      <c r="AG279" s="67"/>
      <c r="AJ279" s="71" t="s">
        <v>72</v>
      </c>
      <c r="AK279" s="71">
        <v>1</v>
      </c>
      <c r="BB279" s="287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439</v>
      </c>
      <c r="B280" s="54" t="s">
        <v>440</v>
      </c>
      <c r="C280" s="31">
        <v>4301135304</v>
      </c>
      <c r="D280" s="330">
        <v>4640242181240</v>
      </c>
      <c r="E280" s="331"/>
      <c r="F280" s="315">
        <v>0.3</v>
      </c>
      <c r="G280" s="32">
        <v>9</v>
      </c>
      <c r="H280" s="315">
        <v>2.7</v>
      </c>
      <c r="I280" s="315">
        <v>2.88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18" t="s">
        <v>441</v>
      </c>
      <c r="Q280" s="321"/>
      <c r="R280" s="321"/>
      <c r="S280" s="321"/>
      <c r="T280" s="322"/>
      <c r="U280" s="34"/>
      <c r="V280" s="34"/>
      <c r="W280" s="35" t="s">
        <v>70</v>
      </c>
      <c r="X280" s="316">
        <v>0</v>
      </c>
      <c r="Y280" s="317">
        <f t="shared" si="24"/>
        <v>0</v>
      </c>
      <c r="Z280" s="36">
        <f t="shared" si="29"/>
        <v>0</v>
      </c>
      <c r="AA280" s="56"/>
      <c r="AB280" s="57"/>
      <c r="AC280" s="288" t="s">
        <v>408</v>
      </c>
      <c r="AG280" s="67"/>
      <c r="AJ280" s="71" t="s">
        <v>72</v>
      </c>
      <c r="AK280" s="71">
        <v>1</v>
      </c>
      <c r="BB280" s="289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442</v>
      </c>
      <c r="B281" s="54" t="s">
        <v>443</v>
      </c>
      <c r="C281" s="31">
        <v>4301135310</v>
      </c>
      <c r="D281" s="330">
        <v>4640242181318</v>
      </c>
      <c r="E281" s="331"/>
      <c r="F281" s="315">
        <v>0.3</v>
      </c>
      <c r="G281" s="32">
        <v>9</v>
      </c>
      <c r="H281" s="315">
        <v>2.7</v>
      </c>
      <c r="I281" s="315">
        <v>2.988</v>
      </c>
      <c r="J281" s="32">
        <v>126</v>
      </c>
      <c r="K281" s="32" t="s">
        <v>80</v>
      </c>
      <c r="L281" s="32" t="s">
        <v>81</v>
      </c>
      <c r="M281" s="33" t="s">
        <v>69</v>
      </c>
      <c r="N281" s="33"/>
      <c r="O281" s="32">
        <v>180</v>
      </c>
      <c r="P281" s="405" t="s">
        <v>444</v>
      </c>
      <c r="Q281" s="321"/>
      <c r="R281" s="321"/>
      <c r="S281" s="321"/>
      <c r="T281" s="322"/>
      <c r="U281" s="34"/>
      <c r="V281" s="34"/>
      <c r="W281" s="35" t="s">
        <v>70</v>
      </c>
      <c r="X281" s="316">
        <v>0</v>
      </c>
      <c r="Y281" s="317">
        <f t="shared" si="24"/>
        <v>0</v>
      </c>
      <c r="Z281" s="36">
        <f t="shared" si="29"/>
        <v>0</v>
      </c>
      <c r="AA281" s="56"/>
      <c r="AB281" s="57"/>
      <c r="AC281" s="290" t="s">
        <v>412</v>
      </c>
      <c r="AG281" s="67"/>
      <c r="AJ281" s="71" t="s">
        <v>83</v>
      </c>
      <c r="AK281" s="71">
        <v>14</v>
      </c>
      <c r="BB281" s="291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445</v>
      </c>
      <c r="B282" s="54" t="s">
        <v>446</v>
      </c>
      <c r="C282" s="31">
        <v>4301135306</v>
      </c>
      <c r="D282" s="330">
        <v>4640242181578</v>
      </c>
      <c r="E282" s="331"/>
      <c r="F282" s="315">
        <v>0.3</v>
      </c>
      <c r="G282" s="32">
        <v>9</v>
      </c>
      <c r="H282" s="315">
        <v>2.7</v>
      </c>
      <c r="I282" s="315">
        <v>2.8450000000000002</v>
      </c>
      <c r="J282" s="32">
        <v>234</v>
      </c>
      <c r="K282" s="32" t="s">
        <v>137</v>
      </c>
      <c r="L282" s="32" t="s">
        <v>81</v>
      </c>
      <c r="M282" s="33" t="s">
        <v>69</v>
      </c>
      <c r="N282" s="33"/>
      <c r="O282" s="32">
        <v>180</v>
      </c>
      <c r="P282" s="483" t="s">
        <v>447</v>
      </c>
      <c r="Q282" s="321"/>
      <c r="R282" s="321"/>
      <c r="S282" s="321"/>
      <c r="T282" s="322"/>
      <c r="U282" s="34"/>
      <c r="V282" s="34"/>
      <c r="W282" s="35" t="s">
        <v>70</v>
      </c>
      <c r="X282" s="316">
        <v>0</v>
      </c>
      <c r="Y282" s="317">
        <f t="shared" si="24"/>
        <v>0</v>
      </c>
      <c r="Z282" s="36">
        <f>IFERROR(IF(X282="","",X282*0.00502),"")</f>
        <v>0</v>
      </c>
      <c r="AA282" s="56"/>
      <c r="AB282" s="57"/>
      <c r="AC282" s="292" t="s">
        <v>408</v>
      </c>
      <c r="AG282" s="67"/>
      <c r="AJ282" s="71" t="s">
        <v>83</v>
      </c>
      <c r="AK282" s="71">
        <v>18</v>
      </c>
      <c r="BB282" s="293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448</v>
      </c>
      <c r="B283" s="54" t="s">
        <v>449</v>
      </c>
      <c r="C283" s="31">
        <v>4301135305</v>
      </c>
      <c r="D283" s="330">
        <v>4640242181394</v>
      </c>
      <c r="E283" s="331"/>
      <c r="F283" s="315">
        <v>0.3</v>
      </c>
      <c r="G283" s="32">
        <v>9</v>
      </c>
      <c r="H283" s="315">
        <v>2.7</v>
      </c>
      <c r="I283" s="315">
        <v>2.8450000000000002</v>
      </c>
      <c r="J283" s="32">
        <v>234</v>
      </c>
      <c r="K283" s="32" t="s">
        <v>137</v>
      </c>
      <c r="L283" s="32" t="s">
        <v>81</v>
      </c>
      <c r="M283" s="33" t="s">
        <v>69</v>
      </c>
      <c r="N283" s="33"/>
      <c r="O283" s="32">
        <v>180</v>
      </c>
      <c r="P283" s="433" t="s">
        <v>450</v>
      </c>
      <c r="Q283" s="321"/>
      <c r="R283" s="321"/>
      <c r="S283" s="321"/>
      <c r="T283" s="322"/>
      <c r="U283" s="34"/>
      <c r="V283" s="34"/>
      <c r="W283" s="35" t="s">
        <v>70</v>
      </c>
      <c r="X283" s="316">
        <v>0</v>
      </c>
      <c r="Y283" s="317">
        <f t="shared" si="24"/>
        <v>0</v>
      </c>
      <c r="Z283" s="36">
        <f>IFERROR(IF(X283="","",X283*0.00502),"")</f>
        <v>0</v>
      </c>
      <c r="AA283" s="56"/>
      <c r="AB283" s="57"/>
      <c r="AC283" s="294" t="s">
        <v>408</v>
      </c>
      <c r="AG283" s="67"/>
      <c r="AJ283" s="71" t="s">
        <v>83</v>
      </c>
      <c r="AK283" s="71">
        <v>18</v>
      </c>
      <c r="BB283" s="295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451</v>
      </c>
      <c r="B284" s="54" t="s">
        <v>452</v>
      </c>
      <c r="C284" s="31">
        <v>4301135309</v>
      </c>
      <c r="D284" s="330">
        <v>4640242181332</v>
      </c>
      <c r="E284" s="331"/>
      <c r="F284" s="315">
        <v>0.3</v>
      </c>
      <c r="G284" s="32">
        <v>9</v>
      </c>
      <c r="H284" s="315">
        <v>2.7</v>
      </c>
      <c r="I284" s="315">
        <v>2.9079999999999999</v>
      </c>
      <c r="J284" s="32">
        <v>234</v>
      </c>
      <c r="K284" s="32" t="s">
        <v>137</v>
      </c>
      <c r="L284" s="32" t="s">
        <v>68</v>
      </c>
      <c r="M284" s="33" t="s">
        <v>69</v>
      </c>
      <c r="N284" s="33"/>
      <c r="O284" s="32">
        <v>180</v>
      </c>
      <c r="P284" s="391" t="s">
        <v>453</v>
      </c>
      <c r="Q284" s="321"/>
      <c r="R284" s="321"/>
      <c r="S284" s="321"/>
      <c r="T284" s="322"/>
      <c r="U284" s="34"/>
      <c r="V284" s="34"/>
      <c r="W284" s="35" t="s">
        <v>70</v>
      </c>
      <c r="X284" s="316">
        <v>0</v>
      </c>
      <c r="Y284" s="317">
        <f t="shared" si="24"/>
        <v>0</v>
      </c>
      <c r="Z284" s="36">
        <f>IFERROR(IF(X284="","",X284*0.00502),"")</f>
        <v>0</v>
      </c>
      <c r="AA284" s="56"/>
      <c r="AB284" s="57"/>
      <c r="AC284" s="296" t="s">
        <v>408</v>
      </c>
      <c r="AG284" s="67"/>
      <c r="AJ284" s="71" t="s">
        <v>72</v>
      </c>
      <c r="AK284" s="71">
        <v>1</v>
      </c>
      <c r="BB284" s="297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454</v>
      </c>
      <c r="B285" s="54" t="s">
        <v>455</v>
      </c>
      <c r="C285" s="31">
        <v>4301135308</v>
      </c>
      <c r="D285" s="330">
        <v>4640242181349</v>
      </c>
      <c r="E285" s="331"/>
      <c r="F285" s="315">
        <v>0.3</v>
      </c>
      <c r="G285" s="32">
        <v>9</v>
      </c>
      <c r="H285" s="315">
        <v>2.7</v>
      </c>
      <c r="I285" s="315">
        <v>2.9079999999999999</v>
      </c>
      <c r="J285" s="32">
        <v>234</v>
      </c>
      <c r="K285" s="32" t="s">
        <v>137</v>
      </c>
      <c r="L285" s="32" t="s">
        <v>68</v>
      </c>
      <c r="M285" s="33" t="s">
        <v>69</v>
      </c>
      <c r="N285" s="33"/>
      <c r="O285" s="32">
        <v>180</v>
      </c>
      <c r="P285" s="436" t="s">
        <v>456</v>
      </c>
      <c r="Q285" s="321"/>
      <c r="R285" s="321"/>
      <c r="S285" s="321"/>
      <c r="T285" s="322"/>
      <c r="U285" s="34"/>
      <c r="V285" s="34"/>
      <c r="W285" s="35" t="s">
        <v>70</v>
      </c>
      <c r="X285" s="316">
        <v>0</v>
      </c>
      <c r="Y285" s="317">
        <f t="shared" si="24"/>
        <v>0</v>
      </c>
      <c r="Z285" s="36">
        <f>IFERROR(IF(X285="","",X285*0.00502),"")</f>
        <v>0</v>
      </c>
      <c r="AA285" s="56"/>
      <c r="AB285" s="57"/>
      <c r="AC285" s="298" t="s">
        <v>408</v>
      </c>
      <c r="AG285" s="67"/>
      <c r="AJ285" s="71" t="s">
        <v>72</v>
      </c>
      <c r="AK285" s="71">
        <v>1</v>
      </c>
      <c r="BB285" s="299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457</v>
      </c>
      <c r="B286" s="54" t="s">
        <v>458</v>
      </c>
      <c r="C286" s="31">
        <v>4301135307</v>
      </c>
      <c r="D286" s="330">
        <v>4640242181370</v>
      </c>
      <c r="E286" s="331"/>
      <c r="F286" s="315">
        <v>0.3</v>
      </c>
      <c r="G286" s="32">
        <v>9</v>
      </c>
      <c r="H286" s="315">
        <v>2.7</v>
      </c>
      <c r="I286" s="315">
        <v>2.9079999999999999</v>
      </c>
      <c r="J286" s="32">
        <v>234</v>
      </c>
      <c r="K286" s="32" t="s">
        <v>137</v>
      </c>
      <c r="L286" s="32" t="s">
        <v>68</v>
      </c>
      <c r="M286" s="33" t="s">
        <v>69</v>
      </c>
      <c r="N286" s="33"/>
      <c r="O286" s="32">
        <v>180</v>
      </c>
      <c r="P286" s="402" t="s">
        <v>459</v>
      </c>
      <c r="Q286" s="321"/>
      <c r="R286" s="321"/>
      <c r="S286" s="321"/>
      <c r="T286" s="322"/>
      <c r="U286" s="34"/>
      <c r="V286" s="34"/>
      <c r="W286" s="35" t="s">
        <v>70</v>
      </c>
      <c r="X286" s="316">
        <v>0</v>
      </c>
      <c r="Y286" s="317">
        <f t="shared" si="24"/>
        <v>0</v>
      </c>
      <c r="Z286" s="36">
        <f>IFERROR(IF(X286="","",X286*0.00502),"")</f>
        <v>0</v>
      </c>
      <c r="AA286" s="56"/>
      <c r="AB286" s="57"/>
      <c r="AC286" s="300" t="s">
        <v>460</v>
      </c>
      <c r="AG286" s="67"/>
      <c r="AJ286" s="71" t="s">
        <v>72</v>
      </c>
      <c r="AK286" s="71">
        <v>1</v>
      </c>
      <c r="BB286" s="301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461</v>
      </c>
      <c r="B287" s="54" t="s">
        <v>462</v>
      </c>
      <c r="C287" s="31">
        <v>4301135318</v>
      </c>
      <c r="D287" s="330">
        <v>4607111037480</v>
      </c>
      <c r="E287" s="331"/>
      <c r="F287" s="315">
        <v>1</v>
      </c>
      <c r="G287" s="32">
        <v>4</v>
      </c>
      <c r="H287" s="315">
        <v>4</v>
      </c>
      <c r="I287" s="315">
        <v>4.2724000000000002</v>
      </c>
      <c r="J287" s="32">
        <v>84</v>
      </c>
      <c r="K287" s="32" t="s">
        <v>67</v>
      </c>
      <c r="L287" s="32" t="s">
        <v>68</v>
      </c>
      <c r="M287" s="33" t="s">
        <v>69</v>
      </c>
      <c r="N287" s="33"/>
      <c r="O287" s="32">
        <v>180</v>
      </c>
      <c r="P287" s="404" t="s">
        <v>463</v>
      </c>
      <c r="Q287" s="321"/>
      <c r="R287" s="321"/>
      <c r="S287" s="321"/>
      <c r="T287" s="322"/>
      <c r="U287" s="34"/>
      <c r="V287" s="34"/>
      <c r="W287" s="35" t="s">
        <v>70</v>
      </c>
      <c r="X287" s="316">
        <v>0</v>
      </c>
      <c r="Y287" s="317">
        <f t="shared" si="24"/>
        <v>0</v>
      </c>
      <c r="Z287" s="36">
        <f>IFERROR(IF(X287="","",X287*0.0155),"")</f>
        <v>0</v>
      </c>
      <c r="AA287" s="56"/>
      <c r="AB287" s="57"/>
      <c r="AC287" s="302" t="s">
        <v>464</v>
      </c>
      <c r="AG287" s="67"/>
      <c r="AJ287" s="71" t="s">
        <v>72</v>
      </c>
      <c r="AK287" s="71">
        <v>1</v>
      </c>
      <c r="BB287" s="303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465</v>
      </c>
      <c r="B288" s="54" t="s">
        <v>466</v>
      </c>
      <c r="C288" s="31">
        <v>4301135319</v>
      </c>
      <c r="D288" s="330">
        <v>4607111037473</v>
      </c>
      <c r="E288" s="331"/>
      <c r="F288" s="315">
        <v>1</v>
      </c>
      <c r="G288" s="32">
        <v>4</v>
      </c>
      <c r="H288" s="315">
        <v>4</v>
      </c>
      <c r="I288" s="315">
        <v>4.2300000000000004</v>
      </c>
      <c r="J288" s="32">
        <v>84</v>
      </c>
      <c r="K288" s="32" t="s">
        <v>67</v>
      </c>
      <c r="L288" s="32" t="s">
        <v>68</v>
      </c>
      <c r="M288" s="33" t="s">
        <v>69</v>
      </c>
      <c r="N288" s="33"/>
      <c r="O288" s="32">
        <v>180</v>
      </c>
      <c r="P288" s="514" t="s">
        <v>467</v>
      </c>
      <c r="Q288" s="321"/>
      <c r="R288" s="321"/>
      <c r="S288" s="321"/>
      <c r="T288" s="322"/>
      <c r="U288" s="34"/>
      <c r="V288" s="34"/>
      <c r="W288" s="35" t="s">
        <v>70</v>
      </c>
      <c r="X288" s="316">
        <v>0</v>
      </c>
      <c r="Y288" s="317">
        <f t="shared" si="24"/>
        <v>0</v>
      </c>
      <c r="Z288" s="36">
        <f>IFERROR(IF(X288="","",X288*0.0155),"")</f>
        <v>0</v>
      </c>
      <c r="AA288" s="56"/>
      <c r="AB288" s="57"/>
      <c r="AC288" s="304" t="s">
        <v>468</v>
      </c>
      <c r="AG288" s="67"/>
      <c r="AJ288" s="71" t="s">
        <v>72</v>
      </c>
      <c r="AK288" s="71">
        <v>1</v>
      </c>
      <c r="BB288" s="305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469</v>
      </c>
      <c r="B289" s="54" t="s">
        <v>470</v>
      </c>
      <c r="C289" s="31">
        <v>4301135198</v>
      </c>
      <c r="D289" s="330">
        <v>4640242180663</v>
      </c>
      <c r="E289" s="331"/>
      <c r="F289" s="315">
        <v>0.9</v>
      </c>
      <c r="G289" s="32">
        <v>4</v>
      </c>
      <c r="H289" s="315">
        <v>3.6</v>
      </c>
      <c r="I289" s="315">
        <v>3.83</v>
      </c>
      <c r="J289" s="32">
        <v>84</v>
      </c>
      <c r="K289" s="32" t="s">
        <v>67</v>
      </c>
      <c r="L289" s="32" t="s">
        <v>68</v>
      </c>
      <c r="M289" s="33" t="s">
        <v>69</v>
      </c>
      <c r="N289" s="33"/>
      <c r="O289" s="32">
        <v>180</v>
      </c>
      <c r="P289" s="425" t="s">
        <v>471</v>
      </c>
      <c r="Q289" s="321"/>
      <c r="R289" s="321"/>
      <c r="S289" s="321"/>
      <c r="T289" s="322"/>
      <c r="U289" s="34"/>
      <c r="V289" s="34"/>
      <c r="W289" s="35" t="s">
        <v>70</v>
      </c>
      <c r="X289" s="316">
        <v>0</v>
      </c>
      <c r="Y289" s="317">
        <f t="shared" si="24"/>
        <v>0</v>
      </c>
      <c r="Z289" s="36">
        <f>IFERROR(IF(X289="","",X289*0.0155),"")</f>
        <v>0</v>
      </c>
      <c r="AA289" s="56"/>
      <c r="AB289" s="57"/>
      <c r="AC289" s="306" t="s">
        <v>472</v>
      </c>
      <c r="AG289" s="67"/>
      <c r="AJ289" s="71" t="s">
        <v>72</v>
      </c>
      <c r="AK289" s="71">
        <v>1</v>
      </c>
      <c r="BB289" s="307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x14ac:dyDescent="0.2">
      <c r="A290" s="332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33"/>
      <c r="P290" s="323" t="s">
        <v>73</v>
      </c>
      <c r="Q290" s="324"/>
      <c r="R290" s="324"/>
      <c r="S290" s="324"/>
      <c r="T290" s="324"/>
      <c r="U290" s="324"/>
      <c r="V290" s="325"/>
      <c r="W290" s="37" t="s">
        <v>70</v>
      </c>
      <c r="X290" s="318">
        <f>IFERROR(SUM(X270:X289),"0")</f>
        <v>286</v>
      </c>
      <c r="Y290" s="318">
        <f>IFERROR(SUM(Y270:Y289),"0")</f>
        <v>286</v>
      </c>
      <c r="Z290" s="31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2.9716800000000001</v>
      </c>
      <c r="AA290" s="319"/>
      <c r="AB290" s="319"/>
      <c r="AC290" s="319"/>
    </row>
    <row r="291" spans="1:68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27"/>
      <c r="N291" s="327"/>
      <c r="O291" s="333"/>
      <c r="P291" s="323" t="s">
        <v>73</v>
      </c>
      <c r="Q291" s="324"/>
      <c r="R291" s="324"/>
      <c r="S291" s="324"/>
      <c r="T291" s="324"/>
      <c r="U291" s="324"/>
      <c r="V291" s="325"/>
      <c r="W291" s="37" t="s">
        <v>74</v>
      </c>
      <c r="X291" s="318">
        <f>IFERROR(SUMPRODUCT(X270:X289*H270:H289),"0")</f>
        <v>1144.5999999999999</v>
      </c>
      <c r="Y291" s="318">
        <f>IFERROR(SUMPRODUCT(Y270:Y289*H270:H289),"0")</f>
        <v>1144.5999999999999</v>
      </c>
      <c r="Z291" s="37"/>
      <c r="AA291" s="319"/>
      <c r="AB291" s="319"/>
      <c r="AC291" s="319"/>
    </row>
    <row r="292" spans="1:68" ht="15" customHeight="1" x14ac:dyDescent="0.2">
      <c r="A292" s="377"/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78"/>
      <c r="P292" s="406" t="s">
        <v>473</v>
      </c>
      <c r="Q292" s="407"/>
      <c r="R292" s="407"/>
      <c r="S292" s="407"/>
      <c r="T292" s="407"/>
      <c r="U292" s="407"/>
      <c r="V292" s="408"/>
      <c r="W292" s="37" t="s">
        <v>74</v>
      </c>
      <c r="X292" s="318">
        <f>IFERROR(X24+X33+X39+X44+X60+X66+X71+X77+X87+X94+X106+X112+X119+X126+X131+X137+X142+X148+X156+X161+X169+X174+X180+X187+X197+X205+X210+X215+X221+X227+X234+X239+X245+X253+X257+X262+X268+X291,"0")</f>
        <v>6657.52</v>
      </c>
      <c r="Y292" s="318">
        <f>IFERROR(Y24+Y33+Y39+Y44+Y60+Y66+Y71+Y77+Y87+Y94+Y106+Y112+Y119+Y126+Y131+Y137+Y142+Y148+Y156+Y161+Y169+Y174+Y180+Y187+Y197+Y205+Y210+Y215+Y221+Y227+Y234+Y239+Y245+Y253+Y257+Y262+Y268+Y291,"0")</f>
        <v>6657.52</v>
      </c>
      <c r="Z292" s="37"/>
      <c r="AA292" s="319"/>
      <c r="AB292" s="319"/>
      <c r="AC292" s="319"/>
    </row>
    <row r="293" spans="1:68" x14ac:dyDescent="0.2">
      <c r="A293" s="327"/>
      <c r="B293" s="327"/>
      <c r="C293" s="327"/>
      <c r="D293" s="327"/>
      <c r="E293" s="327"/>
      <c r="F293" s="327"/>
      <c r="G293" s="327"/>
      <c r="H293" s="327"/>
      <c r="I293" s="327"/>
      <c r="J293" s="327"/>
      <c r="K293" s="327"/>
      <c r="L293" s="327"/>
      <c r="M293" s="327"/>
      <c r="N293" s="327"/>
      <c r="O293" s="378"/>
      <c r="P293" s="406" t="s">
        <v>474</v>
      </c>
      <c r="Q293" s="407"/>
      <c r="R293" s="407"/>
      <c r="S293" s="407"/>
      <c r="T293" s="407"/>
      <c r="U293" s="407"/>
      <c r="V293" s="408"/>
      <c r="W293" s="37" t="s">
        <v>74</v>
      </c>
      <c r="X293" s="318">
        <f>IFERROR(SUM(BM22:BM289),"0")</f>
        <v>7672.7111999999988</v>
      </c>
      <c r="Y293" s="318">
        <f>IFERROR(SUM(BN22:BN289),"0")</f>
        <v>7672.7111999999988</v>
      </c>
      <c r="Z293" s="37"/>
      <c r="AA293" s="319"/>
      <c r="AB293" s="319"/>
      <c r="AC293" s="319"/>
    </row>
    <row r="294" spans="1:68" x14ac:dyDescent="0.2">
      <c r="A294" s="327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27"/>
      <c r="O294" s="378"/>
      <c r="P294" s="406" t="s">
        <v>475</v>
      </c>
      <c r="Q294" s="407"/>
      <c r="R294" s="407"/>
      <c r="S294" s="407"/>
      <c r="T294" s="407"/>
      <c r="U294" s="407"/>
      <c r="V294" s="408"/>
      <c r="W294" s="37" t="s">
        <v>476</v>
      </c>
      <c r="X294" s="38">
        <f>ROUNDUP(SUM(BO22:BO289),0)</f>
        <v>24</v>
      </c>
      <c r="Y294" s="38">
        <f>ROUNDUP(SUM(BP22:BP289),0)</f>
        <v>24</v>
      </c>
      <c r="Z294" s="37"/>
      <c r="AA294" s="319"/>
      <c r="AB294" s="319"/>
      <c r="AC294" s="319"/>
    </row>
    <row r="295" spans="1:68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7"/>
      <c r="N295" s="327"/>
      <c r="O295" s="378"/>
      <c r="P295" s="406" t="s">
        <v>477</v>
      </c>
      <c r="Q295" s="407"/>
      <c r="R295" s="407"/>
      <c r="S295" s="407"/>
      <c r="T295" s="407"/>
      <c r="U295" s="407"/>
      <c r="V295" s="408"/>
      <c r="W295" s="37" t="s">
        <v>74</v>
      </c>
      <c r="X295" s="318">
        <f>GrossWeightTotal+PalletQtyTotal*25</f>
        <v>8272.7111999999979</v>
      </c>
      <c r="Y295" s="318">
        <f>GrossWeightTotalR+PalletQtyTotalR*25</f>
        <v>8272.7111999999979</v>
      </c>
      <c r="Z295" s="37"/>
      <c r="AA295" s="319"/>
      <c r="AB295" s="319"/>
      <c r="AC295" s="319"/>
    </row>
    <row r="296" spans="1:68" x14ac:dyDescent="0.2">
      <c r="A296" s="327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7"/>
      <c r="M296" s="327"/>
      <c r="N296" s="327"/>
      <c r="O296" s="378"/>
      <c r="P296" s="406" t="s">
        <v>478</v>
      </c>
      <c r="Q296" s="407"/>
      <c r="R296" s="407"/>
      <c r="S296" s="407"/>
      <c r="T296" s="407"/>
      <c r="U296" s="407"/>
      <c r="V296" s="408"/>
      <c r="W296" s="37" t="s">
        <v>476</v>
      </c>
      <c r="X296" s="318">
        <f>IFERROR(X23+X32+X38+X43+X59+X65+X70+X76+X86+X93+X105+X111+X118+X125+X130+X136+X141+X147+X155+X160+X168+X173+X179+X186+X196+X204+X209+X214+X220+X226+X233+X238+X244+X252+X256+X261+X267+X290,"0")</f>
        <v>2020</v>
      </c>
      <c r="Y296" s="318">
        <f>IFERROR(Y23+Y32+Y38+Y43+Y59+Y65+Y70+Y76+Y86+Y93+Y105+Y111+Y118+Y125+Y130+Y136+Y141+Y147+Y155+Y160+Y168+Y173+Y179+Y186+Y196+Y204+Y209+Y214+Y220+Y226+Y233+Y238+Y244+Y252+Y256+Y261+Y267+Y290,"0")</f>
        <v>2020</v>
      </c>
      <c r="Z296" s="37"/>
      <c r="AA296" s="319"/>
      <c r="AB296" s="319"/>
      <c r="AC296" s="319"/>
    </row>
    <row r="297" spans="1:68" ht="14.25" customHeight="1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378"/>
      <c r="P297" s="406" t="s">
        <v>479</v>
      </c>
      <c r="Q297" s="407"/>
      <c r="R297" s="407"/>
      <c r="S297" s="407"/>
      <c r="T297" s="407"/>
      <c r="U297" s="407"/>
      <c r="V297" s="408"/>
      <c r="W297" s="39" t="s">
        <v>480</v>
      </c>
      <c r="X297" s="37"/>
      <c r="Y297" s="37"/>
      <c r="Z297" s="37">
        <f>IFERROR(Z23+Z32+Z38+Z43+Z59+Z65+Z70+Z76+Z86+Z93+Z105+Z111+Z118+Z125+Z130+Z136+Z141+Z147+Z155+Z160+Z168+Z173+Z179+Z186+Z196+Z204+Z209+Z214+Z220+Z226+Z233+Z238+Z244+Z252+Z256+Z261+Z267+Z290,"0")</f>
        <v>29.403379999999991</v>
      </c>
      <c r="AA297" s="319"/>
      <c r="AB297" s="319"/>
      <c r="AC297" s="319"/>
    </row>
    <row r="298" spans="1:68" ht="13.5" customHeight="1" thickBot="1" x14ac:dyDescent="0.25"/>
    <row r="299" spans="1:68" ht="27" customHeight="1" thickTop="1" thickBot="1" x14ac:dyDescent="0.25">
      <c r="A299" s="40" t="s">
        <v>481</v>
      </c>
      <c r="B299" s="313" t="s">
        <v>63</v>
      </c>
      <c r="C299" s="340" t="s">
        <v>75</v>
      </c>
      <c r="D299" s="447"/>
      <c r="E299" s="447"/>
      <c r="F299" s="447"/>
      <c r="G299" s="447"/>
      <c r="H299" s="447"/>
      <c r="I299" s="447"/>
      <c r="J299" s="447"/>
      <c r="K299" s="447"/>
      <c r="L299" s="447"/>
      <c r="M299" s="447"/>
      <c r="N299" s="447"/>
      <c r="O299" s="447"/>
      <c r="P299" s="447"/>
      <c r="Q299" s="447"/>
      <c r="R299" s="447"/>
      <c r="S299" s="411"/>
      <c r="T299" s="340" t="s">
        <v>245</v>
      </c>
      <c r="U299" s="411"/>
      <c r="V299" s="313" t="s">
        <v>273</v>
      </c>
      <c r="W299" s="340" t="s">
        <v>295</v>
      </c>
      <c r="X299" s="447"/>
      <c r="Y299" s="447"/>
      <c r="Z299" s="447"/>
      <c r="AA299" s="447"/>
      <c r="AB299" s="447"/>
      <c r="AC299" s="411"/>
      <c r="AD299" s="313" t="s">
        <v>352</v>
      </c>
      <c r="AE299" s="340" t="s">
        <v>358</v>
      </c>
      <c r="AF299" s="411"/>
      <c r="AG299" s="313" t="s">
        <v>368</v>
      </c>
      <c r="AH299" s="313" t="s">
        <v>246</v>
      </c>
    </row>
    <row r="300" spans="1:68" ht="14.25" customHeight="1" thickTop="1" x14ac:dyDescent="0.2">
      <c r="A300" s="359" t="s">
        <v>482</v>
      </c>
      <c r="B300" s="340" t="s">
        <v>63</v>
      </c>
      <c r="C300" s="340" t="s">
        <v>76</v>
      </c>
      <c r="D300" s="340" t="s">
        <v>93</v>
      </c>
      <c r="E300" s="340" t="s">
        <v>100</v>
      </c>
      <c r="F300" s="340" t="s">
        <v>106</v>
      </c>
      <c r="G300" s="340" t="s">
        <v>134</v>
      </c>
      <c r="H300" s="340" t="s">
        <v>141</v>
      </c>
      <c r="I300" s="340" t="s">
        <v>146</v>
      </c>
      <c r="J300" s="340" t="s">
        <v>154</v>
      </c>
      <c r="K300" s="340" t="s">
        <v>173</v>
      </c>
      <c r="L300" s="340" t="s">
        <v>183</v>
      </c>
      <c r="M300" s="340" t="s">
        <v>202</v>
      </c>
      <c r="N300" s="314"/>
      <c r="O300" s="340" t="s">
        <v>210</v>
      </c>
      <c r="P300" s="340" t="s">
        <v>220</v>
      </c>
      <c r="Q300" s="340" t="s">
        <v>228</v>
      </c>
      <c r="R300" s="340" t="s">
        <v>232</v>
      </c>
      <c r="S300" s="340" t="s">
        <v>241</v>
      </c>
      <c r="T300" s="340" t="s">
        <v>246</v>
      </c>
      <c r="U300" s="340" t="s">
        <v>250</v>
      </c>
      <c r="V300" s="340" t="s">
        <v>274</v>
      </c>
      <c r="W300" s="340" t="s">
        <v>296</v>
      </c>
      <c r="X300" s="340" t="s">
        <v>301</v>
      </c>
      <c r="Y300" s="340" t="s">
        <v>311</v>
      </c>
      <c r="Z300" s="340" t="s">
        <v>326</v>
      </c>
      <c r="AA300" s="340" t="s">
        <v>337</v>
      </c>
      <c r="AB300" s="340" t="s">
        <v>341</v>
      </c>
      <c r="AC300" s="340" t="s">
        <v>345</v>
      </c>
      <c r="AD300" s="340" t="s">
        <v>353</v>
      </c>
      <c r="AE300" s="340" t="s">
        <v>359</v>
      </c>
      <c r="AF300" s="340" t="s">
        <v>365</v>
      </c>
      <c r="AG300" s="340" t="s">
        <v>369</v>
      </c>
      <c r="AH300" s="340" t="s">
        <v>246</v>
      </c>
    </row>
    <row r="301" spans="1:68" ht="13.5" customHeight="1" thickBot="1" x14ac:dyDescent="0.25">
      <c r="A301" s="360"/>
      <c r="B301" s="341"/>
      <c r="C301" s="341"/>
      <c r="D301" s="341"/>
      <c r="E301" s="341"/>
      <c r="F301" s="341"/>
      <c r="G301" s="341"/>
      <c r="H301" s="341"/>
      <c r="I301" s="341"/>
      <c r="J301" s="341"/>
      <c r="K301" s="341"/>
      <c r="L301" s="341"/>
      <c r="M301" s="341"/>
      <c r="N301" s="314"/>
      <c r="O301" s="341"/>
      <c r="P301" s="341"/>
      <c r="Q301" s="341"/>
      <c r="R301" s="341"/>
      <c r="S301" s="341"/>
      <c r="T301" s="341"/>
      <c r="U301" s="341"/>
      <c r="V301" s="341"/>
      <c r="W301" s="341"/>
      <c r="X301" s="341"/>
      <c r="Y301" s="341"/>
      <c r="Z301" s="341"/>
      <c r="AA301" s="341"/>
      <c r="AB301" s="341"/>
      <c r="AC301" s="341"/>
      <c r="AD301" s="341"/>
      <c r="AE301" s="341"/>
      <c r="AF301" s="341"/>
      <c r="AG301" s="341"/>
      <c r="AH301" s="341"/>
    </row>
    <row r="302" spans="1:68" ht="18" customHeight="1" thickTop="1" thickBot="1" x14ac:dyDescent="0.25">
      <c r="A302" s="40" t="s">
        <v>483</v>
      </c>
      <c r="B302" s="46">
        <f>IFERROR(X22*H22,"0")</f>
        <v>0</v>
      </c>
      <c r="C302" s="46">
        <f>IFERROR(X28*H28,"0")+IFERROR(X29*H29,"0")+IFERROR(X30*H30,"0")+IFERROR(X31*H31,"0")</f>
        <v>357</v>
      </c>
      <c r="D302" s="46">
        <f>IFERROR(X36*H36,"0")+IFERROR(X37*H37,"0")</f>
        <v>144</v>
      </c>
      <c r="E302" s="46">
        <f>IFERROR(X42*H42,"0")</f>
        <v>36</v>
      </c>
      <c r="F302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02" s="46">
        <f>IFERROR(X63*H63,"0")+IFERROR(X64*H64,"0")</f>
        <v>420</v>
      </c>
      <c r="H302" s="46">
        <f>IFERROR(X69*H69,"0")</f>
        <v>151.20000000000002</v>
      </c>
      <c r="I302" s="46">
        <f>IFERROR(X74*H74,"0")+IFERROR(X75*H75,"0")</f>
        <v>252</v>
      </c>
      <c r="J302" s="46">
        <f>IFERROR(X80*H80,"0")+IFERROR(X81*H81,"0")+IFERROR(X82*H82,"0")+IFERROR(X83*H83,"0")+IFERROR(X84*H84,"0")+IFERROR(X85*H85,"0")</f>
        <v>813.12</v>
      </c>
      <c r="K302" s="46">
        <f>IFERROR(X90*H90,"0")+IFERROR(X91*H91,"0")+IFERROR(X92*H92,"0")</f>
        <v>453.6</v>
      </c>
      <c r="L302" s="46">
        <f>IFERROR(X97*H97,"0")+IFERROR(X98*H98,"0")+IFERROR(X99*H99,"0")+IFERROR(X100*H100,"0")+IFERROR(X101*H101,"0")+IFERROR(X102*H102,"0")+IFERROR(X103*H103,"0")+IFERROR(X104*H104,"0")</f>
        <v>0</v>
      </c>
      <c r="M302" s="46">
        <f>IFERROR(X109*H109,"0")+IFERROR(X110*H110,"0")</f>
        <v>1638</v>
      </c>
      <c r="N302" s="314"/>
      <c r="O302" s="46">
        <f>IFERROR(X115*H115,"0")+IFERROR(X116*H116,"0")+IFERROR(X117*H117,"0")</f>
        <v>252</v>
      </c>
      <c r="P302" s="46">
        <f>IFERROR(X122*H122,"0")+IFERROR(X123*H123,"0")+IFERROR(X124*H124,"0")</f>
        <v>0</v>
      </c>
      <c r="Q302" s="46">
        <f>IFERROR(X129*H129,"0")</f>
        <v>42</v>
      </c>
      <c r="R302" s="46">
        <f>IFERROR(X134*H134,"0")+IFERROR(X135*H135,"0")</f>
        <v>0</v>
      </c>
      <c r="S302" s="46">
        <f>IFERROR(X140*H140,"0")</f>
        <v>0</v>
      </c>
      <c r="T302" s="46">
        <f>IFERROR(X146*H146,"0")</f>
        <v>0</v>
      </c>
      <c r="U302" s="46">
        <f>IFERROR(X151*H151,"0")+IFERROR(X152*H152,"0")+IFERROR(X153*H153,"0")+IFERROR(X154*H154,"0")+IFERROR(X158*H158,"0")+IFERROR(X159*H159,"0")</f>
        <v>0</v>
      </c>
      <c r="V302" s="46">
        <f>IFERROR(X165*H165,"0")+IFERROR(X166*H166,"0")+IFERROR(X167*H167,"0")+IFERROR(X171*H171,"0")+IFERROR(X172*H172,"0")</f>
        <v>42</v>
      </c>
      <c r="W302" s="46">
        <f>IFERROR(X178*H178,"0")</f>
        <v>33.6</v>
      </c>
      <c r="X302" s="46">
        <f>IFERROR(X183*H183,"0")+IFERROR(X184*H184,"0")+IFERROR(X185*H185,"0")</f>
        <v>0</v>
      </c>
      <c r="Y302" s="46">
        <f>IFERROR(X190*H190,"0")+IFERROR(X191*H191,"0")+IFERROR(X192*H192,"0")+IFERROR(X193*H193,"0")+IFERROR(X194*H194,"0")+IFERROR(X195*H195,"0")</f>
        <v>0</v>
      </c>
      <c r="Z302" s="46">
        <f>IFERROR(X200*H200,"0")+IFERROR(X201*H201,"0")+IFERROR(X202*H202,"0")+IFERROR(X203*H203,"0")</f>
        <v>0</v>
      </c>
      <c r="AA302" s="46">
        <f>IFERROR(X208*H208,"0")</f>
        <v>0</v>
      </c>
      <c r="AB302" s="46">
        <f>IFERROR(X213*H213,"0")</f>
        <v>0</v>
      </c>
      <c r="AC302" s="46">
        <f>IFERROR(X218*H218,"0")+IFERROR(X219*H219,"0")</f>
        <v>0</v>
      </c>
      <c r="AD302" s="46">
        <f>IFERROR(X225*H225,"0")</f>
        <v>0</v>
      </c>
      <c r="AE302" s="46">
        <f>IFERROR(X231*H231,"0")+IFERROR(X232*H232,"0")</f>
        <v>0</v>
      </c>
      <c r="AF302" s="46">
        <f>IFERROR(X237*H237,"0")</f>
        <v>0</v>
      </c>
      <c r="AG302" s="46">
        <f>IFERROR(X243*H243,"0")</f>
        <v>0</v>
      </c>
      <c r="AH302" s="46">
        <f>IFERROR(X249*H249,"0")+IFERROR(X250*H250,"0")+IFERROR(X251*H251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2023</v>
      </c>
    </row>
    <row r="303" spans="1:68" ht="13.5" customHeight="1" thickTop="1" x14ac:dyDescent="0.2">
      <c r="C303" s="314"/>
    </row>
    <row r="304" spans="1:68" ht="19.5" customHeight="1" x14ac:dyDescent="0.2">
      <c r="A304" s="58" t="s">
        <v>484</v>
      </c>
      <c r="B304" s="58" t="s">
        <v>485</v>
      </c>
      <c r="C304" s="58" t="s">
        <v>486</v>
      </c>
    </row>
    <row r="305" spans="1:3" x14ac:dyDescent="0.2">
      <c r="A305" s="59">
        <f>SUMPRODUCT(--(BB:BB="ЗПФ"),--(W:W="кор"),H:H,Y:Y)+SUMPRODUCT(--(BB:BB="ЗПФ"),--(W:W="кг"),Y:Y)</f>
        <v>564</v>
      </c>
      <c r="B305" s="60">
        <f>SUMPRODUCT(--(BB:BB="ПГП"),--(W:W="кор"),H:H,Y:Y)+SUMPRODUCT(--(BB:BB="ПГП"),--(W:W="кг"),Y:Y)</f>
        <v>6093.52</v>
      </c>
      <c r="C305" s="60">
        <f>SUMPRODUCT(--(BB:BB="КИЗ"),--(W:W="кор"),H:H,Y:Y)+SUMPRODUCT(--(BB:BB="КИЗ"),--(W:W="кг"),Y:Y)</f>
        <v>0</v>
      </c>
    </row>
  </sheetData>
  <sheetProtection algorithmName="SHA-512" hashValue="ffuo6BgX7cvQmL3XClWCv4HUsar+XPwWQeQd36sPyVUsuFu3KjNGsnBLpMkkcVJEMm+KaoM3AjjrJI2ssDIVvA==" saltValue="qJJecdmUewxYcyE4rlRfE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9">
    <mergeCell ref="K300:K301"/>
    <mergeCell ref="M300:M301"/>
    <mergeCell ref="D266:E266"/>
    <mergeCell ref="U17:V17"/>
    <mergeCell ref="Y17:Y18"/>
    <mergeCell ref="D57:E57"/>
    <mergeCell ref="A8:C8"/>
    <mergeCell ref="P124:T124"/>
    <mergeCell ref="D97:E97"/>
    <mergeCell ref="P151:T151"/>
    <mergeCell ref="P76:V76"/>
    <mergeCell ref="A128:Z128"/>
    <mergeCell ref="A10:C10"/>
    <mergeCell ref="A217:Z217"/>
    <mergeCell ref="P218:T218"/>
    <mergeCell ref="A21:Z21"/>
    <mergeCell ref="D184:E184"/>
    <mergeCell ref="L300:L301"/>
    <mergeCell ref="D192:E192"/>
    <mergeCell ref="P296:V296"/>
    <mergeCell ref="D42:E42"/>
    <mergeCell ref="A181:Z181"/>
    <mergeCell ref="D17:E18"/>
    <mergeCell ref="P202:T202"/>
    <mergeCell ref="Q5:R5"/>
    <mergeCell ref="F17:F18"/>
    <mergeCell ref="P290:V290"/>
    <mergeCell ref="D278:E278"/>
    <mergeCell ref="P288:T288"/>
    <mergeCell ref="D171:E171"/>
    <mergeCell ref="Q6:R6"/>
    <mergeCell ref="P200:T200"/>
    <mergeCell ref="P134:T134"/>
    <mergeCell ref="P243:T243"/>
    <mergeCell ref="A118:O119"/>
    <mergeCell ref="D102:E102"/>
    <mergeCell ref="A269:Z269"/>
    <mergeCell ref="P23:V23"/>
    <mergeCell ref="P210:V210"/>
    <mergeCell ref="A206:Z206"/>
    <mergeCell ref="A35:Z35"/>
    <mergeCell ref="A62:Z62"/>
    <mergeCell ref="D54:E54"/>
    <mergeCell ref="P160:V160"/>
    <mergeCell ref="P83:T83"/>
    <mergeCell ref="D271:E271"/>
    <mergeCell ref="V12:W12"/>
    <mergeCell ref="D191:E191"/>
    <mergeCell ref="AD17:AF18"/>
    <mergeCell ref="P142:V142"/>
    <mergeCell ref="D101:E101"/>
    <mergeCell ref="A132:Z132"/>
    <mergeCell ref="F5:G5"/>
    <mergeCell ref="P169:V169"/>
    <mergeCell ref="A25:Z25"/>
    <mergeCell ref="AE299:AF299"/>
    <mergeCell ref="P119:V119"/>
    <mergeCell ref="A236:Z236"/>
    <mergeCell ref="P82:T82"/>
    <mergeCell ref="A223:Z223"/>
    <mergeCell ref="V11:W11"/>
    <mergeCell ref="P57:T57"/>
    <mergeCell ref="D165:E165"/>
    <mergeCell ref="P75:T75"/>
    <mergeCell ref="P146:T146"/>
    <mergeCell ref="D152:E152"/>
    <mergeCell ref="A136:O137"/>
    <mergeCell ref="D279:E279"/>
    <mergeCell ref="A254:Z254"/>
    <mergeCell ref="D29:E29"/>
    <mergeCell ref="D265:E265"/>
    <mergeCell ref="A20:Z20"/>
    <mergeCell ref="P2:W3"/>
    <mergeCell ref="P54:T54"/>
    <mergeCell ref="X300:X301"/>
    <mergeCell ref="A244:O245"/>
    <mergeCell ref="A170:Z170"/>
    <mergeCell ref="Z300:Z301"/>
    <mergeCell ref="A23:O24"/>
    <mergeCell ref="P64:T64"/>
    <mergeCell ref="D10:E10"/>
    <mergeCell ref="P135:T135"/>
    <mergeCell ref="P191:T191"/>
    <mergeCell ref="F10:G10"/>
    <mergeCell ref="D243:E243"/>
    <mergeCell ref="D270:E270"/>
    <mergeCell ref="D99:E99"/>
    <mergeCell ref="P205:V205"/>
    <mergeCell ref="P123:T123"/>
    <mergeCell ref="S300:S301"/>
    <mergeCell ref="P110:T110"/>
    <mergeCell ref="P66:V66"/>
    <mergeCell ref="D218:E218"/>
    <mergeCell ref="P137:V137"/>
    <mergeCell ref="P197:V197"/>
    <mergeCell ref="A127:Z127"/>
    <mergeCell ref="C300:C301"/>
    <mergeCell ref="P101:T101"/>
    <mergeCell ref="E300:E301"/>
    <mergeCell ref="A246:Z246"/>
    <mergeCell ref="A168:O169"/>
    <mergeCell ref="M17:M18"/>
    <mergeCell ref="O17:O18"/>
    <mergeCell ref="P131:V131"/>
    <mergeCell ref="P187:V187"/>
    <mergeCell ref="A248:Z248"/>
    <mergeCell ref="P174:V174"/>
    <mergeCell ref="A175:Z175"/>
    <mergeCell ref="A235:Z235"/>
    <mergeCell ref="P102:T102"/>
    <mergeCell ref="A247:Z247"/>
    <mergeCell ref="P183:T183"/>
    <mergeCell ref="A176:Z176"/>
    <mergeCell ref="A114:Z114"/>
    <mergeCell ref="P239:V239"/>
    <mergeCell ref="D300:D301"/>
    <mergeCell ref="D249:E249"/>
    <mergeCell ref="D276:E276"/>
    <mergeCell ref="A107:Z107"/>
    <mergeCell ref="N17:N18"/>
    <mergeCell ref="H5:M5"/>
    <mergeCell ref="A27:Z27"/>
    <mergeCell ref="P98:T98"/>
    <mergeCell ref="P225:T225"/>
    <mergeCell ref="D146:E146"/>
    <mergeCell ref="D6:M6"/>
    <mergeCell ref="D83:E83"/>
    <mergeCell ref="A86:O87"/>
    <mergeCell ref="D85:E85"/>
    <mergeCell ref="G17:G18"/>
    <mergeCell ref="A143:Z143"/>
    <mergeCell ref="D159:E159"/>
    <mergeCell ref="D80:E80"/>
    <mergeCell ref="A207:Z207"/>
    <mergeCell ref="A182:Z182"/>
    <mergeCell ref="P148:V148"/>
    <mergeCell ref="P190:T190"/>
    <mergeCell ref="D154:E154"/>
    <mergeCell ref="D225:E225"/>
    <mergeCell ref="D200:E200"/>
    <mergeCell ref="P48:T48"/>
    <mergeCell ref="A105:O106"/>
    <mergeCell ref="A9:C9"/>
    <mergeCell ref="D202:E202"/>
    <mergeCell ref="V6:W9"/>
    <mergeCell ref="P234:V234"/>
    <mergeCell ref="P109:T109"/>
    <mergeCell ref="P274:T274"/>
    <mergeCell ref="A155:O156"/>
    <mergeCell ref="A226:O227"/>
    <mergeCell ref="A93:O94"/>
    <mergeCell ref="P84:T84"/>
    <mergeCell ref="P193:T193"/>
    <mergeCell ref="P22:T22"/>
    <mergeCell ref="A61:Z61"/>
    <mergeCell ref="A88:Z88"/>
    <mergeCell ref="P80:T80"/>
    <mergeCell ref="D194:E194"/>
    <mergeCell ref="Z17:Z18"/>
    <mergeCell ref="P173:V173"/>
    <mergeCell ref="P94:V94"/>
    <mergeCell ref="A212:Z212"/>
    <mergeCell ref="A41:Z41"/>
    <mergeCell ref="P44:V44"/>
    <mergeCell ref="A230:Z230"/>
    <mergeCell ref="P262:V262"/>
    <mergeCell ref="D58:E58"/>
    <mergeCell ref="D231:E231"/>
    <mergeCell ref="AA17:AA18"/>
    <mergeCell ref="H10:M10"/>
    <mergeCell ref="AC17:AC18"/>
    <mergeCell ref="P279:T279"/>
    <mergeCell ref="A224:Z224"/>
    <mergeCell ref="P209:V209"/>
    <mergeCell ref="A72:Z72"/>
    <mergeCell ref="P147:V147"/>
    <mergeCell ref="A199:Z199"/>
    <mergeCell ref="P251:T251"/>
    <mergeCell ref="D153:E153"/>
    <mergeCell ref="AB17:AB18"/>
    <mergeCell ref="P39:V39"/>
    <mergeCell ref="P70:V70"/>
    <mergeCell ref="P32:V32"/>
    <mergeCell ref="Q13:R13"/>
    <mergeCell ref="P268:V268"/>
    <mergeCell ref="P201:T201"/>
    <mergeCell ref="A125:O126"/>
    <mergeCell ref="D84:E84"/>
    <mergeCell ref="A157:Z157"/>
    <mergeCell ref="D22:E22"/>
    <mergeCell ref="A222:Z222"/>
    <mergeCell ref="P178:T178"/>
    <mergeCell ref="AF300:AF301"/>
    <mergeCell ref="P154:T154"/>
    <mergeCell ref="D75:E75"/>
    <mergeCell ref="AH300:AH301"/>
    <mergeCell ref="P91:T91"/>
    <mergeCell ref="D273:E273"/>
    <mergeCell ref="P252:V252"/>
    <mergeCell ref="O300:O301"/>
    <mergeCell ref="P105:V105"/>
    <mergeCell ref="Q300:Q301"/>
    <mergeCell ref="AG300:AG301"/>
    <mergeCell ref="Y300:Y301"/>
    <mergeCell ref="AA300:AA301"/>
    <mergeCell ref="W299:AC299"/>
    <mergeCell ref="D288:E288"/>
    <mergeCell ref="P282:T282"/>
    <mergeCell ref="F300:F301"/>
    <mergeCell ref="P276:T276"/>
    <mergeCell ref="P270:T270"/>
    <mergeCell ref="D213:E213"/>
    <mergeCell ref="D151:E151"/>
    <mergeCell ref="P278:T278"/>
    <mergeCell ref="AD300:AD301"/>
    <mergeCell ref="D237:E237"/>
    <mergeCell ref="J9:M9"/>
    <mergeCell ref="D283:E283"/>
    <mergeCell ref="A65:O66"/>
    <mergeCell ref="D193:E193"/>
    <mergeCell ref="D56:E56"/>
    <mergeCell ref="P37:T37"/>
    <mergeCell ref="D285:E285"/>
    <mergeCell ref="P155:V155"/>
    <mergeCell ref="P220:V220"/>
    <mergeCell ref="D64:E64"/>
    <mergeCell ref="D51:E51"/>
    <mergeCell ref="P86:V86"/>
    <mergeCell ref="P221:V221"/>
    <mergeCell ref="P215:V215"/>
    <mergeCell ref="A211:Z211"/>
    <mergeCell ref="A40:Z40"/>
    <mergeCell ref="A67:Z67"/>
    <mergeCell ref="D203:E203"/>
    <mergeCell ref="P232:T232"/>
    <mergeCell ref="P159:T159"/>
    <mergeCell ref="D140:E140"/>
    <mergeCell ref="H17:H18"/>
    <mergeCell ref="A220:O221"/>
    <mergeCell ref="P90:T90"/>
    <mergeCell ref="D36:E36"/>
    <mergeCell ref="P71:V71"/>
    <mergeCell ref="A138:Z138"/>
    <mergeCell ref="A13:M13"/>
    <mergeCell ref="A59:O60"/>
    <mergeCell ref="P244:V244"/>
    <mergeCell ref="P115:T115"/>
    <mergeCell ref="A15:M15"/>
    <mergeCell ref="D48:E48"/>
    <mergeCell ref="A133:Z133"/>
    <mergeCell ref="A198:Z198"/>
    <mergeCell ref="P49:T49"/>
    <mergeCell ref="P36:T36"/>
    <mergeCell ref="D49:E49"/>
    <mergeCell ref="P43:V43"/>
    <mergeCell ref="P85:T85"/>
    <mergeCell ref="D123:E123"/>
    <mergeCell ref="P58:T58"/>
    <mergeCell ref="D50:E50"/>
    <mergeCell ref="X17:X18"/>
    <mergeCell ref="D110:E110"/>
    <mergeCell ref="T5:U5"/>
    <mergeCell ref="D190:E190"/>
    <mergeCell ref="P203:T203"/>
    <mergeCell ref="V5:W5"/>
    <mergeCell ref="P294:V294"/>
    <mergeCell ref="D282:E282"/>
    <mergeCell ref="Q8:R8"/>
    <mergeCell ref="P69:T69"/>
    <mergeCell ref="P140:T140"/>
    <mergeCell ref="D183:E183"/>
    <mergeCell ref="A186:O187"/>
    <mergeCell ref="D219:E219"/>
    <mergeCell ref="D275:E275"/>
    <mergeCell ref="D104:E104"/>
    <mergeCell ref="A79:Z79"/>
    <mergeCell ref="T6:U9"/>
    <mergeCell ref="Q10:R10"/>
    <mergeCell ref="D185:E185"/>
    <mergeCell ref="D277:E277"/>
    <mergeCell ref="P256:V256"/>
    <mergeCell ref="P60:V60"/>
    <mergeCell ref="A252:O253"/>
    <mergeCell ref="A145:Z145"/>
    <mergeCell ref="A139:Z139"/>
    <mergeCell ref="A12:M12"/>
    <mergeCell ref="P293:V293"/>
    <mergeCell ref="A240:Z240"/>
    <mergeCell ref="P74:T74"/>
    <mergeCell ref="G300:G301"/>
    <mergeCell ref="A68:Z68"/>
    <mergeCell ref="A19:Z19"/>
    <mergeCell ref="I300:I301"/>
    <mergeCell ref="P292:V292"/>
    <mergeCell ref="A14:M14"/>
    <mergeCell ref="D280:E280"/>
    <mergeCell ref="A160:O161"/>
    <mergeCell ref="D109:E109"/>
    <mergeCell ref="D74:E74"/>
    <mergeCell ref="C299:S299"/>
    <mergeCell ref="D201:E201"/>
    <mergeCell ref="A204:O205"/>
    <mergeCell ref="P126:V126"/>
    <mergeCell ref="P260:T260"/>
    <mergeCell ref="A141:O142"/>
    <mergeCell ref="R300:R301"/>
    <mergeCell ref="D178:E178"/>
    <mergeCell ref="D172:E172"/>
    <mergeCell ref="P51:T51"/>
    <mergeCell ref="D264:E264"/>
    <mergeCell ref="P277:T277"/>
    <mergeCell ref="P297:V297"/>
    <mergeCell ref="P122:T122"/>
    <mergeCell ref="P291:V291"/>
    <mergeCell ref="P285:T285"/>
    <mergeCell ref="P65:V65"/>
    <mergeCell ref="P136:V136"/>
    <mergeCell ref="A188:Z188"/>
    <mergeCell ref="D251:E251"/>
    <mergeCell ref="P153:T153"/>
    <mergeCell ref="P227:V227"/>
    <mergeCell ref="D250:E250"/>
    <mergeCell ref="D286:E286"/>
    <mergeCell ref="A5:C5"/>
    <mergeCell ref="A108:Z108"/>
    <mergeCell ref="D166:E166"/>
    <mergeCell ref="P195:T195"/>
    <mergeCell ref="A17:A18"/>
    <mergeCell ref="A189:Z189"/>
    <mergeCell ref="C17:C18"/>
    <mergeCell ref="K17:K18"/>
    <mergeCell ref="D103:E103"/>
    <mergeCell ref="D37:E37"/>
    <mergeCell ref="D9:E9"/>
    <mergeCell ref="F9:G9"/>
    <mergeCell ref="P53:T53"/>
    <mergeCell ref="D167:E167"/>
    <mergeCell ref="P186:V186"/>
    <mergeCell ref="A121:Z121"/>
    <mergeCell ref="D63:E63"/>
    <mergeCell ref="A38:O39"/>
    <mergeCell ref="D52:E52"/>
    <mergeCell ref="A162:Z162"/>
    <mergeCell ref="P15:T16"/>
    <mergeCell ref="D116:E116"/>
    <mergeCell ref="A177:Z177"/>
    <mergeCell ref="D91:E91"/>
    <mergeCell ref="Q11:R11"/>
    <mergeCell ref="D260:E260"/>
    <mergeCell ref="A6:C6"/>
    <mergeCell ref="A96:Z96"/>
    <mergeCell ref="P167:T167"/>
    <mergeCell ref="P117:T117"/>
    <mergeCell ref="P55:T55"/>
    <mergeCell ref="D115:E115"/>
    <mergeCell ref="P280:T280"/>
    <mergeCell ref="Q12:R12"/>
    <mergeCell ref="D90:E90"/>
    <mergeCell ref="A130:O131"/>
    <mergeCell ref="P196:V196"/>
    <mergeCell ref="A261:O262"/>
    <mergeCell ref="A43:O44"/>
    <mergeCell ref="D232:E232"/>
    <mergeCell ref="A263:Z263"/>
    <mergeCell ref="P238:V238"/>
    <mergeCell ref="P264:T264"/>
    <mergeCell ref="P253:V253"/>
    <mergeCell ref="P204:V204"/>
    <mergeCell ref="P208:T208"/>
    <mergeCell ref="P219:T219"/>
    <mergeCell ref="A164:Z164"/>
    <mergeCell ref="W300:W301"/>
    <mergeCell ref="A111:O112"/>
    <mergeCell ref="P52:T52"/>
    <mergeCell ref="I17:I18"/>
    <mergeCell ref="D135:E135"/>
    <mergeCell ref="P287:T287"/>
    <mergeCell ref="P281:T281"/>
    <mergeCell ref="P295:V295"/>
    <mergeCell ref="A120:Z120"/>
    <mergeCell ref="P214:V214"/>
    <mergeCell ref="A95:Z95"/>
    <mergeCell ref="P267:V267"/>
    <mergeCell ref="D255:E255"/>
    <mergeCell ref="A113:Z113"/>
    <mergeCell ref="T299:U299"/>
    <mergeCell ref="P300:P301"/>
    <mergeCell ref="H300:H301"/>
    <mergeCell ref="J300:J301"/>
    <mergeCell ref="P289:T289"/>
    <mergeCell ref="P272:T272"/>
    <mergeCell ref="A196:O197"/>
    <mergeCell ref="A267:O268"/>
    <mergeCell ref="P185:T185"/>
    <mergeCell ref="P283:T283"/>
    <mergeCell ref="D1:F1"/>
    <mergeCell ref="B300:B301"/>
    <mergeCell ref="A242:Z242"/>
    <mergeCell ref="P47:T47"/>
    <mergeCell ref="P111:V111"/>
    <mergeCell ref="J17:J18"/>
    <mergeCell ref="D82:E82"/>
    <mergeCell ref="L17:L18"/>
    <mergeCell ref="P255:T255"/>
    <mergeCell ref="P125:V125"/>
    <mergeCell ref="P192:T192"/>
    <mergeCell ref="P112:V112"/>
    <mergeCell ref="D100:E100"/>
    <mergeCell ref="P284:T284"/>
    <mergeCell ref="A229:Z229"/>
    <mergeCell ref="P17:T18"/>
    <mergeCell ref="P129:T129"/>
    <mergeCell ref="P63:T63"/>
    <mergeCell ref="P194:T194"/>
    <mergeCell ref="P250:T250"/>
    <mergeCell ref="P50:T50"/>
    <mergeCell ref="D31:E31"/>
    <mergeCell ref="U300:U301"/>
    <mergeCell ref="P286:T286"/>
    <mergeCell ref="AB300:AB301"/>
    <mergeCell ref="P38:V38"/>
    <mergeCell ref="T300:T301"/>
    <mergeCell ref="H1:Q1"/>
    <mergeCell ref="V300:V301"/>
    <mergeCell ref="D284:E284"/>
    <mergeCell ref="D259:E259"/>
    <mergeCell ref="A163:Z163"/>
    <mergeCell ref="D28:E28"/>
    <mergeCell ref="P257:V257"/>
    <mergeCell ref="P184:T184"/>
    <mergeCell ref="A179:O180"/>
    <mergeCell ref="P171:T171"/>
    <mergeCell ref="D117:E117"/>
    <mergeCell ref="D92:E92"/>
    <mergeCell ref="D55:E55"/>
    <mergeCell ref="D30:E30"/>
    <mergeCell ref="A292:O297"/>
    <mergeCell ref="A214:O215"/>
    <mergeCell ref="D5:E5"/>
    <mergeCell ref="A238:O239"/>
    <mergeCell ref="P42:T42"/>
    <mergeCell ref="A32:O33"/>
    <mergeCell ref="P259:T259"/>
    <mergeCell ref="D7:M7"/>
    <mergeCell ref="P92:T92"/>
    <mergeCell ref="P156:V156"/>
    <mergeCell ref="A300:A301"/>
    <mergeCell ref="A209:O210"/>
    <mergeCell ref="P29:T29"/>
    <mergeCell ref="P271:T271"/>
    <mergeCell ref="A290:O291"/>
    <mergeCell ref="P100:T100"/>
    <mergeCell ref="P265:T265"/>
    <mergeCell ref="D81:E81"/>
    <mergeCell ref="D208:E208"/>
    <mergeCell ref="D8:M8"/>
    <mergeCell ref="P237:T237"/>
    <mergeCell ref="P31:T31"/>
    <mergeCell ref="P158:T158"/>
    <mergeCell ref="P180:V180"/>
    <mergeCell ref="P118:V118"/>
    <mergeCell ref="A241:Z241"/>
    <mergeCell ref="A228:Z228"/>
    <mergeCell ref="P266:T266"/>
    <mergeCell ref="D69:E69"/>
    <mergeCell ref="P106:V106"/>
    <mergeCell ref="P33:V33"/>
    <mergeCell ref="D287:E287"/>
    <mergeCell ref="D53:E53"/>
    <mergeCell ref="D47:E47"/>
    <mergeCell ref="D289:E289"/>
    <mergeCell ref="A149:Z149"/>
    <mergeCell ref="W17:W18"/>
    <mergeCell ref="P261:V261"/>
    <mergeCell ref="P161:V161"/>
    <mergeCell ref="A150:Z150"/>
    <mergeCell ref="A144:Z144"/>
    <mergeCell ref="D129:E129"/>
    <mergeCell ref="P226:V226"/>
    <mergeCell ref="P93:V93"/>
    <mergeCell ref="A216:Z216"/>
    <mergeCell ref="A45:Z45"/>
    <mergeCell ref="P273:T273"/>
    <mergeCell ref="D272:E272"/>
    <mergeCell ref="A46:Z46"/>
    <mergeCell ref="P166:T166"/>
    <mergeCell ref="A89:Z89"/>
    <mergeCell ref="D274:E274"/>
    <mergeCell ref="P116:T116"/>
    <mergeCell ref="D122:E122"/>
    <mergeCell ref="A233:O234"/>
    <mergeCell ref="R1:T1"/>
    <mergeCell ref="P28:T28"/>
    <mergeCell ref="AC300:AC301"/>
    <mergeCell ref="AE300:AE301"/>
    <mergeCell ref="P165:T165"/>
    <mergeCell ref="D98:E98"/>
    <mergeCell ref="P152:T152"/>
    <mergeCell ref="P77:V77"/>
    <mergeCell ref="P30:T30"/>
    <mergeCell ref="A76:O77"/>
    <mergeCell ref="P179:V179"/>
    <mergeCell ref="A147:O148"/>
    <mergeCell ref="P141:V141"/>
    <mergeCell ref="A258:Z258"/>
    <mergeCell ref="P233:V233"/>
    <mergeCell ref="P275:T275"/>
    <mergeCell ref="P168:V168"/>
    <mergeCell ref="P104:T104"/>
    <mergeCell ref="B17:B18"/>
    <mergeCell ref="A73:Z73"/>
    <mergeCell ref="D124:E124"/>
    <mergeCell ref="P81:T81"/>
    <mergeCell ref="D195:E195"/>
    <mergeCell ref="P56:T56"/>
    <mergeCell ref="P231:T231"/>
    <mergeCell ref="P87:V87"/>
    <mergeCell ref="A34:Z34"/>
    <mergeCell ref="P245:V245"/>
    <mergeCell ref="H9:I9"/>
    <mergeCell ref="P24:V24"/>
    <mergeCell ref="D281:E281"/>
    <mergeCell ref="A256:O257"/>
    <mergeCell ref="A78:Z78"/>
    <mergeCell ref="A70:O71"/>
    <mergeCell ref="P213:T213"/>
    <mergeCell ref="D134:E134"/>
    <mergeCell ref="P249:T249"/>
    <mergeCell ref="P172:T172"/>
    <mergeCell ref="V10:W10"/>
    <mergeCell ref="A173:O174"/>
    <mergeCell ref="P99:T99"/>
    <mergeCell ref="P103:T103"/>
    <mergeCell ref="A26:Z26"/>
    <mergeCell ref="P97:T97"/>
    <mergeCell ref="P59:V59"/>
    <mergeCell ref="P130:V130"/>
    <mergeCell ref="D158:E158"/>
    <mergeCell ref="Q9:R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 X184:X185 X190 X192 X194 X200 X202 X208 X213 X218:X219 X225 X232 X237 X243 X260 X266 X270 X272 X274 X276:X277 X279:X280 X284:X28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3 X191 X193 X195 X201 X203 X249:X251 X255 X264 X271 X273 X275 X281:X283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1 X259 X265 X278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487</v>
      </c>
      <c r="H1" s="52"/>
    </row>
    <row r="3" spans="2:8" x14ac:dyDescent="0.2">
      <c r="B3" s="47" t="s">
        <v>488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489</v>
      </c>
      <c r="D6" s="47" t="s">
        <v>490</v>
      </c>
      <c r="E6" s="47"/>
    </row>
    <row r="8" spans="2:8" x14ac:dyDescent="0.2">
      <c r="B8" s="47" t="s">
        <v>19</v>
      </c>
      <c r="C8" s="47" t="s">
        <v>489</v>
      </c>
      <c r="D8" s="47"/>
      <c r="E8" s="47"/>
    </row>
    <row r="10" spans="2:8" x14ac:dyDescent="0.2">
      <c r="B10" s="47" t="s">
        <v>491</v>
      </c>
      <c r="C10" s="47"/>
      <c r="D10" s="47"/>
      <c r="E10" s="47"/>
    </row>
    <row r="11" spans="2:8" x14ac:dyDescent="0.2">
      <c r="B11" s="47" t="s">
        <v>492</v>
      </c>
      <c r="C11" s="47"/>
      <c r="D11" s="47"/>
      <c r="E11" s="47"/>
    </row>
    <row r="12" spans="2:8" x14ac:dyDescent="0.2">
      <c r="B12" s="47" t="s">
        <v>493</v>
      </c>
      <c r="C12" s="47"/>
      <c r="D12" s="47"/>
      <c r="E12" s="47"/>
    </row>
    <row r="13" spans="2:8" x14ac:dyDescent="0.2">
      <c r="B13" s="47" t="s">
        <v>494</v>
      </c>
      <c r="C13" s="47"/>
      <c r="D13" s="47"/>
      <c r="E13" s="47"/>
    </row>
    <row r="14" spans="2:8" x14ac:dyDescent="0.2">
      <c r="B14" s="47" t="s">
        <v>495</v>
      </c>
      <c r="C14" s="47"/>
      <c r="D14" s="47"/>
      <c r="E14" s="47"/>
    </row>
    <row r="15" spans="2:8" x14ac:dyDescent="0.2">
      <c r="B15" s="47" t="s">
        <v>496</v>
      </c>
      <c r="C15" s="47"/>
      <c r="D15" s="47"/>
      <c r="E15" s="47"/>
    </row>
    <row r="16" spans="2:8" x14ac:dyDescent="0.2">
      <c r="B16" s="47" t="s">
        <v>497</v>
      </c>
      <c r="C16" s="47"/>
      <c r="D16" s="47"/>
      <c r="E16" s="47"/>
    </row>
    <row r="17" spans="2:5" x14ac:dyDescent="0.2">
      <c r="B17" s="47" t="s">
        <v>498</v>
      </c>
      <c r="C17" s="47"/>
      <c r="D17" s="47"/>
      <c r="E17" s="47"/>
    </row>
    <row r="18" spans="2:5" x14ac:dyDescent="0.2">
      <c r="B18" s="47" t="s">
        <v>499</v>
      </c>
      <c r="C18" s="47"/>
      <c r="D18" s="47"/>
      <c r="E18" s="47"/>
    </row>
    <row r="19" spans="2:5" x14ac:dyDescent="0.2">
      <c r="B19" s="47" t="s">
        <v>500</v>
      </c>
      <c r="C19" s="47"/>
      <c r="D19" s="47"/>
      <c r="E19" s="47"/>
    </row>
    <row r="20" spans="2:5" x14ac:dyDescent="0.2">
      <c r="B20" s="47" t="s">
        <v>501</v>
      </c>
      <c r="C20" s="47"/>
      <c r="D20" s="47"/>
      <c r="E20" s="47"/>
    </row>
  </sheetData>
  <sheetProtection algorithmName="SHA-512" hashValue="m6mRwS4AHrx0pbmim5sShchJ105+/L8cMz0VAvkFwlPlgJDI/wRb1m/2tKYFpy9AB7ZsrvkfcYuFXjfcV6FnkA==" saltValue="qbsWL2UcCJflPt0j2b9t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2024-11-08T11:48:06Z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