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189799-529E-46FF-8352-9A99C1F176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X461" i="1" s="1"/>
  <c r="W460" i="1"/>
  <c r="W465" i="1" s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W443" i="1"/>
  <c r="W446" i="1" s="1"/>
  <c r="N443" i="1"/>
  <c r="V441" i="1"/>
  <c r="V440" i="1"/>
  <c r="X439" i="1"/>
  <c r="W439" i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X430" i="1"/>
  <c r="W430" i="1"/>
  <c r="N430" i="1"/>
  <c r="W429" i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X399" i="1"/>
  <c r="W399" i="1"/>
  <c r="N399" i="1"/>
  <c r="W398" i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X386" i="1"/>
  <c r="W386" i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W378" i="1" s="1"/>
  <c r="N373" i="1"/>
  <c r="V371" i="1"/>
  <c r="V370" i="1"/>
  <c r="X369" i="1"/>
  <c r="W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N318" i="1"/>
  <c r="W317" i="1"/>
  <c r="V315" i="1"/>
  <c r="V314" i="1"/>
  <c r="X313" i="1"/>
  <c r="W313" i="1"/>
  <c r="N313" i="1"/>
  <c r="W312" i="1"/>
  <c r="X312" i="1" s="1"/>
  <c r="W311" i="1"/>
  <c r="X311" i="1" s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W301" i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W279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W253" i="1"/>
  <c r="W256" i="1" s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W232" i="1" s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X178" i="1"/>
  <c r="W178" i="1"/>
  <c r="N178" i="1"/>
  <c r="W177" i="1"/>
  <c r="X177" i="1" s="1"/>
  <c r="W176" i="1"/>
  <c r="X176" i="1" s="1"/>
  <c r="N176" i="1"/>
  <c r="X175" i="1"/>
  <c r="W175" i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2" i="1" s="1"/>
  <c r="N167" i="1"/>
  <c r="V165" i="1"/>
  <c r="V164" i="1"/>
  <c r="W163" i="1"/>
  <c r="X163" i="1" s="1"/>
  <c r="N163" i="1"/>
  <c r="X162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X152" i="1"/>
  <c r="W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V126" i="1"/>
  <c r="V125" i="1"/>
  <c r="W124" i="1"/>
  <c r="X124" i="1" s="1"/>
  <c r="W123" i="1"/>
  <c r="X123" i="1" s="1"/>
  <c r="W122" i="1"/>
  <c r="X122" i="1" s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X66" i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W55" i="1"/>
  <c r="N55" i="1"/>
  <c r="V52" i="1"/>
  <c r="V51" i="1"/>
  <c r="W50" i="1"/>
  <c r="X50" i="1" s="1"/>
  <c r="N50" i="1"/>
  <c r="W49" i="1"/>
  <c r="W52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F10" i="1"/>
  <c r="F9" i="1"/>
  <c r="A9" i="1"/>
  <c r="A10" i="1" s="1"/>
  <c r="D7" i="1"/>
  <c r="O6" i="1"/>
  <c r="N2" i="1"/>
  <c r="X26" i="1" l="1"/>
  <c r="X35" i="1"/>
  <c r="X36" i="1" s="1"/>
  <c r="W36" i="1"/>
  <c r="D484" i="1"/>
  <c r="X82" i="1"/>
  <c r="W90" i="1"/>
  <c r="W154" i="1"/>
  <c r="X103" i="1"/>
  <c r="W263" i="1"/>
  <c r="W59" i="1"/>
  <c r="W91" i="1"/>
  <c r="X39" i="1"/>
  <c r="X40" i="1" s="1"/>
  <c r="W40" i="1"/>
  <c r="X49" i="1"/>
  <c r="X51" i="1" s="1"/>
  <c r="W51" i="1"/>
  <c r="W60" i="1"/>
  <c r="W171" i="1"/>
  <c r="W226" i="1"/>
  <c r="W227" i="1"/>
  <c r="W244" i="1"/>
  <c r="W245" i="1"/>
  <c r="X253" i="1"/>
  <c r="X276" i="1"/>
  <c r="W278" i="1"/>
  <c r="W283" i="1"/>
  <c r="W284" i="1"/>
  <c r="W287" i="1"/>
  <c r="W288" i="1"/>
  <c r="W291" i="1"/>
  <c r="W292" i="1"/>
  <c r="W295" i="1"/>
  <c r="W296" i="1"/>
  <c r="W315" i="1"/>
  <c r="W347" i="1"/>
  <c r="W348" i="1"/>
  <c r="X443" i="1"/>
  <c r="X445" i="1" s="1"/>
  <c r="W445" i="1"/>
  <c r="W457" i="1"/>
  <c r="X460" i="1"/>
  <c r="X464" i="1" s="1"/>
  <c r="P484" i="1"/>
  <c r="X327" i="1"/>
  <c r="X331" i="1" s="1"/>
  <c r="W331" i="1"/>
  <c r="T484" i="1"/>
  <c r="W452" i="1"/>
  <c r="X450" i="1"/>
  <c r="X452" i="1" s="1"/>
  <c r="W453" i="1"/>
  <c r="B484" i="1"/>
  <c r="W475" i="1"/>
  <c r="W23" i="1"/>
  <c r="W476" i="1"/>
  <c r="W24" i="1"/>
  <c r="F484" i="1"/>
  <c r="X129" i="1"/>
  <c r="X132" i="1" s="1"/>
  <c r="W132" i="1"/>
  <c r="W133" i="1"/>
  <c r="W192" i="1"/>
  <c r="W191" i="1"/>
  <c r="X174" i="1"/>
  <c r="X191" i="1" s="1"/>
  <c r="W388" i="1"/>
  <c r="W389" i="1"/>
  <c r="X384" i="1"/>
  <c r="X388" i="1" s="1"/>
  <c r="W412" i="1"/>
  <c r="W413" i="1"/>
  <c r="X411" i="1"/>
  <c r="X412" i="1" s="1"/>
  <c r="X32" i="1"/>
  <c r="W82" i="1"/>
  <c r="X56" i="1"/>
  <c r="W117" i="1"/>
  <c r="W126" i="1"/>
  <c r="X120" i="1"/>
  <c r="X125" i="1" s="1"/>
  <c r="W223" i="1"/>
  <c r="W332" i="1"/>
  <c r="X335" i="1"/>
  <c r="W336" i="1"/>
  <c r="X353" i="1"/>
  <c r="Q484" i="1"/>
  <c r="W354" i="1"/>
  <c r="W405" i="1"/>
  <c r="W153" i="1"/>
  <c r="X144" i="1"/>
  <c r="X153" i="1" s="1"/>
  <c r="H484" i="1"/>
  <c r="X301" i="1"/>
  <c r="W309" i="1"/>
  <c r="W308" i="1"/>
  <c r="V474" i="1"/>
  <c r="X22" i="1"/>
  <c r="X23" i="1" s="1"/>
  <c r="J9" i="1"/>
  <c r="H9" i="1"/>
  <c r="W32" i="1"/>
  <c r="E484" i="1"/>
  <c r="W83" i="1"/>
  <c r="W125" i="1"/>
  <c r="X164" i="1"/>
  <c r="L484" i="1"/>
  <c r="W222" i="1"/>
  <c r="X207" i="1"/>
  <c r="X222" i="1" s="1"/>
  <c r="X262" i="1"/>
  <c r="X267" i="1"/>
  <c r="X273" i="1" s="1"/>
  <c r="W274" i="1"/>
  <c r="M484" i="1"/>
  <c r="X318" i="1"/>
  <c r="W319" i="1"/>
  <c r="W343" i="1"/>
  <c r="W404" i="1"/>
  <c r="W431" i="1"/>
  <c r="W432" i="1"/>
  <c r="X429" i="1"/>
  <c r="X431" i="1" s="1"/>
  <c r="X314" i="1"/>
  <c r="W104" i="1"/>
  <c r="V478" i="1"/>
  <c r="X85" i="1"/>
  <c r="X90" i="1" s="1"/>
  <c r="W103" i="1"/>
  <c r="W118" i="1"/>
  <c r="G484" i="1"/>
  <c r="W141" i="1"/>
  <c r="I484" i="1"/>
  <c r="W160" i="1"/>
  <c r="X167" i="1"/>
  <c r="X171" i="1" s="1"/>
  <c r="W198" i="1"/>
  <c r="W199" i="1"/>
  <c r="J484" i="1"/>
  <c r="W203" i="1"/>
  <c r="W204" i="1"/>
  <c r="X238" i="1"/>
  <c r="W257" i="1"/>
  <c r="X254" i="1"/>
  <c r="X256" i="1" s="1"/>
  <c r="W262" i="1"/>
  <c r="X278" i="1"/>
  <c r="O484" i="1"/>
  <c r="W320" i="1"/>
  <c r="W324" i="1"/>
  <c r="X322" i="1"/>
  <c r="X323" i="1" s="1"/>
  <c r="W337" i="1"/>
  <c r="X343" i="1"/>
  <c r="W344" i="1"/>
  <c r="W355" i="1"/>
  <c r="W370" i="1"/>
  <c r="W371" i="1"/>
  <c r="X357" i="1"/>
  <c r="X370" i="1" s="1"/>
  <c r="X373" i="1"/>
  <c r="X377" i="1" s="1"/>
  <c r="X398" i="1"/>
  <c r="S484" i="1"/>
  <c r="W426" i="1"/>
  <c r="W427" i="1"/>
  <c r="X440" i="1"/>
  <c r="W441" i="1"/>
  <c r="W473" i="1"/>
  <c r="C484" i="1"/>
  <c r="X55" i="1"/>
  <c r="X59" i="1" s="1"/>
  <c r="X106" i="1"/>
  <c r="X117" i="1" s="1"/>
  <c r="X137" i="1"/>
  <c r="X140" i="1" s="1"/>
  <c r="W140" i="1"/>
  <c r="W159" i="1"/>
  <c r="W164" i="1"/>
  <c r="W165" i="1"/>
  <c r="X194" i="1"/>
  <c r="X198" i="1" s="1"/>
  <c r="X202" i="1"/>
  <c r="X203" i="1" s="1"/>
  <c r="X235" i="1"/>
  <c r="W250" i="1"/>
  <c r="W377" i="1"/>
  <c r="W382" i="1"/>
  <c r="X380" i="1"/>
  <c r="X381" i="1" s="1"/>
  <c r="W395" i="1"/>
  <c r="W394" i="1"/>
  <c r="X404" i="1"/>
  <c r="W409" i="1"/>
  <c r="X407" i="1"/>
  <c r="X408" i="1" s="1"/>
  <c r="X417" i="1"/>
  <c r="X426" i="1" s="1"/>
  <c r="W464" i="1"/>
  <c r="X467" i="1"/>
  <c r="X472" i="1" s="1"/>
  <c r="W472" i="1"/>
  <c r="W233" i="1"/>
  <c r="W251" i="1"/>
  <c r="W273" i="1"/>
  <c r="W314" i="1"/>
  <c r="W440" i="1"/>
  <c r="W458" i="1"/>
  <c r="N484" i="1"/>
  <c r="R484" i="1"/>
  <c r="X229" i="1"/>
  <c r="X232" i="1" s="1"/>
  <c r="X247" i="1"/>
  <c r="X250" i="1" s="1"/>
  <c r="X300" i="1"/>
  <c r="X317" i="1"/>
  <c r="X319" i="1" s="1"/>
  <c r="X334" i="1"/>
  <c r="X336" i="1" s="1"/>
  <c r="X352" i="1"/>
  <c r="X354" i="1" s="1"/>
  <c r="X392" i="1"/>
  <c r="X394" i="1" s="1"/>
  <c r="X455" i="1"/>
  <c r="X457" i="1" s="1"/>
  <c r="W478" i="1" l="1"/>
  <c r="W477" i="1"/>
  <c r="X308" i="1"/>
  <c r="X244" i="1"/>
  <c r="W474" i="1"/>
  <c r="X479" i="1" l="1"/>
</calcChain>
</file>

<file path=xl/sharedStrings.xml><?xml version="1.0" encoding="utf-8"?>
<sst xmlns="http://schemas.openxmlformats.org/spreadsheetml/2006/main" count="2036" uniqueCount="698">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</sst>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47" t="s">
        <v>0</v>
      </c>
      <c r="E1" s="324"/>
      <c r="F1" s="324"/>
      <c r="G1" s="12" t="s">
        <v>1</v>
      </c>
      <c r="H1" s="44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3" t="s">
        <v>8</v>
      </c>
      <c r="B5" s="354"/>
      <c r="C5" s="355"/>
      <c r="D5" s="625"/>
      <c r="E5" s="626"/>
      <c r="F5" s="388" t="s">
        <v>9</v>
      </c>
      <c r="G5" s="355"/>
      <c r="H5" s="625" t="s">
        <v>697</v>
      </c>
      <c r="I5" s="641"/>
      <c r="J5" s="641"/>
      <c r="K5" s="641"/>
      <c r="L5" s="626"/>
      <c r="N5" s="24" t="s">
        <v>10</v>
      </c>
      <c r="O5" s="379">
        <v>45303</v>
      </c>
      <c r="P5" s="380"/>
      <c r="R5" s="358" t="s">
        <v>11</v>
      </c>
      <c r="S5" s="359"/>
      <c r="T5" s="494" t="s">
        <v>12</v>
      </c>
      <c r="U5" s="380"/>
      <c r="Z5" s="51"/>
      <c r="AA5" s="51"/>
      <c r="AB5" s="51"/>
    </row>
    <row r="6" spans="1:29" s="317" customFormat="1" ht="24" customHeight="1" x14ac:dyDescent="0.2">
      <c r="A6" s="533" t="s">
        <v>13</v>
      </c>
      <c r="B6" s="354"/>
      <c r="C6" s="355"/>
      <c r="D6" s="416" t="s">
        <v>682</v>
      </c>
      <c r="E6" s="417"/>
      <c r="F6" s="417"/>
      <c r="G6" s="417"/>
      <c r="H6" s="417"/>
      <c r="I6" s="417"/>
      <c r="J6" s="417"/>
      <c r="K6" s="417"/>
      <c r="L6" s="380"/>
      <c r="N6" s="24" t="s">
        <v>15</v>
      </c>
      <c r="O6" s="578" t="str">
        <f>IF(O5=0," ",CHOOSE(WEEKDAY(O5,2),"Понедельник","Вторник","Среда","Четверг","Пятница","Суббота","Воскресенье"))</f>
        <v>Пятница</v>
      </c>
      <c r="P6" s="333"/>
      <c r="R6" s="622" t="s">
        <v>16</v>
      </c>
      <c r="S6" s="359"/>
      <c r="T6" s="498" t="s">
        <v>17</v>
      </c>
      <c r="U6" s="49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69" t="str">
        <f>IFERROR(VLOOKUP(DeliveryAddress,Table,3,0),1)</f>
        <v>2</v>
      </c>
      <c r="E7" s="470"/>
      <c r="F7" s="470"/>
      <c r="G7" s="470"/>
      <c r="H7" s="470"/>
      <c r="I7" s="470"/>
      <c r="J7" s="470"/>
      <c r="K7" s="470"/>
      <c r="L7" s="430"/>
      <c r="N7" s="24"/>
      <c r="O7" s="42"/>
      <c r="P7" s="42"/>
      <c r="R7" s="338"/>
      <c r="S7" s="359"/>
      <c r="T7" s="500"/>
      <c r="U7" s="501"/>
      <c r="Z7" s="51"/>
      <c r="AA7" s="51"/>
      <c r="AB7" s="51"/>
    </row>
    <row r="8" spans="1:29" s="317" customFormat="1" ht="25.5" customHeight="1" x14ac:dyDescent="0.2">
      <c r="A8" s="345" t="s">
        <v>18</v>
      </c>
      <c r="B8" s="326"/>
      <c r="C8" s="327"/>
      <c r="D8" s="628"/>
      <c r="E8" s="629"/>
      <c r="F8" s="629"/>
      <c r="G8" s="629"/>
      <c r="H8" s="629"/>
      <c r="I8" s="629"/>
      <c r="J8" s="629"/>
      <c r="K8" s="629"/>
      <c r="L8" s="630"/>
      <c r="N8" s="24" t="s">
        <v>19</v>
      </c>
      <c r="O8" s="408">
        <v>0.33333333333333331</v>
      </c>
      <c r="P8" s="380"/>
      <c r="R8" s="338"/>
      <c r="S8" s="359"/>
      <c r="T8" s="500"/>
      <c r="U8" s="501"/>
      <c r="Z8" s="51"/>
      <c r="AA8" s="51"/>
      <c r="AB8" s="51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1"/>
      <c r="E9" s="357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379"/>
      <c r="P9" s="380"/>
      <c r="R9" s="338"/>
      <c r="S9" s="359"/>
      <c r="T9" s="502"/>
      <c r="U9" s="503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1"/>
      <c r="E10" s="357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3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08"/>
      <c r="P10" s="380"/>
      <c r="S10" s="24" t="s">
        <v>22</v>
      </c>
      <c r="T10" s="648" t="s">
        <v>23</v>
      </c>
      <c r="U10" s="49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80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69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429"/>
      <c r="P12" s="430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69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69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7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564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5"/>
      <c r="O16" s="565"/>
      <c r="P16" s="565"/>
      <c r="Q16" s="565"/>
      <c r="R16" s="5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0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5"/>
      <c r="P17" s="575"/>
      <c r="Q17" s="575"/>
      <c r="R17" s="329"/>
      <c r="S17" s="366" t="s">
        <v>48</v>
      </c>
      <c r="T17" s="355"/>
      <c r="U17" s="328" t="s">
        <v>49</v>
      </c>
      <c r="V17" s="328" t="s">
        <v>50</v>
      </c>
      <c r="W17" s="633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13"/>
      <c r="AC17" s="614"/>
      <c r="AD17" s="546"/>
      <c r="BA17" s="60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6"/>
      <c r="P18" s="576"/>
      <c r="Q18" s="576"/>
      <c r="R18" s="331"/>
      <c r="S18" s="316" t="s">
        <v>57</v>
      </c>
      <c r="T18" s="316" t="s">
        <v>58</v>
      </c>
      <c r="U18" s="336"/>
      <c r="V18" s="336"/>
      <c r="W18" s="634"/>
      <c r="X18" s="336"/>
      <c r="Y18" s="344"/>
      <c r="Z18" s="344"/>
      <c r="AA18" s="615"/>
      <c r="AB18" s="616"/>
      <c r="AC18" s="617"/>
      <c r="AD18" s="547"/>
      <c r="BA18" s="338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0" t="s">
        <v>93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100</v>
      </c>
      <c r="W49" s="320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180</v>
      </c>
      <c r="W50" s="320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75.925925925925924</v>
      </c>
      <c r="W51" s="321">
        <f>IFERROR(W49/H49,"0")+IFERROR(W50/H50,"0")</f>
        <v>77</v>
      </c>
      <c r="X51" s="321">
        <f>IFERROR(IF(X49="",0,X49),"0")+IFERROR(IF(X50="",0,X50),"0")</f>
        <v>0.72201000000000004</v>
      </c>
      <c r="Y51" s="322"/>
      <c r="Z51" s="322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280</v>
      </c>
      <c r="W52" s="321">
        <f>IFERROR(SUM(W49:W50),"0")</f>
        <v>288.89999999999998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200</v>
      </c>
      <c r="W55" s="320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7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7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18.518518518518519</v>
      </c>
      <c r="W59" s="321">
        <f>IFERROR(W55/H55,"0")+IFERROR(W56/H56,"0")+IFERROR(W57/H57,"0")+IFERROR(W58/H58,"0")</f>
        <v>19</v>
      </c>
      <c r="X59" s="321">
        <f>IFERROR(IF(X55="",0,X55),"0")+IFERROR(IF(X56="",0,X56),"0")+IFERROR(IF(X57="",0,X57),"0")+IFERROR(IF(X58="",0,X58),"0")</f>
        <v>0.41324999999999995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200</v>
      </c>
      <c r="W60" s="321">
        <f>IFERROR(SUM(W55:W58),"0")</f>
        <v>205.20000000000002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9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1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9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40</v>
      </c>
      <c r="W65" s="320">
        <f t="shared" si="2"/>
        <v>44.8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68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9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40</v>
      </c>
      <c r="W70" s="320">
        <f t="shared" si="2"/>
        <v>42</v>
      </c>
      <c r="X70" s="36">
        <f>IFERROR(IF(W70=0,"",ROUNDUP(W70/H70,0)*0.00753),"")</f>
        <v>0.10542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680</v>
      </c>
      <c r="W71" s="320">
        <f t="shared" si="2"/>
        <v>680</v>
      </c>
      <c r="X71" s="36">
        <f t="shared" ref="X71:X77" si="3">IFERROR(IF(W71=0,"",ROUNDUP(W71/H71,0)*0.00937),"")</f>
        <v>1.5929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355.5</v>
      </c>
      <c r="W76" s="320">
        <f t="shared" si="2"/>
        <v>355.5</v>
      </c>
      <c r="X76" s="36">
        <f t="shared" si="3"/>
        <v>0.74022999999999994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0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360</v>
      </c>
      <c r="W80" s="320">
        <f t="shared" si="2"/>
        <v>360</v>
      </c>
      <c r="X80" s="36">
        <f>IFERROR(IF(W80=0,"",ROUNDUP(W80/H80,0)*0.00937),"")</f>
        <v>0.74960000000000004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345.90476190476193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347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3.27515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1475.5</v>
      </c>
      <c r="W83" s="321">
        <f>IFERROR(SUM(W63:W81),"0")</f>
        <v>1482.3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6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5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2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4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70</v>
      </c>
      <c r="W101" s="320">
        <f t="shared" si="4"/>
        <v>70</v>
      </c>
      <c r="X101" s="36">
        <f>IFERROR(IF(W101=0,"",ROUNDUP(W101/H101,0)*0.00753),"")</f>
        <v>0.18825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25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25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0.18825</v>
      </c>
      <c r="Y103" s="322"/>
      <c r="Z103" s="322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70</v>
      </c>
      <c r="W104" s="321">
        <f>IFERROR(SUM(W93:W102),"0")</f>
        <v>70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5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350</v>
      </c>
      <c r="W106" s="320">
        <f t="shared" ref="W106:W116" si="5">IFERROR(IF(V106="",0,CEILING((V106/$H106),1)*$H106),"")</f>
        <v>352.8</v>
      </c>
      <c r="X106" s="36">
        <f>IFERROR(IF(W106=0,"",ROUNDUP(W106/H106,0)*0.02175),"")</f>
        <v>0.91349999999999998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67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50</v>
      </c>
      <c r="W108" s="320">
        <f t="shared" si="5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3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115.5</v>
      </c>
      <c r="W111" s="320">
        <f t="shared" si="5"/>
        <v>116.16000000000001</v>
      </c>
      <c r="X111" s="36">
        <f>IFERROR(IF(W111=0,"",ROUNDUP(W111/H111,0)*0.00753),"")</f>
        <v>0.33132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4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533.70000000000005</v>
      </c>
      <c r="W112" s="320">
        <f t="shared" si="5"/>
        <v>534.6</v>
      </c>
      <c r="X112" s="36">
        <f>IFERROR(IF(W112=0,"",ROUNDUP(W112/H112,0)*0.00753),"")</f>
        <v>1.4909400000000002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9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37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70</v>
      </c>
      <c r="W115" s="320">
        <f t="shared" si="5"/>
        <v>72</v>
      </c>
      <c r="X115" s="36">
        <f>IFERROR(IF(W115=0,"",ROUNDUP(W115/H115,0)*0.00753),"")</f>
        <v>0.18071999999999999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9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312.36904761904759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314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3.0469800000000005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1119.2</v>
      </c>
      <c r="W118" s="321">
        <f>IFERROR(SUM(W106:W116),"0")</f>
        <v>1125.96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60</v>
      </c>
      <c r="W121" s="320">
        <f>IFERROR(IF(V121="",0,CEILING((V121/$H121),1)*$H121),"")</f>
        <v>64.8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6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59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59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7.4074074074074074</v>
      </c>
      <c r="W125" s="321">
        <f>IFERROR(W120/H120,"0")+IFERROR(W121/H121,"0")+IFERROR(W122/H122,"0")+IFERROR(W123/H123,"0")+IFERROR(W124/H124,"0")</f>
        <v>8</v>
      </c>
      <c r="X125" s="321">
        <f>IFERROR(IF(X120="",0,X120),"0")+IFERROR(IF(X121="",0,X121),"0")+IFERROR(IF(X122="",0,X122),"0")+IFERROR(IF(X123="",0,X123),"0")+IFERROR(IF(X124="",0,X124),"0")</f>
        <v>0.17399999999999999</v>
      </c>
      <c r="Y125" s="322"/>
      <c r="Z125" s="322"/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60</v>
      </c>
      <c r="W126" s="321">
        <f>IFERROR(SUM(W120:W124),"0")</f>
        <v>64.8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7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100</v>
      </c>
      <c r="W129" s="320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1215</v>
      </c>
      <c r="W131" s="320">
        <f>IFERROR(IF(V131="",0,CEILING((V131/$H131),1)*$H131),"")</f>
        <v>1215</v>
      </c>
      <c r="X131" s="36">
        <f>IFERROR(IF(W131=0,"",ROUNDUP(W131/H131,0)*0.00753),"")</f>
        <v>3.3885000000000001</v>
      </c>
      <c r="Y131" s="56"/>
      <c r="Z131" s="57"/>
      <c r="AD131" s="58"/>
      <c r="BA131" s="127" t="s">
        <v>1</v>
      </c>
    </row>
    <row r="132" spans="1:53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461.90476190476187</v>
      </c>
      <c r="W132" s="321">
        <f>IFERROR(W129/H129,"0")+IFERROR(W130/H130,"0")+IFERROR(W131/H131,"0")</f>
        <v>461.99999999999994</v>
      </c>
      <c r="X132" s="321">
        <f>IFERROR(IF(X129="",0,X129),"0")+IFERROR(IF(X130="",0,X130),"0")+IFERROR(IF(X131="",0,X131),"0")</f>
        <v>3.6495000000000002</v>
      </c>
      <c r="Y132" s="322"/>
      <c r="Z132" s="322"/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1315</v>
      </c>
      <c r="W133" s="321">
        <f>IFERROR(SUM(W129:W131),"0")</f>
        <v>1315.8</v>
      </c>
      <c r="X133" s="37"/>
      <c r="Y133" s="322"/>
      <c r="Z133" s="322"/>
    </row>
    <row r="134" spans="1:53" ht="27.75" hidden="1" customHeight="1" x14ac:dyDescent="0.2">
      <c r="A134" s="370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175</v>
      </c>
      <c r="W147" s="320">
        <f t="shared" si="6"/>
        <v>176.4</v>
      </c>
      <c r="X147" s="36">
        <f>IFERROR(IF(W147=0,"",ROUNDUP(W147/H147,0)*0.00502),"")</f>
        <v>0.42168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122.5</v>
      </c>
      <c r="W149" s="320">
        <f t="shared" si="6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122.5</v>
      </c>
      <c r="W150" s="320">
        <f t="shared" si="6"/>
        <v>123.9</v>
      </c>
      <c r="X150" s="36">
        <f>IFERROR(IF(W150=0,"",ROUNDUP(W150/H150,0)*0.00502),"")</f>
        <v>0.29618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3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200</v>
      </c>
      <c r="W153" s="321">
        <f>IFERROR(W144/H144,"0")+IFERROR(W145/H145,"0")+IFERROR(W146/H146,"0")+IFERROR(W147/H147,"0")+IFERROR(W148/H148,"0")+IFERROR(W149/H149,"0")+IFERROR(W150/H150,"0")+IFERROR(W151/H151,"0")+IFERROR(W152/H152,"0")</f>
        <v>202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1.0140400000000001</v>
      </c>
      <c r="Y153" s="322"/>
      <c r="Z153" s="322"/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420</v>
      </c>
      <c r="W154" s="321">
        <f>IFERROR(SUM(W144:W152),"0")</f>
        <v>424.20000000000005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6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100</v>
      </c>
      <c r="W169" s="320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18.518518518518519</v>
      </c>
      <c r="W171" s="321">
        <f>IFERROR(W167/H167,"0")+IFERROR(W168/H168,"0")+IFERROR(W169/H169,"0")+IFERROR(W170/H170,"0")</f>
        <v>19</v>
      </c>
      <c r="X171" s="321">
        <f>IFERROR(IF(X167="",0,X167),"0")+IFERROR(IF(X168="",0,X168),"0")+IFERROR(IF(X169="",0,X169),"0")+IFERROR(IF(X170="",0,X170),"0")</f>
        <v>0.17802999999999999</v>
      </c>
      <c r="Y171" s="322"/>
      <c r="Z171" s="322"/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100</v>
      </c>
      <c r="W172" s="321">
        <f>IFERROR(SUM(W167:W170),"0")</f>
        <v>102.60000000000001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2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350</v>
      </c>
      <c r="W175" s="320">
        <f t="shared" si="7"/>
        <v>356.7</v>
      </c>
      <c r="X175" s="36">
        <f>IFERROR(IF(W175=0,"",ROUNDUP(W175/H175,0)*0.02175),"")</f>
        <v>0.89174999999999993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1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600</v>
      </c>
      <c r="W180" s="320">
        <f t="shared" si="7"/>
        <v>600</v>
      </c>
      <c r="X180" s="36">
        <f>IFERROR(IF(W180=0,"",ROUNDUP(W180/H180,0)*0.00753),"")</f>
        <v>1.8825000000000001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53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680</v>
      </c>
      <c r="W182" s="320">
        <f t="shared" si="7"/>
        <v>681.6</v>
      </c>
      <c r="X182" s="36">
        <f>IFERROR(IF(W182=0,"",ROUNDUP(W182/H182,0)*0.00753),"")</f>
        <v>2.1385200000000002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400</v>
      </c>
      <c r="W184" s="320">
        <f t="shared" si="7"/>
        <v>400.8</v>
      </c>
      <c r="X184" s="36">
        <f t="shared" ref="X184:X190" si="8"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560</v>
      </c>
      <c r="W186" s="320">
        <f t="shared" si="7"/>
        <v>561.6</v>
      </c>
      <c r="X186" s="36">
        <f t="shared" si="8"/>
        <v>1.7620200000000001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280</v>
      </c>
      <c r="W189" s="320">
        <f t="shared" si="7"/>
        <v>280.8</v>
      </c>
      <c r="X189" s="36">
        <f t="shared" si="8"/>
        <v>0.88101000000000007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240</v>
      </c>
      <c r="W190" s="320">
        <f t="shared" si="7"/>
        <v>240</v>
      </c>
      <c r="X190" s="36">
        <f t="shared" si="8"/>
        <v>0.753</v>
      </c>
      <c r="Y190" s="56"/>
      <c r="Z190" s="57"/>
      <c r="AD190" s="58"/>
      <c r="BA190" s="164" t="s">
        <v>1</v>
      </c>
    </row>
    <row r="191" spans="1:53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1190.2298850574714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1193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9.5663099999999996</v>
      </c>
      <c r="Y191" s="322"/>
      <c r="Z191" s="322"/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3110</v>
      </c>
      <c r="W192" s="321">
        <f>IFERROR(SUM(W174:W190),"0")</f>
        <v>3121.5000000000005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3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8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92</v>
      </c>
      <c r="W196" s="320">
        <f>IFERROR(IF(V196="",0,CEILING((V196/$H196),1)*$H196),"")</f>
        <v>93.6</v>
      </c>
      <c r="X196" s="36">
        <f>IFERROR(IF(W196=0,"",ROUNDUP(W196/H196,0)*0.00753),"")</f>
        <v>0.29366999999999999</v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120</v>
      </c>
      <c r="W197" s="320">
        <f>IFERROR(IF(V197="",0,CEILING((V197/$H197),1)*$H197),"")</f>
        <v>120</v>
      </c>
      <c r="X197" s="36">
        <f>IFERROR(IF(W197=0,"",ROUNDUP(W197/H197,0)*0.00753),"")</f>
        <v>0.3765</v>
      </c>
      <c r="Y197" s="56"/>
      <c r="Z197" s="57"/>
      <c r="AD197" s="58"/>
      <c r="BA197" s="168" t="s">
        <v>1</v>
      </c>
    </row>
    <row r="198" spans="1:53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88.333333333333343</v>
      </c>
      <c r="W198" s="321">
        <f>IFERROR(W194/H194,"0")+IFERROR(W195/H195,"0")+IFERROR(W196/H196,"0")+IFERROR(W197/H197,"0")</f>
        <v>89</v>
      </c>
      <c r="X198" s="321">
        <f>IFERROR(IF(X194="",0,X194),"0")+IFERROR(IF(X195="",0,X195),"0")+IFERROR(IF(X196="",0,X196),"0")+IFERROR(IF(X197="",0,X197),"0")</f>
        <v>0.67016999999999993</v>
      </c>
      <c r="Y198" s="322"/>
      <c r="Z198" s="322"/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212</v>
      </c>
      <c r="W199" s="321">
        <f>IFERROR(SUM(W194:W197),"0")</f>
        <v>213.6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105</v>
      </c>
      <c r="W202" s="320">
        <f>IFERROR(IF(V202="",0,CEILING((V202/$H202),1)*$H202),"")</f>
        <v>105</v>
      </c>
      <c r="X202" s="36">
        <f>IFERROR(IF(W202=0,"",ROUNDUP(W202/H202,0)*0.00502),"")</f>
        <v>0.251</v>
      </c>
      <c r="Y202" s="56"/>
      <c r="Z202" s="57"/>
      <c r="AD202" s="58"/>
      <c r="BA202" s="169" t="s">
        <v>1</v>
      </c>
    </row>
    <row r="203" spans="1:53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50</v>
      </c>
      <c r="W203" s="321">
        <f>IFERROR(W202/H202,"0")</f>
        <v>50</v>
      </c>
      <c r="X203" s="321">
        <f>IFERROR(IF(X202="",0,X202),"0")</f>
        <v>0.251</v>
      </c>
      <c r="Y203" s="322"/>
      <c r="Z203" s="322"/>
    </row>
    <row r="204" spans="1:53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105</v>
      </c>
      <c r="W204" s="321">
        <f>IFERROR(SUM(W202:W202),"0")</f>
        <v>105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7</v>
      </c>
      <c r="W231" s="320">
        <f>IFERROR(IF(V231="",0,CEILING((V231/$H231),1)*$H231),"")</f>
        <v>8.4</v>
      </c>
      <c r="X231" s="36">
        <f>IFERROR(IF(W231=0,"",ROUNDUP(W231/H231,0)*0.00502),"")</f>
        <v>2.0080000000000001E-2</v>
      </c>
      <c r="Y231" s="56"/>
      <c r="Z231" s="57"/>
      <c r="AD231" s="58"/>
      <c r="BA231" s="188" t="s">
        <v>1</v>
      </c>
    </row>
    <row r="232" spans="1:53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3.333333333333333</v>
      </c>
      <c r="W232" s="321">
        <f>IFERROR(W229/H229,"0")+IFERROR(W230/H230,"0")+IFERROR(W231/H231,"0")</f>
        <v>4</v>
      </c>
      <c r="X232" s="321">
        <f>IFERROR(IF(X229="",0,X229),"0")+IFERROR(IF(X230="",0,X230),"0")+IFERROR(IF(X231="",0,X231),"0")</f>
        <v>2.0080000000000001E-2</v>
      </c>
      <c r="Y232" s="322"/>
      <c r="Z232" s="322"/>
    </row>
    <row r="233" spans="1:53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7</v>
      </c>
      <c r="W233" s="321">
        <f>IFERROR(SUM(W229:W231),"0")</f>
        <v>8.4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3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979.99999999999989</v>
      </c>
      <c r="W238" s="320">
        <f t="shared" si="11"/>
        <v>980.7</v>
      </c>
      <c r="X238" s="36">
        <f>IFERROR(IF(W238=0,"",ROUNDUP(W238/H238,0)*0.00753),"")</f>
        <v>3.5165100000000002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5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665</v>
      </c>
      <c r="W239" s="320">
        <f t="shared" si="11"/>
        <v>665.7</v>
      </c>
      <c r="X239" s="36">
        <f>IFERROR(IF(W239=0,"",ROUNDUP(W239/H239,0)*0.00753),"")</f>
        <v>2.3870100000000001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783.33333333333326</v>
      </c>
      <c r="W244" s="321">
        <f>IFERROR(W235/H235,"0")+IFERROR(W236/H236,"0")+IFERROR(W237/H237,"0")+IFERROR(W238/H238,"0")+IFERROR(W239/H239,"0")+IFERROR(W240/H240,"0")+IFERROR(W241/H241,"0")+IFERROR(W242/H242,"0")+IFERROR(W243/H243,"0")</f>
        <v>784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5.9035200000000003</v>
      </c>
      <c r="Y244" s="322"/>
      <c r="Z244" s="322"/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1645</v>
      </c>
      <c r="W245" s="321">
        <f>IFERROR(SUM(W235:W243),"0")</f>
        <v>1646.4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80</v>
      </c>
      <c r="W247" s="320">
        <f>IFERROR(IF(V247="",0,CEILING((V247/$H247),1)*$H247),"")</f>
        <v>84</v>
      </c>
      <c r="X247" s="36">
        <f>IFERROR(IF(W247=0,"",ROUNDUP(W247/H247,0)*0.02175),"")</f>
        <v>0.21749999999999997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400</v>
      </c>
      <c r="W248" s="320">
        <f>IFERROR(IF(V248="",0,CEILING((V248/$H248),1)*$H248),"")</f>
        <v>405.59999999999997</v>
      </c>
      <c r="X248" s="36">
        <f>IFERROR(IF(W248=0,"",ROUNDUP(W248/H248,0)*0.02175),"")</f>
        <v>1.131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40</v>
      </c>
      <c r="W249" s="320">
        <f>IFERROR(IF(V249="",0,CEILING((V249/$H249),1)*$H249),"")</f>
        <v>42</v>
      </c>
      <c r="X249" s="36">
        <f>IFERROR(IF(W249=0,"",ROUNDUP(W249/H249,0)*0.02175),"")</f>
        <v>0.10874999999999999</v>
      </c>
      <c r="Y249" s="56"/>
      <c r="Z249" s="57"/>
      <c r="AD249" s="58"/>
      <c r="BA249" s="200" t="s">
        <v>1</v>
      </c>
    </row>
    <row r="250" spans="1:53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65.567765567765576</v>
      </c>
      <c r="W250" s="321">
        <f>IFERROR(W247/H247,"0")+IFERROR(W248/H248,"0")+IFERROR(W249/H249,"0")</f>
        <v>67</v>
      </c>
      <c r="X250" s="321">
        <f>IFERROR(IF(X247="",0,X247),"0")+IFERROR(IF(X248="",0,X248),"0")+IFERROR(IF(X249="",0,X249),"0")</f>
        <v>1.4572499999999999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520</v>
      </c>
      <c r="W251" s="321">
        <f>IFERROR(SUM(W247:W249),"0")</f>
        <v>531.59999999999991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1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3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30</v>
      </c>
      <c r="W254" s="320">
        <f>IFERROR(IF(V254="",0,CEILING((V254/$H254),1)*$H254),"")</f>
        <v>30.4</v>
      </c>
      <c r="X254" s="36">
        <f>IFERROR(IF(W254=0,"",ROUNDUP(W254/H254,0)*0.00753),"")</f>
        <v>7.5300000000000006E-2</v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85</v>
      </c>
      <c r="W255" s="320">
        <f>IFERROR(IF(V255="",0,CEILING((V255/$H255),1)*$H255),"")</f>
        <v>86.699999999999989</v>
      </c>
      <c r="X255" s="36">
        <f>IFERROR(IF(W255=0,"",ROUNDUP(W255/H255,0)*0.00753),"")</f>
        <v>0.25602000000000003</v>
      </c>
      <c r="Y255" s="56"/>
      <c r="Z255" s="57"/>
      <c r="AD255" s="58"/>
      <c r="BA255" s="203" t="s">
        <v>1</v>
      </c>
    </row>
    <row r="256" spans="1:53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43.201754385964918</v>
      </c>
      <c r="W256" s="321">
        <f>IFERROR(W253/H253,"0")+IFERROR(W254/H254,"0")+IFERROR(W255/H255,"0")</f>
        <v>44</v>
      </c>
      <c r="X256" s="321">
        <f>IFERROR(IF(X253="",0,X253),"0")+IFERROR(IF(X254="",0,X254),"0")+IFERROR(IF(X255="",0,X255),"0")</f>
        <v>0.33132000000000006</v>
      </c>
      <c r="Y256" s="322"/>
      <c r="Z256" s="322"/>
    </row>
    <row r="257" spans="1:53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115</v>
      </c>
      <c r="W257" s="321">
        <f>IFERROR(SUM(W253:W255),"0")</f>
        <v>117.1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hidden="1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0</v>
      </c>
      <c r="W266" s="320">
        <f t="shared" ref="W266:W272" si="12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36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idden="1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hidden="1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0</v>
      </c>
      <c r="W274" s="321">
        <f>IFERROR(SUM(W266:W272),"0")</f>
        <v>0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33</v>
      </c>
      <c r="W282" s="320">
        <f>IFERROR(IF(V282="",0,CEILING((V282/$H282),1)*$H282),"")</f>
        <v>34.200000000000003</v>
      </c>
      <c r="X282" s="36">
        <f>IFERROR(IF(W282=0,"",ROUNDUP(W282/H282,0)*0.00753),"")</f>
        <v>0.14307</v>
      </c>
      <c r="Y282" s="56"/>
      <c r="Z282" s="57"/>
      <c r="AD282" s="58"/>
      <c r="BA282" s="216" t="s">
        <v>1</v>
      </c>
    </row>
    <row r="283" spans="1:53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18.333333333333332</v>
      </c>
      <c r="W283" s="321">
        <f>IFERROR(W282/H282,"0")</f>
        <v>19</v>
      </c>
      <c r="X283" s="321">
        <f>IFERROR(IF(X282="",0,X282),"0")</f>
        <v>0.14307</v>
      </c>
      <c r="Y283" s="322"/>
      <c r="Z283" s="322"/>
    </row>
    <row r="284" spans="1:53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33</v>
      </c>
      <c r="W284" s="321">
        <f>IFERROR(SUM(W282:W282),"0")</f>
        <v>34.200000000000003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7.6</v>
      </c>
      <c r="W290" s="320">
        <f>IFERROR(IF(V290="",0,CEILING((V290/$H290),1)*$H290),"")</f>
        <v>9.1199999999999992</v>
      </c>
      <c r="X290" s="36">
        <f>IFERROR(IF(W290=0,"",ROUNDUP(W290/H290,0)*0.00753),"")</f>
        <v>3.0120000000000001E-2</v>
      </c>
      <c r="Y290" s="56"/>
      <c r="Z290" s="57"/>
      <c r="AD290" s="58"/>
      <c r="BA290" s="218" t="s">
        <v>1</v>
      </c>
    </row>
    <row r="291" spans="1:53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3.3333333333333335</v>
      </c>
      <c r="W291" s="321">
        <f>IFERROR(W290/H290,"0")</f>
        <v>4</v>
      </c>
      <c r="X291" s="321">
        <f>IFERROR(IF(X290="",0,X290),"0")</f>
        <v>3.0120000000000001E-2</v>
      </c>
      <c r="Y291" s="322"/>
      <c r="Z291" s="322"/>
    </row>
    <row r="292" spans="1:53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7.6</v>
      </c>
      <c r="W292" s="321">
        <f>IFERROR(SUM(W290:W290),"0")</f>
        <v>9.1199999999999992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0" t="s">
        <v>449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37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hidden="1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0</v>
      </c>
      <c r="W300" s="320">
        <f t="shared" ref="W300:W307" si="13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500</v>
      </c>
      <c r="W304" s="320">
        <f t="shared" si="13"/>
        <v>510</v>
      </c>
      <c r="X304" s="36">
        <f>IFERROR(IF(W304=0,"",ROUNDUP(W304/H304,0)*0.02175),"")</f>
        <v>0.73949999999999994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0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60</v>
      </c>
      <c r="W307" s="320">
        <f t="shared" si="13"/>
        <v>60</v>
      </c>
      <c r="X307" s="36">
        <f>IFERROR(IF(W307=0,"",ROUNDUP(W307/H307,0)*0.00937),"")</f>
        <v>0.11244</v>
      </c>
      <c r="Y307" s="56"/>
      <c r="Z307" s="57"/>
      <c r="AD307" s="58"/>
      <c r="BA307" s="227" t="s">
        <v>1</v>
      </c>
    </row>
    <row r="308" spans="1:53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45.333333333333336</v>
      </c>
      <c r="W308" s="321">
        <f>IFERROR(W300/H300,"0")+IFERROR(W301/H301,"0")+IFERROR(W302/H302,"0")+IFERROR(W303/H303,"0")+IFERROR(W304/H304,"0")+IFERROR(W305/H305,"0")+IFERROR(W306/H306,"0")+IFERROR(W307/H307,"0")</f>
        <v>46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0.85193999999999992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560</v>
      </c>
      <c r="W309" s="321">
        <f>IFERROR(SUM(W300:W307),"0")</f>
        <v>570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hidden="1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5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32</v>
      </c>
      <c r="W313" s="320">
        <f>IFERROR(IF(V313="",0,CEILING((V313/$H313),1)*$H313),"")</f>
        <v>32</v>
      </c>
      <c r="X313" s="36">
        <f>IFERROR(IF(W313=0,"",ROUNDUP(W313/H313,0)*0.00937),"")</f>
        <v>7.4959999999999999E-2</v>
      </c>
      <c r="Y313" s="56"/>
      <c r="Z313" s="57"/>
      <c r="AD313" s="58"/>
      <c r="BA313" s="230" t="s">
        <v>1</v>
      </c>
    </row>
    <row r="314" spans="1:53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8</v>
      </c>
      <c r="W314" s="321">
        <f>IFERROR(W311/H311,"0")+IFERROR(W312/H312,"0")+IFERROR(W313/H313,"0")</f>
        <v>8</v>
      </c>
      <c r="X314" s="321">
        <f>IFERROR(IF(X311="",0,X311),"0")+IFERROR(IF(X312="",0,X312),"0")+IFERROR(IF(X313="",0,X313),"0")</f>
        <v>7.4959999999999999E-2</v>
      </c>
      <c r="Y314" s="322"/>
      <c r="Z314" s="322"/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32</v>
      </c>
      <c r="W315" s="321">
        <f>IFERROR(SUM(W311:W313),"0")</f>
        <v>32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100</v>
      </c>
      <c r="W318" s="320">
        <f>IFERROR(IF(V318="",0,CEILING((V318/$H318),1)*$H318),"")</f>
        <v>101.39999999999999</v>
      </c>
      <c r="X318" s="36">
        <f>IFERROR(IF(W318=0,"",ROUNDUP(W318/H318,0)*0.02175),"")</f>
        <v>0.28275</v>
      </c>
      <c r="Y318" s="56"/>
      <c r="Z318" s="57"/>
      <c r="AD318" s="58"/>
      <c r="BA318" s="232" t="s">
        <v>1</v>
      </c>
    </row>
    <row r="319" spans="1:53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12.820512820512821</v>
      </c>
      <c r="W319" s="321">
        <f>IFERROR(W317/H317,"0")+IFERROR(W318/H318,"0")</f>
        <v>13</v>
      </c>
      <c r="X319" s="321">
        <f>IFERROR(IF(X317="",0,X317),"0")+IFERROR(IF(X318="",0,X318),"0")</f>
        <v>0.28275</v>
      </c>
      <c r="Y319" s="322"/>
      <c r="Z319" s="322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100</v>
      </c>
      <c r="W320" s="321">
        <f>IFERROR(SUM(W317:W318),"0")</f>
        <v>101.39999999999999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80</v>
      </c>
      <c r="W322" s="320">
        <f>IFERROR(IF(V322="",0,CEILING((V322/$H322),1)*$H322),"")</f>
        <v>85.8</v>
      </c>
      <c r="X322" s="36">
        <f>IFERROR(IF(W322=0,"",ROUNDUP(W322/H322,0)*0.02175),"")</f>
        <v>0.23924999999999999</v>
      </c>
      <c r="Y322" s="56"/>
      <c r="Z322" s="57"/>
      <c r="AD322" s="58"/>
      <c r="BA322" s="233" t="s">
        <v>1</v>
      </c>
    </row>
    <row r="323" spans="1:53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10.256410256410257</v>
      </c>
      <c r="W323" s="321">
        <f>IFERROR(W322/H322,"0")</f>
        <v>11</v>
      </c>
      <c r="X323" s="321">
        <f>IFERROR(IF(X322="",0,X322),"0")</f>
        <v>0.23924999999999999</v>
      </c>
      <c r="Y323" s="322"/>
      <c r="Z323" s="322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80</v>
      </c>
      <c r="W324" s="321">
        <f>IFERROR(SUM(W322:W322),"0")</f>
        <v>85.8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20</v>
      </c>
      <c r="W339" s="320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2.5641025641025643</v>
      </c>
      <c r="W343" s="321">
        <f>IFERROR(W339/H339,"0")+IFERROR(W340/H340,"0")+IFERROR(W341/H341,"0")+IFERROR(W342/H342,"0")</f>
        <v>3</v>
      </c>
      <c r="X343" s="321">
        <f>IFERROR(IF(X339="",0,X339),"0")+IFERROR(IF(X340="",0,X340),"0")+IFERROR(IF(X341="",0,X341),"0")+IFERROR(IF(X342="",0,X342),"0")</f>
        <v>6.5250000000000002E-2</v>
      </c>
      <c r="Y343" s="322"/>
      <c r="Z343" s="322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20</v>
      </c>
      <c r="W344" s="321">
        <f>IFERROR(SUM(W339:W342),"0")</f>
        <v>23.4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0" t="s">
        <v>502</v>
      </c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  <c r="X349" s="37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224</v>
      </c>
      <c r="W360" s="320">
        <f t="shared" si="14"/>
        <v>225.12</v>
      </c>
      <c r="X360" s="36">
        <f>IFERROR(IF(W360=0,"",ROUNDUP(W360/H360,0)*0.00753),"")</f>
        <v>1.00902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52.5</v>
      </c>
      <c r="W368" s="320">
        <f t="shared" si="14"/>
        <v>52.5</v>
      </c>
      <c r="X368" s="36">
        <f t="shared" si="15"/>
        <v>0.1255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98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158.33333333333334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159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1.13452</v>
      </c>
      <c r="Y370" s="322"/>
      <c r="Z370" s="322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276.5</v>
      </c>
      <c r="W371" s="321">
        <f>IFERROR(SUM(W357:W369),"0")</f>
        <v>277.62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8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6</v>
      </c>
      <c r="W384" s="320">
        <f>IFERROR(IF(V384="",0,CEILING((V384/$H384),1)*$H384),"")</f>
        <v>6</v>
      </c>
      <c r="X384" s="36">
        <f>IFERROR(IF(W384=0,"",ROUNDUP(W384/H384,0)*0.00627),"")</f>
        <v>3.1350000000000003E-2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67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12</v>
      </c>
      <c r="W385" s="320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1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12</v>
      </c>
      <c r="W386" s="320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25</v>
      </c>
      <c r="W388" s="321">
        <f>IFERROR(W384/H384,"0")+IFERROR(W385/H385,"0")+IFERROR(W386/H386,"0")+IFERROR(W387/H387,"0")</f>
        <v>25</v>
      </c>
      <c r="X388" s="321">
        <f>IFERROR(IF(X384="",0,X384),"0")+IFERROR(IF(X385="",0,X385),"0")+IFERROR(IF(X386="",0,X386),"0")+IFERROR(IF(X387="",0,X387),"0")</f>
        <v>0.15675</v>
      </c>
      <c r="Y388" s="322"/>
      <c r="Z388" s="322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30</v>
      </c>
      <c r="W389" s="321">
        <f>IFERROR(SUM(W384:W387),"0")</f>
        <v>30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130</v>
      </c>
      <c r="W397" s="320">
        <f t="shared" ref="W397:W403" si="16">IFERROR(IF(V397="",0,CEILING((V397/$H397),1)*$H397),"")</f>
        <v>130.20000000000002</v>
      </c>
      <c r="X397" s="36">
        <f>IFERROR(IF(W397=0,"",ROUNDUP(W397/H397,0)*0.00753),"")</f>
        <v>0.23343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7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287</v>
      </c>
      <c r="W402" s="320">
        <f t="shared" si="16"/>
        <v>287.7</v>
      </c>
      <c r="X402" s="36">
        <f>IFERROR(IF(W402=0,"",ROUNDUP(W402/H402,0)*0.00502),"")</f>
        <v>0.68774000000000002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167.61904761904762</v>
      </c>
      <c r="W404" s="321">
        <f>IFERROR(W397/H397,"0")+IFERROR(W398/H398,"0")+IFERROR(W399/H399,"0")+IFERROR(W400/H400,"0")+IFERROR(W401/H401,"0")+IFERROR(W402/H402,"0")+IFERROR(W403/H403,"0")</f>
        <v>168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0.92117000000000004</v>
      </c>
      <c r="Y404" s="322"/>
      <c r="Z404" s="322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417</v>
      </c>
      <c r="W405" s="321">
        <f>IFERROR(SUM(W397:W403),"0")</f>
        <v>417.9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2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0" t="s">
        <v>585</v>
      </c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  <c r="X414" s="37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100</v>
      </c>
      <c r="W417" s="320">
        <f t="shared" ref="W417:W425" si="17">IFERROR(IF(V417="",0,CEILING((V417/$H417),1)*$H417),"")</f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150</v>
      </c>
      <c r="W418" s="320">
        <f t="shared" si="17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200</v>
      </c>
      <c r="W420" s="320">
        <f t="shared" si="17"/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54</v>
      </c>
      <c r="W421" s="320">
        <f t="shared" si="17"/>
        <v>54</v>
      </c>
      <c r="X421" s="36">
        <f>IFERROR(IF(W421=0,"",ROUNDUP(W421/H421,0)*0.00937),"")</f>
        <v>0.14055000000000001</v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66</v>
      </c>
      <c r="W425" s="320">
        <f t="shared" si="17"/>
        <v>68.400000000000006</v>
      </c>
      <c r="X425" s="36">
        <f>IFERROR(IF(W425=0,"",ROUNDUP(W425/H425,0)*0.00937),"")</f>
        <v>0.17802999999999999</v>
      </c>
      <c r="Y425" s="56"/>
      <c r="Z425" s="57"/>
      <c r="AD425" s="58"/>
      <c r="BA425" s="288" t="s">
        <v>1</v>
      </c>
    </row>
    <row r="426" spans="1:53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118.56060606060605</v>
      </c>
      <c r="W426" s="321">
        <f>IFERROR(W417/H417,"0")+IFERROR(W418/H418,"0")+IFERROR(W419/H419,"0")+IFERROR(W420/H420,"0")+IFERROR(W421/H421,"0")+IFERROR(W422/H422,"0")+IFERROR(W423/H423,"0")+IFERROR(W424/H424,"0")+IFERROR(W425/H425,"0")</f>
        <v>120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1.3471399999999998</v>
      </c>
      <c r="Y426" s="322"/>
      <c r="Z426" s="322"/>
    </row>
    <row r="427" spans="1:53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570</v>
      </c>
      <c r="W427" s="321">
        <f>IFERROR(SUM(W417:W425),"0")</f>
        <v>576.48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100</v>
      </c>
      <c r="W429" s="320">
        <f>IFERROR(IF(V429="",0,CEILING((V429/$H429),1)*$H429),"")</f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18.939393939393938</v>
      </c>
      <c r="W431" s="321">
        <f>IFERROR(W429/H429,"0")+IFERROR(W430/H430,"0")</f>
        <v>19</v>
      </c>
      <c r="X431" s="321">
        <f>IFERROR(IF(X429="",0,X429),"0")+IFERROR(IF(X430="",0,X430),"0")</f>
        <v>0.22724</v>
      </c>
      <c r="Y431" s="322"/>
      <c r="Z431" s="322"/>
    </row>
    <row r="432" spans="1:53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100</v>
      </c>
      <c r="W432" s="321">
        <f>IFERROR(SUM(W429:W430),"0")</f>
        <v>100.32000000000001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100</v>
      </c>
      <c r="W434" s="320">
        <f t="shared" ref="W434:W439" si="18">IFERROR(IF(V434="",0,CEILING((V434/$H434),1)*$H434),"")</f>
        <v>100.32000000000001</v>
      </c>
      <c r="X434" s="36">
        <f>IFERROR(IF(W434=0,"",ROUNDUP(W434/H434,0)*0.01196),"")</f>
        <v>0.22724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160</v>
      </c>
      <c r="W435" s="320">
        <f t="shared" si="18"/>
        <v>163.68</v>
      </c>
      <c r="X435" s="36">
        <f>IFERROR(IF(W435=0,"",ROUNDUP(W435/H435,0)*0.01196),"")</f>
        <v>0.37075999999999998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150</v>
      </c>
      <c r="W436" s="320">
        <f t="shared" si="18"/>
        <v>153.12</v>
      </c>
      <c r="X436" s="36">
        <f>IFERROR(IF(W436=0,"",ROUNDUP(W436/H436,0)*0.01196),"")</f>
        <v>0.34683999999999998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2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12</v>
      </c>
      <c r="W438" s="320">
        <f t="shared" si="18"/>
        <v>14.4</v>
      </c>
      <c r="X438" s="36">
        <f>IFERROR(IF(W438=0,"",ROUNDUP(W438/H438,0)*0.00937),"")</f>
        <v>3.7479999999999999E-2</v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7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80.98484848484847</v>
      </c>
      <c r="W440" s="321">
        <f>IFERROR(W434/H434,"0")+IFERROR(W435/H435,"0")+IFERROR(W436/H436,"0")+IFERROR(W437/H437,"0")+IFERROR(W438/H438,"0")+IFERROR(W439/H439,"0")</f>
        <v>83</v>
      </c>
      <c r="X440" s="321">
        <f>IFERROR(IF(X434="",0,X434),"0")+IFERROR(IF(X435="",0,X435),"0")+IFERROR(IF(X436="",0,X436),"0")+IFERROR(IF(X437="",0,X437),"0")+IFERROR(IF(X438="",0,X438),"0")+IFERROR(IF(X439="",0,X439),"0")</f>
        <v>0.98231999999999986</v>
      </c>
      <c r="Y440" s="322"/>
      <c r="Z440" s="322"/>
    </row>
    <row r="441" spans="1:53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422</v>
      </c>
      <c r="W441" s="321">
        <f>IFERROR(SUM(W434:W439),"0")</f>
        <v>431.52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0" t="s">
        <v>627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37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6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1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30</v>
      </c>
      <c r="W451" s="320">
        <f>IFERROR(IF(V451="",0,CEILING((V451/$H451),1)*$H451),"")</f>
        <v>36</v>
      </c>
      <c r="X451" s="36">
        <f>IFERROR(IF(W451=0,"",ROUNDUP(W451/H451,0)*0.02175),"")</f>
        <v>6.5250000000000002E-2</v>
      </c>
      <c r="Y451" s="56"/>
      <c r="Z451" s="57"/>
      <c r="AD451" s="58"/>
      <c r="BA451" s="300" t="s">
        <v>1</v>
      </c>
    </row>
    <row r="452" spans="1:53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2.5</v>
      </c>
      <c r="W452" s="321">
        <f>IFERROR(W450/H450,"0")+IFERROR(W451/H451,"0")</f>
        <v>3</v>
      </c>
      <c r="X452" s="321">
        <f>IFERROR(IF(X450="",0,X450),"0")+IFERROR(IF(X451="",0,X451),"0")</f>
        <v>6.5250000000000002E-2</v>
      </c>
      <c r="Y452" s="322"/>
      <c r="Z452" s="322"/>
    </row>
    <row r="453" spans="1:53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30</v>
      </c>
      <c r="W453" s="321">
        <f>IFERROR(SUM(W450:W451),"0")</f>
        <v>36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62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4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5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5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7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9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5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0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350</v>
      </c>
      <c r="W469" s="320">
        <f>IFERROR(IF(V469="",0,CEILING((V469/$H469),1)*$H469),"")</f>
        <v>351</v>
      </c>
      <c r="X469" s="36">
        <f>IFERROR(IF(W469=0,"",ROUNDUP(W469/H469,0)*0.02175),"")</f>
        <v>0.9787499999999999</v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68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3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44.871794871794876</v>
      </c>
      <c r="W472" s="321">
        <f>IFERROR(W467/H467,"0")+IFERROR(W468/H468,"0")+IFERROR(W469/H469,"0")+IFERROR(W470/H470,"0")+IFERROR(W471/H471,"0")</f>
        <v>45</v>
      </c>
      <c r="X472" s="321">
        <f>IFERROR(IF(X467="",0,X467),"0")+IFERROR(IF(X468="",0,X468),"0")+IFERROR(IF(X469="",0,X469),"0")+IFERROR(IF(X470="",0,X470),"0")+IFERROR(IF(X471="",0,X471),"0")</f>
        <v>0.9787499999999999</v>
      </c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350</v>
      </c>
      <c r="W473" s="321">
        <f>IFERROR(SUM(W467:W471),"0")</f>
        <v>351</v>
      </c>
      <c r="X473" s="37"/>
      <c r="Y473" s="322"/>
      <c r="Z473" s="322"/>
    </row>
    <row r="474" spans="1:53" ht="15" customHeight="1" x14ac:dyDescent="0.2">
      <c r="A474" s="394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9"/>
      <c r="N474" s="353" t="s">
        <v>667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13781.800000000001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13900.12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9"/>
      <c r="N475" s="353" t="s">
        <v>668</v>
      </c>
      <c r="O475" s="354"/>
      <c r="P475" s="354"/>
      <c r="Q475" s="354"/>
      <c r="R475" s="354"/>
      <c r="S475" s="354"/>
      <c r="T475" s="355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15072.589920182252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15199.097999999998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9"/>
      <c r="N476" s="353" t="s">
        <v>669</v>
      </c>
      <c r="O476" s="354"/>
      <c r="P476" s="354"/>
      <c r="Q476" s="354"/>
      <c r="R476" s="354"/>
      <c r="S476" s="354"/>
      <c r="T476" s="355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59"/>
      <c r="N477" s="353" t="s">
        <v>671</v>
      </c>
      <c r="O477" s="354"/>
      <c r="P477" s="354"/>
      <c r="Q477" s="354"/>
      <c r="R477" s="354"/>
      <c r="S477" s="354"/>
      <c r="T477" s="355"/>
      <c r="U477" s="37" t="s">
        <v>65</v>
      </c>
      <c r="V477" s="321">
        <f>GrossWeightTotal+PalletQtyTotal*25</f>
        <v>15897.589920182252</v>
      </c>
      <c r="W477" s="321">
        <f>GrossWeightTotalR+PalletQtyTotalR*25</f>
        <v>16024.097999999998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59"/>
      <c r="N478" s="353" t="s">
        <v>672</v>
      </c>
      <c r="O478" s="354"/>
      <c r="P478" s="354"/>
      <c r="Q478" s="354"/>
      <c r="R478" s="354"/>
      <c r="S478" s="354"/>
      <c r="T478" s="355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4406.9983967601938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4430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59"/>
      <c r="N479" s="353" t="s">
        <v>673</v>
      </c>
      <c r="O479" s="354"/>
      <c r="P479" s="354"/>
      <c r="Q479" s="354"/>
      <c r="R479" s="354"/>
      <c r="S479" s="354"/>
      <c r="T479" s="355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38.361339999999998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1" t="s">
        <v>93</v>
      </c>
      <c r="D481" s="441"/>
      <c r="E481" s="441"/>
      <c r="F481" s="363"/>
      <c r="G481" s="361" t="s">
        <v>245</v>
      </c>
      <c r="H481" s="441"/>
      <c r="I481" s="441"/>
      <c r="J481" s="441"/>
      <c r="K481" s="441"/>
      <c r="L481" s="441"/>
      <c r="M481" s="441"/>
      <c r="N481" s="363"/>
      <c r="O481" s="361" t="s">
        <v>449</v>
      </c>
      <c r="P481" s="363"/>
      <c r="Q481" s="361" t="s">
        <v>502</v>
      </c>
      <c r="R481" s="363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55" t="s">
        <v>676</v>
      </c>
      <c r="B482" s="361" t="s">
        <v>59</v>
      </c>
      <c r="C482" s="361" t="s">
        <v>94</v>
      </c>
      <c r="D482" s="361" t="s">
        <v>102</v>
      </c>
      <c r="E482" s="361" t="s">
        <v>93</v>
      </c>
      <c r="F482" s="361" t="s">
        <v>237</v>
      </c>
      <c r="G482" s="361" t="s">
        <v>246</v>
      </c>
      <c r="H482" s="361" t="s">
        <v>253</v>
      </c>
      <c r="I482" s="361" t="s">
        <v>273</v>
      </c>
      <c r="J482" s="361" t="s">
        <v>339</v>
      </c>
      <c r="K482" s="313"/>
      <c r="L482" s="361" t="s">
        <v>342</v>
      </c>
      <c r="M482" s="361" t="s">
        <v>422</v>
      </c>
      <c r="N482" s="361" t="s">
        <v>440</v>
      </c>
      <c r="O482" s="361" t="s">
        <v>450</v>
      </c>
      <c r="P482" s="361" t="s">
        <v>479</v>
      </c>
      <c r="Q482" s="361" t="s">
        <v>503</v>
      </c>
      <c r="R482" s="361" t="s">
        <v>559</v>
      </c>
      <c r="S482" s="361" t="s">
        <v>585</v>
      </c>
      <c r="T482" s="361" t="s">
        <v>628</v>
      </c>
      <c r="U482" s="313"/>
      <c r="Z482" s="52"/>
      <c r="AC482" s="313"/>
    </row>
    <row r="483" spans="1:29" ht="13.5" customHeight="1" thickBot="1" x14ac:dyDescent="0.25">
      <c r="A483" s="556"/>
      <c r="B483" s="362"/>
      <c r="C483" s="362"/>
      <c r="D483" s="362"/>
      <c r="E483" s="362"/>
      <c r="F483" s="362"/>
      <c r="G483" s="362"/>
      <c r="H483" s="362"/>
      <c r="I483" s="362"/>
      <c r="J483" s="362"/>
      <c r="K483" s="313"/>
      <c r="L483" s="362"/>
      <c r="M483" s="362"/>
      <c r="N483" s="362"/>
      <c r="O483" s="362"/>
      <c r="P483" s="362"/>
      <c r="Q483" s="362"/>
      <c r="R483" s="362"/>
      <c r="S483" s="362"/>
      <c r="T483" s="362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288.89999999999998</v>
      </c>
      <c r="D484" s="46">
        <f>IFERROR(W55*1,"0")+IFERROR(W56*1,"0")+IFERROR(W57*1,"0")+IFERROR(W58*1,"0")</f>
        <v>205.20000000000002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2743.06</v>
      </c>
      <c r="F484" s="46">
        <f>IFERROR(W129*1,"0")+IFERROR(W130*1,"0")+IFERROR(W131*1,"0")</f>
        <v>1315.8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424.20000000000005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3437.7000000000003</v>
      </c>
      <c r="J484" s="46">
        <f>IFERROR(W202*1,"0")</f>
        <v>105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2303.5</v>
      </c>
      <c r="M484" s="46">
        <f>IFERROR(W266*1,"0")+IFERROR(W267*1,"0")+IFERROR(W268*1,"0")+IFERROR(W269*1,"0")+IFERROR(W270*1,"0")+IFERROR(W271*1,"0")+IFERROR(W272*1,"0")+IFERROR(W276*1,"0")+IFERROR(W277*1,"0")</f>
        <v>0</v>
      </c>
      <c r="N484" s="46">
        <f>IFERROR(W282*1,"0")+IFERROR(W286*1,"0")+IFERROR(W290*1,"0")+IFERROR(W294*1,"0")</f>
        <v>43.32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789.19999999999993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23.4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307.62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417.9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1108.3200000000002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387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9,20"/>
        <filter val="1 190,23"/>
        <filter val="1 215,00"/>
        <filter val="1 315,00"/>
        <filter val="1 475,50"/>
        <filter val="1 645,00"/>
        <filter val="10,26"/>
        <filter val="100,00"/>
        <filter val="105,00"/>
        <filter val="115,00"/>
        <filter val="115,50"/>
        <filter val="118,56"/>
        <filter val="12,00"/>
        <filter val="12,82"/>
        <filter val="120,00"/>
        <filter val="122,50"/>
        <filter val="13 781,80"/>
        <filter val="130,00"/>
        <filter val="15 072,59"/>
        <filter val="15 897,59"/>
        <filter val="150,00"/>
        <filter val="158,33"/>
        <filter val="160,00"/>
        <filter val="167,62"/>
        <filter val="175,00"/>
        <filter val="18,33"/>
        <filter val="18,52"/>
        <filter val="18,94"/>
        <filter val="180,00"/>
        <filter val="2,50"/>
        <filter val="2,56"/>
        <filter val="20,00"/>
        <filter val="200,00"/>
        <filter val="212,00"/>
        <filter val="224,00"/>
        <filter val="240,00"/>
        <filter val="25,00"/>
        <filter val="276,50"/>
        <filter val="280,00"/>
        <filter val="287,00"/>
        <filter val="3 110,00"/>
        <filter val="3,33"/>
        <filter val="30,00"/>
        <filter val="312,37"/>
        <filter val="32,00"/>
        <filter val="33"/>
        <filter val="33,00"/>
        <filter val="345,90"/>
        <filter val="350,00"/>
        <filter val="355,50"/>
        <filter val="360,00"/>
        <filter val="4 407,00"/>
        <filter val="40,00"/>
        <filter val="400,00"/>
        <filter val="417,00"/>
        <filter val="420,00"/>
        <filter val="422,00"/>
        <filter val="43,20"/>
        <filter val="44,87"/>
        <filter val="45,33"/>
        <filter val="461,90"/>
        <filter val="50,00"/>
        <filter val="500,00"/>
        <filter val="52,50"/>
        <filter val="520,00"/>
        <filter val="533,70"/>
        <filter val="54,00"/>
        <filter val="560,00"/>
        <filter val="570,00"/>
        <filter val="6,00"/>
        <filter val="60,00"/>
        <filter val="600,00"/>
        <filter val="65,57"/>
        <filter val="66,00"/>
        <filter val="665,00"/>
        <filter val="680,00"/>
        <filter val="7,00"/>
        <filter val="7,41"/>
        <filter val="7,60"/>
        <filter val="70,00"/>
        <filter val="75,93"/>
        <filter val="783,33"/>
        <filter val="8,00"/>
        <filter val="80,00"/>
        <filter val="80,98"/>
        <filter val="85,00"/>
        <filter val="88,33"/>
        <filter val="92,00"/>
        <filter val="980,00"/>
      </filters>
    </filterColumn>
  </autoFilter>
  <mergeCells count="862"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2024-01-10T11:06:42Z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