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11AE3F-8289-4C29-A2C0-B00D417AC9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Y284" i="1" s="1"/>
  <c r="X261" i="1"/>
  <c r="X260" i="1"/>
  <c r="BO259" i="1"/>
  <c r="BM259" i="1"/>
  <c r="Z259" i="1"/>
  <c r="Y259" i="1"/>
  <c r="P259" i="1"/>
  <c r="BO258" i="1"/>
  <c r="BM258" i="1"/>
  <c r="Z258" i="1"/>
  <c r="Y258" i="1"/>
  <c r="BO257" i="1"/>
  <c r="BM257" i="1"/>
  <c r="Z257" i="1"/>
  <c r="Y257" i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X249" i="1"/>
  <c r="BO248" i="1"/>
  <c r="BM248" i="1"/>
  <c r="Z248" i="1"/>
  <c r="Z249" i="1" s="1"/>
  <c r="Y248" i="1"/>
  <c r="Y250" i="1" s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Y238" i="1" s="1"/>
  <c r="X232" i="1"/>
  <c r="X231" i="1"/>
  <c r="BO230" i="1"/>
  <c r="BM230" i="1"/>
  <c r="Z230" i="1"/>
  <c r="Y230" i="1"/>
  <c r="P230" i="1"/>
  <c r="BO229" i="1"/>
  <c r="BM229" i="1"/>
  <c r="Z229" i="1"/>
  <c r="Z231" i="1" s="1"/>
  <c r="Y229" i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2" i="1"/>
  <c r="X181" i="1"/>
  <c r="BO180" i="1"/>
  <c r="BM180" i="1"/>
  <c r="Z180" i="1"/>
  <c r="Z181" i="1" s="1"/>
  <c r="Y180" i="1"/>
  <c r="P180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2" i="1" s="1"/>
  <c r="X146" i="1"/>
  <c r="X145" i="1"/>
  <c r="BO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Y140" i="1" s="1"/>
  <c r="X135" i="1"/>
  <c r="Y134" i="1"/>
  <c r="X134" i="1"/>
  <c r="BP133" i="1"/>
  <c r="BO133" i="1"/>
  <c r="BN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Y122" i="1" s="1"/>
  <c r="P120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Y110" i="1" s="1"/>
  <c r="P102" i="1"/>
  <c r="BP101" i="1"/>
  <c r="BO101" i="1"/>
  <c r="BN101" i="1"/>
  <c r="BM101" i="1"/>
  <c r="Z101" i="1"/>
  <c r="Z110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Y90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BO60" i="1"/>
  <c r="BM60" i="1"/>
  <c r="Z60" i="1"/>
  <c r="Y60" i="1"/>
  <c r="BP60" i="1" s="1"/>
  <c r="P60" i="1"/>
  <c r="BO59" i="1"/>
  <c r="BM59" i="1"/>
  <c r="Z59" i="1"/>
  <c r="Y59" i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5" i="1" l="1"/>
  <c r="Y32" i="1"/>
  <c r="Y39" i="1"/>
  <c r="BN38" i="1"/>
  <c r="Y47" i="1"/>
  <c r="Y64" i="1"/>
  <c r="Z63" i="1"/>
  <c r="BN52" i="1"/>
  <c r="BN54" i="1"/>
  <c r="BN57" i="1"/>
  <c r="Y69" i="1"/>
  <c r="BN68" i="1"/>
  <c r="Y173" i="1"/>
  <c r="Z172" i="1"/>
  <c r="BN170" i="1"/>
  <c r="Z199" i="1"/>
  <c r="BN193" i="1"/>
  <c r="Y200" i="1"/>
  <c r="BN195" i="1"/>
  <c r="BN197" i="1"/>
  <c r="BN211" i="1"/>
  <c r="BP211" i="1"/>
  <c r="Y212" i="1"/>
  <c r="BN217" i="1"/>
  <c r="Z260" i="1"/>
  <c r="BP59" i="1"/>
  <c r="BN59" i="1"/>
  <c r="BP61" i="1"/>
  <c r="BN61" i="1"/>
  <c r="Y75" i="1"/>
  <c r="Y74" i="1"/>
  <c r="BP73" i="1"/>
  <c r="BN73" i="1"/>
  <c r="Y160" i="1"/>
  <c r="Y159" i="1"/>
  <c r="BP155" i="1"/>
  <c r="BN155" i="1"/>
  <c r="BP156" i="1"/>
  <c r="BN156" i="1"/>
  <c r="BP157" i="1"/>
  <c r="BN157" i="1"/>
  <c r="BP158" i="1"/>
  <c r="BN158" i="1"/>
  <c r="Y182" i="1"/>
  <c r="Y181" i="1"/>
  <c r="BP180" i="1"/>
  <c r="BN180" i="1"/>
  <c r="Y255" i="1"/>
  <c r="Y254" i="1"/>
  <c r="BP252" i="1"/>
  <c r="BN252" i="1"/>
  <c r="BP253" i="1"/>
  <c r="BN253" i="1"/>
  <c r="BN22" i="1"/>
  <c r="BP22" i="1"/>
  <c r="Y23" i="1"/>
  <c r="Z32" i="1"/>
  <c r="BN28" i="1"/>
  <c r="BP28" i="1"/>
  <c r="Y33" i="1"/>
  <c r="BN30" i="1"/>
  <c r="Z39" i="1"/>
  <c r="Z47" i="1"/>
  <c r="BN43" i="1"/>
  <c r="BP43" i="1"/>
  <c r="Y48" i="1"/>
  <c r="BN45" i="1"/>
  <c r="Y80" i="1"/>
  <c r="BP78" i="1"/>
  <c r="BN78" i="1"/>
  <c r="Y98" i="1"/>
  <c r="BP94" i="1"/>
  <c r="BN94" i="1"/>
  <c r="BP96" i="1"/>
  <c r="BN96" i="1"/>
  <c r="Y116" i="1"/>
  <c r="BP114" i="1"/>
  <c r="BN114" i="1"/>
  <c r="Y130" i="1"/>
  <c r="BP126" i="1"/>
  <c r="BN126" i="1"/>
  <c r="BP128" i="1"/>
  <c r="BN128" i="1"/>
  <c r="Y146" i="1"/>
  <c r="Y145" i="1"/>
  <c r="BP144" i="1"/>
  <c r="BN144" i="1"/>
  <c r="Y164" i="1"/>
  <c r="BP162" i="1"/>
  <c r="BN162" i="1"/>
  <c r="Y177" i="1"/>
  <c r="Y176" i="1"/>
  <c r="BP175" i="1"/>
  <c r="BN175" i="1"/>
  <c r="Y190" i="1"/>
  <c r="BP186" i="1"/>
  <c r="BN186" i="1"/>
  <c r="BP188" i="1"/>
  <c r="BN188" i="1"/>
  <c r="BP204" i="1"/>
  <c r="BN204" i="1"/>
  <c r="BP206" i="1"/>
  <c r="BN206" i="1"/>
  <c r="BP230" i="1"/>
  <c r="BN230" i="1"/>
  <c r="Y246" i="1"/>
  <c r="Y245" i="1"/>
  <c r="BP242" i="1"/>
  <c r="BN242" i="1"/>
  <c r="BP243" i="1"/>
  <c r="BN243" i="1"/>
  <c r="BP244" i="1"/>
  <c r="BN244" i="1"/>
  <c r="BP259" i="1"/>
  <c r="BN259" i="1"/>
  <c r="Z69" i="1"/>
  <c r="Z80" i="1"/>
  <c r="Y81" i="1"/>
  <c r="Z90" i="1"/>
  <c r="Z97" i="1"/>
  <c r="Y97" i="1"/>
  <c r="Y111" i="1"/>
  <c r="Z116" i="1"/>
  <c r="Y117" i="1"/>
  <c r="Z122" i="1"/>
  <c r="Z129" i="1"/>
  <c r="Y129" i="1"/>
  <c r="Z140" i="1"/>
  <c r="Z164" i="1"/>
  <c r="Y165" i="1"/>
  <c r="Z189" i="1"/>
  <c r="Y189" i="1"/>
  <c r="F9" i="1"/>
  <c r="J9" i="1"/>
  <c r="F10" i="1"/>
  <c r="H9" i="1"/>
  <c r="X286" i="1"/>
  <c r="X287" i="1"/>
  <c r="X289" i="1"/>
  <c r="BN29" i="1"/>
  <c r="BP29" i="1"/>
  <c r="BN31" i="1"/>
  <c r="BN36" i="1"/>
  <c r="BP36" i="1"/>
  <c r="BN37" i="1"/>
  <c r="Y40" i="1"/>
  <c r="BN44" i="1"/>
  <c r="BP44" i="1"/>
  <c r="BN46" i="1"/>
  <c r="BN51" i="1"/>
  <c r="BP51" i="1"/>
  <c r="BN53" i="1"/>
  <c r="BN55" i="1"/>
  <c r="BN56" i="1"/>
  <c r="BN58" i="1"/>
  <c r="BN60" i="1"/>
  <c r="BN62" i="1"/>
  <c r="Y63" i="1"/>
  <c r="BN67" i="1"/>
  <c r="BP67" i="1"/>
  <c r="Y70" i="1"/>
  <c r="BN79" i="1"/>
  <c r="BP79" i="1"/>
  <c r="BN84" i="1"/>
  <c r="BP84" i="1"/>
  <c r="BN86" i="1"/>
  <c r="BN88" i="1"/>
  <c r="Y91" i="1"/>
  <c r="BN95" i="1"/>
  <c r="BP95" i="1"/>
  <c r="BN102" i="1"/>
  <c r="BP102" i="1"/>
  <c r="BN104" i="1"/>
  <c r="BN106" i="1"/>
  <c r="BN108" i="1"/>
  <c r="BN115" i="1"/>
  <c r="BP115" i="1"/>
  <c r="BN120" i="1"/>
  <c r="BP120" i="1"/>
  <c r="Y123" i="1"/>
  <c r="BN127" i="1"/>
  <c r="BP127" i="1"/>
  <c r="BN138" i="1"/>
  <c r="BP138" i="1"/>
  <c r="Y141" i="1"/>
  <c r="BN150" i="1"/>
  <c r="BP150" i="1"/>
  <c r="Y151" i="1"/>
  <c r="BN163" i="1"/>
  <c r="BP163" i="1"/>
  <c r="BN169" i="1"/>
  <c r="BP169" i="1"/>
  <c r="BN171" i="1"/>
  <c r="Y172" i="1"/>
  <c r="BN187" i="1"/>
  <c r="BP187" i="1"/>
  <c r="Y199" i="1"/>
  <c r="BN194" i="1"/>
  <c r="BP194" i="1"/>
  <c r="BN196" i="1"/>
  <c r="BN198" i="1"/>
  <c r="Z207" i="1"/>
  <c r="Z290" i="1" s="1"/>
  <c r="Z218" i="1"/>
  <c r="Y232" i="1"/>
  <c r="BP229" i="1"/>
  <c r="BN229" i="1"/>
  <c r="Y231" i="1"/>
  <c r="Y237" i="1"/>
  <c r="BP236" i="1"/>
  <c r="BN236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Y289" i="1" l="1"/>
  <c r="Y285" i="1"/>
  <c r="Y286" i="1"/>
  <c r="Y287" i="1"/>
  <c r="Y288" i="1" s="1"/>
  <c r="X288" i="1"/>
  <c r="B298" i="1" l="1"/>
  <c r="A298" i="1"/>
  <c r="C298" i="1"/>
</calcChain>
</file>

<file path=xl/sharedStrings.xml><?xml version="1.0" encoding="utf-8"?>
<sst xmlns="http://schemas.openxmlformats.org/spreadsheetml/2006/main" count="1351" uniqueCount="434">
  <si>
    <t xml:space="preserve">  БЛАНК ЗАКАЗА </t>
  </si>
  <si>
    <t>ЗПФ</t>
  </si>
  <si>
    <t>на отгрузку продукции с ООО Трейд-Сервис с</t>
  </si>
  <si>
    <t>07.10.2024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</si>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</sst>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15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0" fillId="0" borderId="19" xfId="0" applyBorder="1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6" customWidth="1"/>
    <col min="19" max="19" width="6.140625" style="1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6" customWidth="1"/>
    <col min="25" max="25" width="11" style="196" customWidth="1"/>
    <col min="26" max="26" width="10" style="196" customWidth="1"/>
    <col min="27" max="27" width="11.5703125" style="196" customWidth="1"/>
    <col min="28" max="28" width="10.42578125" style="196" customWidth="1"/>
    <col min="29" max="29" width="30" style="1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6" customWidth="1"/>
    <col min="34" max="34" width="9.140625" style="196" customWidth="1"/>
    <col min="35" max="16384" width="9.140625" style="196"/>
  </cols>
  <sheetData>
    <row r="1" spans="1:32" s="191" customFormat="1" ht="45" customHeight="1" x14ac:dyDescent="0.2">
      <c r="A1" s="41"/>
      <c r="B1" s="41"/>
      <c r="C1" s="41"/>
      <c r="D1" s="262" t="s">
        <v>0</v>
      </c>
      <c r="E1" s="230"/>
      <c r="F1" s="230"/>
      <c r="G1" s="12" t="s">
        <v>1</v>
      </c>
      <c r="H1" s="262" t="s">
        <v>2</v>
      </c>
      <c r="I1" s="230"/>
      <c r="J1" s="230"/>
      <c r="K1" s="230"/>
      <c r="L1" s="230"/>
      <c r="M1" s="230"/>
      <c r="N1" s="230"/>
      <c r="O1" s="230"/>
      <c r="P1" s="230"/>
      <c r="Q1" s="230"/>
      <c r="R1" s="229" t="s">
        <v>3</v>
      </c>
      <c r="S1" s="230"/>
      <c r="T1" s="2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1" customFormat="1" ht="23.45" customHeight="1" x14ac:dyDescent="0.2">
      <c r="A5" s="298" t="s">
        <v>7</v>
      </c>
      <c r="B5" s="206"/>
      <c r="C5" s="207"/>
      <c r="D5" s="266"/>
      <c r="E5" s="267"/>
      <c r="F5" s="396" t="s">
        <v>8</v>
      </c>
      <c r="G5" s="207"/>
      <c r="H5" s="266" t="s">
        <v>433</v>
      </c>
      <c r="I5" s="389"/>
      <c r="J5" s="389"/>
      <c r="K5" s="389"/>
      <c r="L5" s="389"/>
      <c r="M5" s="267"/>
      <c r="N5" s="61"/>
      <c r="P5" s="24" t="s">
        <v>9</v>
      </c>
      <c r="Q5" s="401">
        <v>45576</v>
      </c>
      <c r="R5" s="294"/>
      <c r="T5" s="324" t="s">
        <v>10</v>
      </c>
      <c r="U5" s="215"/>
      <c r="V5" s="325" t="s">
        <v>11</v>
      </c>
      <c r="W5" s="294"/>
      <c r="AB5" s="51"/>
      <c r="AC5" s="51"/>
      <c r="AD5" s="51"/>
      <c r="AE5" s="51"/>
    </row>
    <row r="6" spans="1:32" s="191" customFormat="1" ht="24" customHeight="1" x14ac:dyDescent="0.2">
      <c r="A6" s="298" t="s">
        <v>12</v>
      </c>
      <c r="B6" s="206"/>
      <c r="C6" s="207"/>
      <c r="D6" s="359" t="s">
        <v>13</v>
      </c>
      <c r="E6" s="360"/>
      <c r="F6" s="360"/>
      <c r="G6" s="360"/>
      <c r="H6" s="360"/>
      <c r="I6" s="360"/>
      <c r="J6" s="360"/>
      <c r="K6" s="360"/>
      <c r="L6" s="360"/>
      <c r="M6" s="294"/>
      <c r="N6" s="62"/>
      <c r="P6" s="24" t="s">
        <v>14</v>
      </c>
      <c r="Q6" s="402" t="str">
        <f>IF(Q5=0," ",CHOOSE(WEEKDAY(Q5,2),"Понедельник","Вторник","Среда","Четверг","Пятница","Суббота","Воскресенье"))</f>
        <v>Пятница</v>
      </c>
      <c r="R6" s="220"/>
      <c r="T6" s="328" t="s">
        <v>15</v>
      </c>
      <c r="U6" s="215"/>
      <c r="V6" s="370" t="s">
        <v>16</v>
      </c>
      <c r="W6" s="241"/>
      <c r="AB6" s="51"/>
      <c r="AC6" s="51"/>
      <c r="AD6" s="51"/>
      <c r="AE6" s="51"/>
    </row>
    <row r="7" spans="1:32" s="191" customFormat="1" ht="21.75" hidden="1" customHeight="1" x14ac:dyDescent="0.2">
      <c r="A7" s="55"/>
      <c r="B7" s="55"/>
      <c r="C7" s="55"/>
      <c r="D7" s="244" t="str">
        <f>IFERROR(VLOOKUP(DeliveryAddress,Table,3,0),1)</f>
        <v>1</v>
      </c>
      <c r="E7" s="245"/>
      <c r="F7" s="245"/>
      <c r="G7" s="245"/>
      <c r="H7" s="245"/>
      <c r="I7" s="245"/>
      <c r="J7" s="245"/>
      <c r="K7" s="245"/>
      <c r="L7" s="245"/>
      <c r="M7" s="246"/>
      <c r="N7" s="63"/>
      <c r="P7" s="24"/>
      <c r="Q7" s="42"/>
      <c r="R7" s="42"/>
      <c r="T7" s="211"/>
      <c r="U7" s="215"/>
      <c r="V7" s="371"/>
      <c r="W7" s="372"/>
      <c r="AB7" s="51"/>
      <c r="AC7" s="51"/>
      <c r="AD7" s="51"/>
      <c r="AE7" s="51"/>
    </row>
    <row r="8" spans="1:32" s="191" customFormat="1" ht="25.5" customHeight="1" x14ac:dyDescent="0.2">
      <c r="A8" s="405" t="s">
        <v>17</v>
      </c>
      <c r="B8" s="203"/>
      <c r="C8" s="204"/>
      <c r="D8" s="252" t="s">
        <v>18</v>
      </c>
      <c r="E8" s="253"/>
      <c r="F8" s="253"/>
      <c r="G8" s="253"/>
      <c r="H8" s="253"/>
      <c r="I8" s="253"/>
      <c r="J8" s="253"/>
      <c r="K8" s="253"/>
      <c r="L8" s="253"/>
      <c r="M8" s="254"/>
      <c r="N8" s="64"/>
      <c r="P8" s="24" t="s">
        <v>19</v>
      </c>
      <c r="Q8" s="303">
        <v>0.375</v>
      </c>
      <c r="R8" s="246"/>
      <c r="T8" s="211"/>
      <c r="U8" s="215"/>
      <c r="V8" s="371"/>
      <c r="W8" s="372"/>
      <c r="AB8" s="51"/>
      <c r="AC8" s="51"/>
      <c r="AD8" s="51"/>
      <c r="AE8" s="51"/>
    </row>
    <row r="9" spans="1:32" s="191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1"/>
      <c r="E9" s="261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60" t="str">
        <f>IF(AND($A$9="Тип доверенности/получателя при получении в адресе перегруза:",$D$9="Разовая доверенность"),"Введите ФИО","")</f>
        <v/>
      </c>
      <c r="I9" s="261"/>
      <c r="J9" s="2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1"/>
      <c r="L9" s="261"/>
      <c r="M9" s="261"/>
      <c r="N9" s="189"/>
      <c r="P9" s="26" t="s">
        <v>20</v>
      </c>
      <c r="Q9" s="290"/>
      <c r="R9" s="291"/>
      <c r="T9" s="211"/>
      <c r="U9" s="215"/>
      <c r="V9" s="373"/>
      <c r="W9" s="374"/>
      <c r="X9" s="43"/>
      <c r="Y9" s="43"/>
      <c r="Z9" s="43"/>
      <c r="AA9" s="43"/>
      <c r="AB9" s="51"/>
      <c r="AC9" s="51"/>
      <c r="AD9" s="51"/>
      <c r="AE9" s="51"/>
    </row>
    <row r="10" spans="1:32" s="191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1"/>
      <c r="E10" s="261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90" t="str">
        <f>IFERROR(VLOOKUP($D$10,Proxy,2,FALSE),"")</f>
        <v/>
      </c>
      <c r="I10" s="211"/>
      <c r="J10" s="211"/>
      <c r="K10" s="211"/>
      <c r="L10" s="211"/>
      <c r="M10" s="211"/>
      <c r="N10" s="190"/>
      <c r="P10" s="26" t="s">
        <v>21</v>
      </c>
      <c r="Q10" s="329"/>
      <c r="R10" s="330"/>
      <c r="U10" s="24" t="s">
        <v>22</v>
      </c>
      <c r="V10" s="240" t="s">
        <v>23</v>
      </c>
      <c r="W10" s="241"/>
      <c r="X10" s="44"/>
      <c r="Y10" s="44"/>
      <c r="Z10" s="44"/>
      <c r="AA10" s="44"/>
      <c r="AB10" s="51"/>
      <c r="AC10" s="51"/>
      <c r="AD10" s="51"/>
      <c r="AE10" s="51"/>
    </row>
    <row r="11" spans="1:32" s="19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93"/>
      <c r="R11" s="294"/>
      <c r="U11" s="24" t="s">
        <v>26</v>
      </c>
      <c r="V11" s="320" t="s">
        <v>27</v>
      </c>
      <c r="W11" s="291"/>
      <c r="X11" s="45"/>
      <c r="Y11" s="45"/>
      <c r="Z11" s="45"/>
      <c r="AA11" s="45"/>
      <c r="AB11" s="51"/>
      <c r="AC11" s="51"/>
      <c r="AD11" s="51"/>
      <c r="AE11" s="51"/>
    </row>
    <row r="12" spans="1:32" s="191" customFormat="1" ht="18.600000000000001" customHeight="1" x14ac:dyDescent="0.2">
      <c r="A12" s="315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7"/>
      <c r="N12" s="65"/>
      <c r="P12" s="24" t="s">
        <v>29</v>
      </c>
      <c r="Q12" s="303"/>
      <c r="R12" s="246"/>
      <c r="S12" s="23"/>
      <c r="U12" s="24"/>
      <c r="V12" s="230"/>
      <c r="W12" s="211"/>
      <c r="AB12" s="51"/>
      <c r="AC12" s="51"/>
      <c r="AD12" s="51"/>
      <c r="AE12" s="51"/>
    </row>
    <row r="13" spans="1:32" s="191" customFormat="1" ht="23.25" customHeight="1" x14ac:dyDescent="0.2">
      <c r="A13" s="315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7"/>
      <c r="N13" s="65"/>
      <c r="O13" s="26"/>
      <c r="P13" s="26" t="s">
        <v>31</v>
      </c>
      <c r="Q13" s="320"/>
      <c r="R13" s="2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1" customFormat="1" ht="18.600000000000001" customHeight="1" x14ac:dyDescent="0.2">
      <c r="A14" s="315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1" customFormat="1" ht="22.5" customHeight="1" x14ac:dyDescent="0.2">
      <c r="A15" s="319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7"/>
      <c r="N15" s="66"/>
      <c r="P15" s="306" t="s">
        <v>34</v>
      </c>
      <c r="Q15" s="230"/>
      <c r="R15" s="230"/>
      <c r="S15" s="230"/>
      <c r="T15" s="2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2" t="s">
        <v>35</v>
      </c>
      <c r="B17" s="212" t="s">
        <v>36</v>
      </c>
      <c r="C17" s="310" t="s">
        <v>37</v>
      </c>
      <c r="D17" s="212" t="s">
        <v>38</v>
      </c>
      <c r="E17" s="277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12" t="s">
        <v>48</v>
      </c>
      <c r="P17" s="212" t="s">
        <v>49</v>
      </c>
      <c r="Q17" s="276"/>
      <c r="R17" s="276"/>
      <c r="S17" s="276"/>
      <c r="T17" s="277"/>
      <c r="U17" s="409" t="s">
        <v>50</v>
      </c>
      <c r="V17" s="207"/>
      <c r="W17" s="212" t="s">
        <v>51</v>
      </c>
      <c r="X17" s="212" t="s">
        <v>52</v>
      </c>
      <c r="Y17" s="387" t="s">
        <v>53</v>
      </c>
      <c r="Z17" s="212" t="s">
        <v>54</v>
      </c>
      <c r="AA17" s="344" t="s">
        <v>55</v>
      </c>
      <c r="AB17" s="344" t="s">
        <v>56</v>
      </c>
      <c r="AC17" s="344" t="s">
        <v>57</v>
      </c>
      <c r="AD17" s="344" t="s">
        <v>58</v>
      </c>
      <c r="AE17" s="391"/>
      <c r="AF17" s="392"/>
      <c r="AG17" s="285"/>
      <c r="BD17" s="340" t="s">
        <v>59</v>
      </c>
    </row>
    <row r="18" spans="1:68" ht="14.25" customHeight="1" x14ac:dyDescent="0.2">
      <c r="A18" s="213"/>
      <c r="B18" s="213"/>
      <c r="C18" s="213"/>
      <c r="D18" s="278"/>
      <c r="E18" s="280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78"/>
      <c r="Q18" s="279"/>
      <c r="R18" s="279"/>
      <c r="S18" s="279"/>
      <c r="T18" s="280"/>
      <c r="U18" s="192" t="s">
        <v>60</v>
      </c>
      <c r="V18" s="192" t="s">
        <v>61</v>
      </c>
      <c r="W18" s="213"/>
      <c r="X18" s="213"/>
      <c r="Y18" s="388"/>
      <c r="Z18" s="213"/>
      <c r="AA18" s="345"/>
      <c r="AB18" s="345"/>
      <c r="AC18" s="345"/>
      <c r="AD18" s="393"/>
      <c r="AE18" s="394"/>
      <c r="AF18" s="395"/>
      <c r="AG18" s="286"/>
      <c r="BD18" s="211"/>
    </row>
    <row r="19" spans="1:68" ht="27.75" hidden="1" customHeight="1" x14ac:dyDescent="0.2">
      <c r="A19" s="208" t="s">
        <v>62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hidden="1" customHeight="1" x14ac:dyDescent="0.25">
      <c r="A20" s="22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3"/>
      <c r="AB20" s="193"/>
      <c r="AC20" s="193"/>
    </row>
    <row r="21" spans="1:68" ht="14.25" hidden="1" customHeight="1" x14ac:dyDescent="0.25">
      <c r="A21" s="210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4"/>
      <c r="AB21" s="194"/>
      <c r="AC21" s="1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19">
        <v>4607111035752</v>
      </c>
      <c r="E22" s="220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7"/>
      <c r="R22" s="217"/>
      <c r="S22" s="217"/>
      <c r="T22" s="218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26"/>
      <c r="P23" s="202" t="s">
        <v>71</v>
      </c>
      <c r="Q23" s="203"/>
      <c r="R23" s="203"/>
      <c r="S23" s="203"/>
      <c r="T23" s="203"/>
      <c r="U23" s="203"/>
      <c r="V23" s="204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26"/>
      <c r="P24" s="202" t="s">
        <v>71</v>
      </c>
      <c r="Q24" s="203"/>
      <c r="R24" s="203"/>
      <c r="S24" s="203"/>
      <c r="T24" s="203"/>
      <c r="U24" s="203"/>
      <c r="V24" s="204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hidden="1" customHeight="1" x14ac:dyDescent="0.2">
      <c r="A25" s="208" t="s">
        <v>73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hidden="1" customHeight="1" x14ac:dyDescent="0.25">
      <c r="A26" s="22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3"/>
      <c r="AB26" s="193"/>
      <c r="AC26" s="193"/>
    </row>
    <row r="27" spans="1:68" ht="14.25" hidden="1" customHeight="1" x14ac:dyDescent="0.25">
      <c r="A27" s="210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4"/>
      <c r="AB27" s="194"/>
      <c r="AC27" s="194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19">
        <v>4607111036605</v>
      </c>
      <c r="E28" s="220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3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7"/>
      <c r="R28" s="217"/>
      <c r="S28" s="217"/>
      <c r="T28" s="218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219">
        <v>4607111036520</v>
      </c>
      <c r="E29" s="220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7"/>
      <c r="R29" s="217"/>
      <c r="S29" s="217"/>
      <c r="T29" s="218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19">
        <v>4607111036537</v>
      </c>
      <c r="E30" s="220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84</v>
      </c>
      <c r="M30" s="33" t="s">
        <v>68</v>
      </c>
      <c r="N30" s="33"/>
      <c r="O30" s="32">
        <v>180</v>
      </c>
      <c r="P30" s="2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7"/>
      <c r="R30" s="217"/>
      <c r="S30" s="217"/>
      <c r="T30" s="218"/>
      <c r="U30" s="34"/>
      <c r="V30" s="34"/>
      <c r="W30" s="35" t="s">
        <v>69</v>
      </c>
      <c r="X30" s="198">
        <v>126</v>
      </c>
      <c r="Y30" s="199">
        <f>IFERROR(IF(X30="","",X30),"")</f>
        <v>126</v>
      </c>
      <c r="Z30" s="36">
        <f>IFERROR(IF(X30="","",X30*0.00941),"")</f>
        <v>1.1856599999999999</v>
      </c>
      <c r="AA30" s="56"/>
      <c r="AB30" s="57"/>
      <c r="AC30" s="68"/>
      <c r="AG30" s="67"/>
      <c r="AJ30" s="69" t="s">
        <v>85</v>
      </c>
      <c r="AK30" s="69">
        <v>140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0.9</v>
      </c>
      <c r="BP30" s="67">
        <f>IFERROR(Y30/J30,"0")</f>
        <v>0.9</v>
      </c>
    </row>
    <row r="31" spans="1:68" ht="27" hidden="1" customHeight="1" x14ac:dyDescent="0.25">
      <c r="A31" s="54" t="s">
        <v>86</v>
      </c>
      <c r="B31" s="54" t="s">
        <v>87</v>
      </c>
      <c r="C31" s="31">
        <v>4301132094</v>
      </c>
      <c r="D31" s="219">
        <v>4607111036599</v>
      </c>
      <c r="E31" s="220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7"/>
      <c r="R31" s="217"/>
      <c r="S31" s="217"/>
      <c r="T31" s="218"/>
      <c r="U31" s="34"/>
      <c r="V31" s="34"/>
      <c r="W31" s="35" t="s">
        <v>69</v>
      </c>
      <c r="X31" s="198">
        <v>0</v>
      </c>
      <c r="Y31" s="199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26"/>
      <c r="P32" s="202" t="s">
        <v>71</v>
      </c>
      <c r="Q32" s="203"/>
      <c r="R32" s="203"/>
      <c r="S32" s="203"/>
      <c r="T32" s="203"/>
      <c r="U32" s="203"/>
      <c r="V32" s="204"/>
      <c r="W32" s="37" t="s">
        <v>69</v>
      </c>
      <c r="X32" s="200">
        <f>IFERROR(SUM(X28:X31),"0")</f>
        <v>126</v>
      </c>
      <c r="Y32" s="200">
        <f>IFERROR(SUM(Y28:Y31),"0")</f>
        <v>126</v>
      </c>
      <c r="Z32" s="200">
        <f>IFERROR(IF(Z28="",0,Z28),"0")+IFERROR(IF(Z29="",0,Z29),"0")+IFERROR(IF(Z30="",0,Z30),"0")+IFERROR(IF(Z31="",0,Z31),"0")</f>
        <v>1.1856599999999999</v>
      </c>
      <c r="AA32" s="201"/>
      <c r="AB32" s="201"/>
      <c r="AC32" s="201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26"/>
      <c r="P33" s="202" t="s">
        <v>71</v>
      </c>
      <c r="Q33" s="203"/>
      <c r="R33" s="203"/>
      <c r="S33" s="203"/>
      <c r="T33" s="203"/>
      <c r="U33" s="203"/>
      <c r="V33" s="204"/>
      <c r="W33" s="37" t="s">
        <v>72</v>
      </c>
      <c r="X33" s="200">
        <f>IFERROR(SUMPRODUCT(X28:X31*H28:H31),"0")</f>
        <v>189</v>
      </c>
      <c r="Y33" s="200">
        <f>IFERROR(SUMPRODUCT(Y28:Y31*H28:H31),"0")</f>
        <v>189</v>
      </c>
      <c r="Z33" s="37"/>
      <c r="AA33" s="201"/>
      <c r="AB33" s="201"/>
      <c r="AC33" s="201"/>
    </row>
    <row r="34" spans="1:68" ht="16.5" hidden="1" customHeight="1" x14ac:dyDescent="0.25">
      <c r="A34" s="224" t="s">
        <v>88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3"/>
      <c r="AB34" s="193"/>
      <c r="AC34" s="193"/>
    </row>
    <row r="35" spans="1:68" ht="14.25" hidden="1" customHeight="1" x14ac:dyDescent="0.25">
      <c r="A35" s="210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4"/>
      <c r="AB35" s="194"/>
      <c r="AC35" s="194"/>
    </row>
    <row r="36" spans="1:68" ht="27" hidden="1" customHeight="1" x14ac:dyDescent="0.25">
      <c r="A36" s="54" t="s">
        <v>89</v>
      </c>
      <c r="B36" s="54" t="s">
        <v>90</v>
      </c>
      <c r="C36" s="31">
        <v>4301070865</v>
      </c>
      <c r="D36" s="219">
        <v>4607111036285</v>
      </c>
      <c r="E36" s="220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7"/>
      <c r="R36" s="217"/>
      <c r="S36" s="217"/>
      <c r="T36" s="218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91</v>
      </c>
      <c r="B37" s="54" t="s">
        <v>92</v>
      </c>
      <c r="C37" s="31">
        <v>4301070861</v>
      </c>
      <c r="D37" s="219">
        <v>4607111036308</v>
      </c>
      <c r="E37" s="220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49" t="s">
        <v>93</v>
      </c>
      <c r="Q37" s="217"/>
      <c r="R37" s="217"/>
      <c r="S37" s="217"/>
      <c r="T37" s="218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94</v>
      </c>
      <c r="B38" s="54" t="s">
        <v>95</v>
      </c>
      <c r="C38" s="31">
        <v>4301070864</v>
      </c>
      <c r="D38" s="219">
        <v>4607111036292</v>
      </c>
      <c r="E38" s="220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96</v>
      </c>
      <c r="M38" s="33" t="s">
        <v>68</v>
      </c>
      <c r="N38" s="33"/>
      <c r="O38" s="32">
        <v>180</v>
      </c>
      <c r="P38" s="35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7"/>
      <c r="R38" s="217"/>
      <c r="S38" s="217"/>
      <c r="T38" s="218"/>
      <c r="U38" s="34"/>
      <c r="V38" s="34"/>
      <c r="W38" s="35" t="s">
        <v>69</v>
      </c>
      <c r="X38" s="198">
        <v>48</v>
      </c>
      <c r="Y38" s="199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97</v>
      </c>
      <c r="AK38" s="69">
        <v>12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2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26"/>
      <c r="P39" s="202" t="s">
        <v>71</v>
      </c>
      <c r="Q39" s="203"/>
      <c r="R39" s="203"/>
      <c r="S39" s="203"/>
      <c r="T39" s="203"/>
      <c r="U39" s="203"/>
      <c r="V39" s="204"/>
      <c r="W39" s="37" t="s">
        <v>69</v>
      </c>
      <c r="X39" s="200">
        <f>IFERROR(SUM(X36:X38),"0")</f>
        <v>48</v>
      </c>
      <c r="Y39" s="200">
        <f>IFERROR(SUM(Y36:Y38),"0")</f>
        <v>48</v>
      </c>
      <c r="Z39" s="200">
        <f>IFERROR(IF(Z36="",0,Z36),"0")+IFERROR(IF(Z37="",0,Z37),"0")+IFERROR(IF(Z38="",0,Z38),"0")</f>
        <v>0.74399999999999999</v>
      </c>
      <c r="AA39" s="201"/>
      <c r="AB39" s="201"/>
      <c r="AC39" s="201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26"/>
      <c r="P40" s="202" t="s">
        <v>71</v>
      </c>
      <c r="Q40" s="203"/>
      <c r="R40" s="203"/>
      <c r="S40" s="203"/>
      <c r="T40" s="203"/>
      <c r="U40" s="203"/>
      <c r="V40" s="204"/>
      <c r="W40" s="37" t="s">
        <v>72</v>
      </c>
      <c r="X40" s="200">
        <f>IFERROR(SUMPRODUCT(X36:X38*H36:H38),"0")</f>
        <v>288</v>
      </c>
      <c r="Y40" s="200">
        <f>IFERROR(SUMPRODUCT(Y36:Y38*H36:H38),"0")</f>
        <v>288</v>
      </c>
      <c r="Z40" s="37"/>
      <c r="AA40" s="201"/>
      <c r="AB40" s="201"/>
      <c r="AC40" s="201"/>
    </row>
    <row r="41" spans="1:68" ht="16.5" hidden="1" customHeight="1" x14ac:dyDescent="0.25">
      <c r="A41" s="224" t="s">
        <v>98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3"/>
      <c r="AB41" s="193"/>
      <c r="AC41" s="193"/>
    </row>
    <row r="42" spans="1:68" ht="14.25" hidden="1" customHeight="1" x14ac:dyDescent="0.25">
      <c r="A42" s="210" t="s">
        <v>99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4"/>
      <c r="AB42" s="194"/>
      <c r="AC42" s="194"/>
    </row>
    <row r="43" spans="1:68" ht="16.5" hidden="1" customHeight="1" x14ac:dyDescent="0.25">
      <c r="A43" s="54" t="s">
        <v>100</v>
      </c>
      <c r="B43" s="54" t="s">
        <v>101</v>
      </c>
      <c r="C43" s="31">
        <v>4301190046</v>
      </c>
      <c r="D43" s="219">
        <v>4607111038951</v>
      </c>
      <c r="E43" s="220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102</v>
      </c>
      <c r="L43" s="32" t="s">
        <v>96</v>
      </c>
      <c r="M43" s="33" t="s">
        <v>68</v>
      </c>
      <c r="N43" s="33"/>
      <c r="O43" s="32">
        <v>365</v>
      </c>
      <c r="P43" s="29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7"/>
      <c r="R43" s="217"/>
      <c r="S43" s="217"/>
      <c r="T43" s="218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97</v>
      </c>
      <c r="AK43" s="69">
        <v>10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4301190010</v>
      </c>
      <c r="D44" s="219">
        <v>4607111037596</v>
      </c>
      <c r="E44" s="220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102</v>
      </c>
      <c r="L44" s="32" t="s">
        <v>67</v>
      </c>
      <c r="M44" s="33" t="s">
        <v>68</v>
      </c>
      <c r="N44" s="33"/>
      <c r="O44" s="32">
        <v>365</v>
      </c>
      <c r="P44" s="25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7"/>
      <c r="R44" s="217"/>
      <c r="S44" s="217"/>
      <c r="T44" s="218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4301190022</v>
      </c>
      <c r="D45" s="219">
        <v>4607111037053</v>
      </c>
      <c r="E45" s="220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102</v>
      </c>
      <c r="L45" s="32" t="s">
        <v>96</v>
      </c>
      <c r="M45" s="33" t="s">
        <v>68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7"/>
      <c r="R45" s="217"/>
      <c r="S45" s="217"/>
      <c r="T45" s="218"/>
      <c r="U45" s="34"/>
      <c r="V45" s="34"/>
      <c r="W45" s="35" t="s">
        <v>69</v>
      </c>
      <c r="X45" s="198">
        <v>10</v>
      </c>
      <c r="Y45" s="199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97</v>
      </c>
      <c r="AK45" s="69">
        <v>10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107</v>
      </c>
      <c r="B46" s="54" t="s">
        <v>108</v>
      </c>
      <c r="C46" s="31">
        <v>4301190023</v>
      </c>
      <c r="D46" s="219">
        <v>4607111037060</v>
      </c>
      <c r="E46" s="220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102</v>
      </c>
      <c r="L46" s="32" t="s">
        <v>96</v>
      </c>
      <c r="M46" s="33" t="s">
        <v>68</v>
      </c>
      <c r="N46" s="33"/>
      <c r="O46" s="32">
        <v>365</v>
      </c>
      <c r="P46" s="3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7"/>
      <c r="R46" s="217"/>
      <c r="S46" s="217"/>
      <c r="T46" s="218"/>
      <c r="U46" s="34"/>
      <c r="V46" s="34"/>
      <c r="W46" s="35" t="s">
        <v>69</v>
      </c>
      <c r="X46" s="198">
        <v>40</v>
      </c>
      <c r="Y46" s="199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97</v>
      </c>
      <c r="AK46" s="69">
        <v>10</v>
      </c>
      <c r="BB46" s="81" t="s">
        <v>79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2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26"/>
      <c r="P47" s="202" t="s">
        <v>71</v>
      </c>
      <c r="Q47" s="203"/>
      <c r="R47" s="203"/>
      <c r="S47" s="203"/>
      <c r="T47" s="203"/>
      <c r="U47" s="203"/>
      <c r="V47" s="204"/>
      <c r="W47" s="37" t="s">
        <v>69</v>
      </c>
      <c r="X47" s="200">
        <f>IFERROR(SUM(X43:X46),"0")</f>
        <v>50</v>
      </c>
      <c r="Y47" s="200">
        <f>IFERROR(SUM(Y43:Y46),"0")</f>
        <v>50</v>
      </c>
      <c r="Z47" s="200">
        <f>IFERROR(IF(Z43="",0,Z43),"0")+IFERROR(IF(Z44="",0,Z44),"0")+IFERROR(IF(Z45="",0,Z45),"0")+IFERROR(IF(Z46="",0,Z46),"0")</f>
        <v>0.47499999999999998</v>
      </c>
      <c r="AA47" s="201"/>
      <c r="AB47" s="201"/>
      <c r="AC47" s="201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26"/>
      <c r="P48" s="202" t="s">
        <v>71</v>
      </c>
      <c r="Q48" s="203"/>
      <c r="R48" s="203"/>
      <c r="S48" s="203"/>
      <c r="T48" s="203"/>
      <c r="U48" s="203"/>
      <c r="V48" s="204"/>
      <c r="W48" s="37" t="s">
        <v>72</v>
      </c>
      <c r="X48" s="200">
        <f>IFERROR(SUMPRODUCT(X43:X46*H43:H46),"0")</f>
        <v>60</v>
      </c>
      <c r="Y48" s="200">
        <f>IFERROR(SUMPRODUCT(Y43:Y46*H43:H46),"0")</f>
        <v>60</v>
      </c>
      <c r="Z48" s="37"/>
      <c r="AA48" s="201"/>
      <c r="AB48" s="201"/>
      <c r="AC48" s="201"/>
    </row>
    <row r="49" spans="1:68" ht="16.5" hidden="1" customHeight="1" x14ac:dyDescent="0.25">
      <c r="A49" s="224" t="s">
        <v>109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3"/>
      <c r="AB49" s="193"/>
      <c r="AC49" s="193"/>
    </row>
    <row r="50" spans="1:68" ht="14.25" hidden="1" customHeight="1" x14ac:dyDescent="0.25">
      <c r="A50" s="210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4"/>
      <c r="AB50" s="194"/>
      <c r="AC50" s="194"/>
    </row>
    <row r="51" spans="1:68" ht="27" hidden="1" customHeight="1" x14ac:dyDescent="0.25">
      <c r="A51" s="54" t="s">
        <v>110</v>
      </c>
      <c r="B51" s="54" t="s">
        <v>111</v>
      </c>
      <c r="C51" s="31">
        <v>4301070989</v>
      </c>
      <c r="D51" s="219">
        <v>4607111037190</v>
      </c>
      <c r="E51" s="220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7"/>
      <c r="R51" s="217"/>
      <c r="S51" s="217"/>
      <c r="T51" s="218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97</v>
      </c>
      <c r="AK51" s="69">
        <v>12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112</v>
      </c>
      <c r="B52" s="54" t="s">
        <v>113</v>
      </c>
      <c r="C52" s="31">
        <v>4301071032</v>
      </c>
      <c r="D52" s="219">
        <v>4607111038999</v>
      </c>
      <c r="E52" s="220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7"/>
      <c r="R52" s="217"/>
      <c r="S52" s="217"/>
      <c r="T52" s="218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114</v>
      </c>
      <c r="B53" s="54" t="s">
        <v>115</v>
      </c>
      <c r="C53" s="31">
        <v>4301070972</v>
      </c>
      <c r="D53" s="219">
        <v>4607111037183</v>
      </c>
      <c r="E53" s="220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84</v>
      </c>
      <c r="M53" s="33" t="s">
        <v>68</v>
      </c>
      <c r="N53" s="33"/>
      <c r="O53" s="32">
        <v>180</v>
      </c>
      <c r="P53" s="3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7"/>
      <c r="R53" s="217"/>
      <c r="S53" s="217"/>
      <c r="T53" s="218"/>
      <c r="U53" s="34"/>
      <c r="V53" s="34"/>
      <c r="W53" s="35" t="s">
        <v>69</v>
      </c>
      <c r="X53" s="198">
        <v>96</v>
      </c>
      <c r="Y53" s="199">
        <f t="shared" si="0"/>
        <v>96</v>
      </c>
      <c r="Z53" s="36">
        <f t="shared" si="1"/>
        <v>1.488</v>
      </c>
      <c r="AA53" s="56"/>
      <c r="AB53" s="57"/>
      <c r="AC53" s="68"/>
      <c r="AG53" s="67"/>
      <c r="AJ53" s="69" t="s">
        <v>85</v>
      </c>
      <c r="AK53" s="69">
        <v>84</v>
      </c>
      <c r="BB53" s="84" t="s">
        <v>1</v>
      </c>
      <c r="BM53" s="67">
        <f t="shared" si="2"/>
        <v>718.65599999999995</v>
      </c>
      <c r="BN53" s="67">
        <f t="shared" si="3"/>
        <v>718.65599999999995</v>
      </c>
      <c r="BO53" s="67">
        <f t="shared" si="4"/>
        <v>1.1428571428571428</v>
      </c>
      <c r="BP53" s="67">
        <f t="shared" si="5"/>
        <v>1.1428571428571428</v>
      </c>
    </row>
    <row r="54" spans="1:68" ht="27" hidden="1" customHeight="1" x14ac:dyDescent="0.25">
      <c r="A54" s="54" t="s">
        <v>116</v>
      </c>
      <c r="B54" s="54" t="s">
        <v>117</v>
      </c>
      <c r="C54" s="31">
        <v>4301071044</v>
      </c>
      <c r="D54" s="219">
        <v>4607111039385</v>
      </c>
      <c r="E54" s="220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8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7"/>
      <c r="R54" s="217"/>
      <c r="S54" s="217"/>
      <c r="T54" s="218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118</v>
      </c>
      <c r="B55" s="54" t="s">
        <v>119</v>
      </c>
      <c r="C55" s="31">
        <v>4301070970</v>
      </c>
      <c r="D55" s="219">
        <v>4607111037091</v>
      </c>
      <c r="E55" s="220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30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7"/>
      <c r="R55" s="217"/>
      <c r="S55" s="217"/>
      <c r="T55" s="218"/>
      <c r="U55" s="34"/>
      <c r="V55" s="34"/>
      <c r="W55" s="35" t="s">
        <v>69</v>
      </c>
      <c r="X55" s="198">
        <v>60</v>
      </c>
      <c r="Y55" s="199">
        <f t="shared" si="0"/>
        <v>60</v>
      </c>
      <c r="Z55" s="36">
        <f t="shared" si="1"/>
        <v>0.92999999999999994</v>
      </c>
      <c r="AA55" s="56"/>
      <c r="AB55" s="57"/>
      <c r="AC55" s="68"/>
      <c r="AG55" s="67"/>
      <c r="AJ55" s="69" t="s">
        <v>97</v>
      </c>
      <c r="AK55" s="69">
        <v>12</v>
      </c>
      <c r="BB55" s="86" t="s">
        <v>1</v>
      </c>
      <c r="BM55" s="67">
        <f t="shared" si="2"/>
        <v>426.6</v>
      </c>
      <c r="BN55" s="67">
        <f t="shared" si="3"/>
        <v>426.6</v>
      </c>
      <c r="BO55" s="67">
        <f t="shared" si="4"/>
        <v>0.7142857142857143</v>
      </c>
      <c r="BP55" s="67">
        <f t="shared" si="5"/>
        <v>0.7142857142857143</v>
      </c>
    </row>
    <row r="56" spans="1:68" ht="27" hidden="1" customHeight="1" x14ac:dyDescent="0.25">
      <c r="A56" s="54" t="s">
        <v>120</v>
      </c>
      <c r="B56" s="54" t="s">
        <v>121</v>
      </c>
      <c r="C56" s="31">
        <v>4301071045</v>
      </c>
      <c r="D56" s="219">
        <v>4607111039392</v>
      </c>
      <c r="E56" s="220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9" t="s">
        <v>122</v>
      </c>
      <c r="Q56" s="217"/>
      <c r="R56" s="217"/>
      <c r="S56" s="217"/>
      <c r="T56" s="218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123</v>
      </c>
      <c r="B57" s="54" t="s">
        <v>124</v>
      </c>
      <c r="C57" s="31">
        <v>4301070971</v>
      </c>
      <c r="D57" s="219">
        <v>4607111036902</v>
      </c>
      <c r="E57" s="220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96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7"/>
      <c r="R57" s="217"/>
      <c r="S57" s="217"/>
      <c r="T57" s="218"/>
      <c r="U57" s="34"/>
      <c r="V57" s="34"/>
      <c r="W57" s="35" t="s">
        <v>69</v>
      </c>
      <c r="X57" s="198">
        <v>0</v>
      </c>
      <c r="Y57" s="199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97</v>
      </c>
      <c r="AK57" s="69">
        <v>12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125</v>
      </c>
      <c r="B58" s="54" t="s">
        <v>126</v>
      </c>
      <c r="C58" s="31">
        <v>4301071031</v>
      </c>
      <c r="D58" s="219">
        <v>4607111038982</v>
      </c>
      <c r="E58" s="220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7"/>
      <c r="R58" s="217"/>
      <c r="S58" s="217"/>
      <c r="T58" s="218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127</v>
      </c>
      <c r="B59" s="54" t="s">
        <v>128</v>
      </c>
      <c r="C59" s="31">
        <v>4301070969</v>
      </c>
      <c r="D59" s="219">
        <v>4607111036858</v>
      </c>
      <c r="E59" s="220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96</v>
      </c>
      <c r="M59" s="33" t="s">
        <v>68</v>
      </c>
      <c r="N59" s="33"/>
      <c r="O59" s="32">
        <v>180</v>
      </c>
      <c r="P59" s="36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7"/>
      <c r="R59" s="217"/>
      <c r="S59" s="217"/>
      <c r="T59" s="218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97</v>
      </c>
      <c r="AK59" s="69">
        <v>12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129</v>
      </c>
      <c r="B60" s="54" t="s">
        <v>130</v>
      </c>
      <c r="C60" s="31">
        <v>4301071046</v>
      </c>
      <c r="D60" s="219">
        <v>4607111039354</v>
      </c>
      <c r="E60" s="220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7"/>
      <c r="R60" s="217"/>
      <c r="S60" s="217"/>
      <c r="T60" s="218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131</v>
      </c>
      <c r="B61" s="54" t="s">
        <v>132</v>
      </c>
      <c r="C61" s="31">
        <v>4301070968</v>
      </c>
      <c r="D61" s="219">
        <v>4607111036889</v>
      </c>
      <c r="E61" s="220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84</v>
      </c>
      <c r="M61" s="33" t="s">
        <v>68</v>
      </c>
      <c r="N61" s="33"/>
      <c r="O61" s="32">
        <v>180</v>
      </c>
      <c r="P61" s="3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7"/>
      <c r="R61" s="217"/>
      <c r="S61" s="217"/>
      <c r="T61" s="218"/>
      <c r="U61" s="34"/>
      <c r="V61" s="34"/>
      <c r="W61" s="35" t="s">
        <v>69</v>
      </c>
      <c r="X61" s="198">
        <v>24</v>
      </c>
      <c r="Y61" s="199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85</v>
      </c>
      <c r="AK61" s="69">
        <v>84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hidden="1" customHeight="1" x14ac:dyDescent="0.25">
      <c r="A62" s="54" t="s">
        <v>133</v>
      </c>
      <c r="B62" s="54" t="s">
        <v>134</v>
      </c>
      <c r="C62" s="31">
        <v>4301071047</v>
      </c>
      <c r="D62" s="219">
        <v>4607111039330</v>
      </c>
      <c r="E62" s="220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4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7"/>
      <c r="R62" s="217"/>
      <c r="S62" s="217"/>
      <c r="T62" s="218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5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26"/>
      <c r="P63" s="202" t="s">
        <v>71</v>
      </c>
      <c r="Q63" s="203"/>
      <c r="R63" s="203"/>
      <c r="S63" s="203"/>
      <c r="T63" s="203"/>
      <c r="U63" s="203"/>
      <c r="V63" s="204"/>
      <c r="W63" s="37" t="s">
        <v>69</v>
      </c>
      <c r="X63" s="200">
        <f>IFERROR(SUM(X51:X62),"0")</f>
        <v>180</v>
      </c>
      <c r="Y63" s="200">
        <f>IFERROR(SUM(Y51:Y62),"0")</f>
        <v>180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2.79</v>
      </c>
      <c r="AA63" s="201"/>
      <c r="AB63" s="201"/>
      <c r="AC63" s="201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26"/>
      <c r="P64" s="202" t="s">
        <v>71</v>
      </c>
      <c r="Q64" s="203"/>
      <c r="R64" s="203"/>
      <c r="S64" s="203"/>
      <c r="T64" s="203"/>
      <c r="U64" s="203"/>
      <c r="V64" s="204"/>
      <c r="W64" s="37" t="s">
        <v>72</v>
      </c>
      <c r="X64" s="200">
        <f>IFERROR(SUMPRODUCT(X51:X62*H51:H62),"0")</f>
        <v>1276.8</v>
      </c>
      <c r="Y64" s="200">
        <f>IFERROR(SUMPRODUCT(Y51:Y62*H51:H62),"0")</f>
        <v>1276.8</v>
      </c>
      <c r="Z64" s="37"/>
      <c r="AA64" s="201"/>
      <c r="AB64" s="201"/>
      <c r="AC64" s="201"/>
    </row>
    <row r="65" spans="1:68" ht="16.5" hidden="1" customHeight="1" x14ac:dyDescent="0.25">
      <c r="A65" s="224" t="s">
        <v>135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3"/>
      <c r="AB65" s="193"/>
      <c r="AC65" s="193"/>
    </row>
    <row r="66" spans="1:68" ht="14.25" hidden="1" customHeight="1" x14ac:dyDescent="0.25">
      <c r="A66" s="210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27" customHeight="1" x14ac:dyDescent="0.25">
      <c r="A67" s="54" t="s">
        <v>136</v>
      </c>
      <c r="B67" s="54" t="s">
        <v>137</v>
      </c>
      <c r="C67" s="31">
        <v>4301070977</v>
      </c>
      <c r="D67" s="219">
        <v>4607111037411</v>
      </c>
      <c r="E67" s="220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138</v>
      </c>
      <c r="L67" s="32" t="s">
        <v>96</v>
      </c>
      <c r="M67" s="33" t="s">
        <v>68</v>
      </c>
      <c r="N67" s="33"/>
      <c r="O67" s="32">
        <v>180</v>
      </c>
      <c r="P67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7"/>
      <c r="R67" s="217"/>
      <c r="S67" s="217"/>
      <c r="T67" s="218"/>
      <c r="U67" s="34"/>
      <c r="V67" s="34"/>
      <c r="W67" s="35" t="s">
        <v>69</v>
      </c>
      <c r="X67" s="198">
        <v>54</v>
      </c>
      <c r="Y67" s="199">
        <f>IFERROR(IF(X67="","",X67),"")</f>
        <v>54</v>
      </c>
      <c r="Z67" s="36">
        <f>IFERROR(IF(X67="","",X67*0.00502),"")</f>
        <v>0.27107999999999999</v>
      </c>
      <c r="AA67" s="56"/>
      <c r="AB67" s="57"/>
      <c r="AC67" s="68"/>
      <c r="AG67" s="67"/>
      <c r="AJ67" s="69" t="s">
        <v>97</v>
      </c>
      <c r="AK67" s="69">
        <v>18</v>
      </c>
      <c r="BB67" s="94" t="s">
        <v>1</v>
      </c>
      <c r="BM67" s="67">
        <f>IFERROR(X67*I67,"0")</f>
        <v>151.9128</v>
      </c>
      <c r="BN67" s="67">
        <f>IFERROR(Y67*I67,"0")</f>
        <v>151.9128</v>
      </c>
      <c r="BO67" s="67">
        <f>IFERROR(X67/J67,"0")</f>
        <v>0.23076923076923078</v>
      </c>
      <c r="BP67" s="67">
        <f>IFERROR(Y67/J67,"0")</f>
        <v>0.23076923076923078</v>
      </c>
    </row>
    <row r="68" spans="1:68" ht="27" customHeight="1" x14ac:dyDescent="0.25">
      <c r="A68" s="54" t="s">
        <v>139</v>
      </c>
      <c r="B68" s="54" t="s">
        <v>140</v>
      </c>
      <c r="C68" s="31">
        <v>4301070981</v>
      </c>
      <c r="D68" s="219">
        <v>4607111036728</v>
      </c>
      <c r="E68" s="220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84</v>
      </c>
      <c r="M68" s="33" t="s">
        <v>68</v>
      </c>
      <c r="N68" s="33"/>
      <c r="O68" s="32">
        <v>180</v>
      </c>
      <c r="P68" s="3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7"/>
      <c r="R68" s="217"/>
      <c r="S68" s="217"/>
      <c r="T68" s="218"/>
      <c r="U68" s="34"/>
      <c r="V68" s="34"/>
      <c r="W68" s="35" t="s">
        <v>69</v>
      </c>
      <c r="X68" s="198">
        <v>60</v>
      </c>
      <c r="Y68" s="199">
        <f>IFERROR(IF(X68="","",X68),"")</f>
        <v>60</v>
      </c>
      <c r="Z68" s="36">
        <f>IFERROR(IF(X68="","",X68*0.00866),"")</f>
        <v>0.51959999999999995</v>
      </c>
      <c r="AA68" s="56"/>
      <c r="AB68" s="57"/>
      <c r="AC68" s="68"/>
      <c r="AG68" s="67"/>
      <c r="AJ68" s="69" t="s">
        <v>85</v>
      </c>
      <c r="AK68" s="69">
        <v>144</v>
      </c>
      <c r="BB68" s="95" t="s">
        <v>1</v>
      </c>
      <c r="BM68" s="67">
        <f>IFERROR(X68*I68,"0")</f>
        <v>312.79199999999997</v>
      </c>
      <c r="BN68" s="67">
        <f>IFERROR(Y68*I68,"0")</f>
        <v>312.79199999999997</v>
      </c>
      <c r="BO68" s="67">
        <f>IFERROR(X68/J68,"0")</f>
        <v>0.41666666666666669</v>
      </c>
      <c r="BP68" s="67">
        <f>IFERROR(Y68/J68,"0")</f>
        <v>0.41666666666666669</v>
      </c>
    </row>
    <row r="69" spans="1:68" x14ac:dyDescent="0.2">
      <c r="A69" s="225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26"/>
      <c r="P69" s="202" t="s">
        <v>71</v>
      </c>
      <c r="Q69" s="203"/>
      <c r="R69" s="203"/>
      <c r="S69" s="203"/>
      <c r="T69" s="203"/>
      <c r="U69" s="203"/>
      <c r="V69" s="204"/>
      <c r="W69" s="37" t="s">
        <v>69</v>
      </c>
      <c r="X69" s="200">
        <f>IFERROR(SUM(X67:X68),"0")</f>
        <v>114</v>
      </c>
      <c r="Y69" s="200">
        <f>IFERROR(SUM(Y67:Y68),"0")</f>
        <v>114</v>
      </c>
      <c r="Z69" s="200">
        <f>IFERROR(IF(Z67="",0,Z67),"0")+IFERROR(IF(Z68="",0,Z68),"0")</f>
        <v>0.79067999999999994</v>
      </c>
      <c r="AA69" s="201"/>
      <c r="AB69" s="201"/>
      <c r="AC69" s="201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26"/>
      <c r="P70" s="202" t="s">
        <v>71</v>
      </c>
      <c r="Q70" s="203"/>
      <c r="R70" s="203"/>
      <c r="S70" s="203"/>
      <c r="T70" s="203"/>
      <c r="U70" s="203"/>
      <c r="V70" s="204"/>
      <c r="W70" s="37" t="s">
        <v>72</v>
      </c>
      <c r="X70" s="200">
        <f>IFERROR(SUMPRODUCT(X67:X68*H67:H68),"0")</f>
        <v>445.8</v>
      </c>
      <c r="Y70" s="200">
        <f>IFERROR(SUMPRODUCT(Y67:Y68*H67:H68),"0")</f>
        <v>445.8</v>
      </c>
      <c r="Z70" s="37"/>
      <c r="AA70" s="201"/>
      <c r="AB70" s="201"/>
      <c r="AC70" s="201"/>
    </row>
    <row r="71" spans="1:68" ht="16.5" hidden="1" customHeight="1" x14ac:dyDescent="0.25">
      <c r="A71" s="224" t="s">
        <v>141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3"/>
      <c r="AB71" s="193"/>
      <c r="AC71" s="193"/>
    </row>
    <row r="72" spans="1:68" ht="14.25" hidden="1" customHeight="1" x14ac:dyDescent="0.25">
      <c r="A72" s="210" t="s">
        <v>142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27" hidden="1" customHeight="1" x14ac:dyDescent="0.25">
      <c r="A73" s="54" t="s">
        <v>143</v>
      </c>
      <c r="B73" s="54" t="s">
        <v>144</v>
      </c>
      <c r="C73" s="31">
        <v>4301135271</v>
      </c>
      <c r="D73" s="219">
        <v>4607111033659</v>
      </c>
      <c r="E73" s="220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2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7"/>
      <c r="R73" s="217"/>
      <c r="S73" s="217"/>
      <c r="T73" s="218"/>
      <c r="U73" s="34"/>
      <c r="V73" s="34"/>
      <c r="W73" s="35" t="s">
        <v>69</v>
      </c>
      <c r="X73" s="198">
        <v>0</v>
      </c>
      <c r="Y73" s="199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25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26"/>
      <c r="P74" s="202" t="s">
        <v>71</v>
      </c>
      <c r="Q74" s="203"/>
      <c r="R74" s="203"/>
      <c r="S74" s="203"/>
      <c r="T74" s="203"/>
      <c r="U74" s="203"/>
      <c r="V74" s="204"/>
      <c r="W74" s="37" t="s">
        <v>69</v>
      </c>
      <c r="X74" s="200">
        <f>IFERROR(SUM(X73:X73),"0")</f>
        <v>0</v>
      </c>
      <c r="Y74" s="200">
        <f>IFERROR(SUM(Y73:Y73),"0")</f>
        <v>0</v>
      </c>
      <c r="Z74" s="200">
        <f>IFERROR(IF(Z73="",0,Z73),"0")</f>
        <v>0</v>
      </c>
      <c r="AA74" s="201"/>
      <c r="AB74" s="201"/>
      <c r="AC74" s="201"/>
    </row>
    <row r="75" spans="1:68" hidden="1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26"/>
      <c r="P75" s="202" t="s">
        <v>71</v>
      </c>
      <c r="Q75" s="203"/>
      <c r="R75" s="203"/>
      <c r="S75" s="203"/>
      <c r="T75" s="203"/>
      <c r="U75" s="203"/>
      <c r="V75" s="204"/>
      <c r="W75" s="37" t="s">
        <v>72</v>
      </c>
      <c r="X75" s="200">
        <f>IFERROR(SUMPRODUCT(X73:X73*H73:H73),"0")</f>
        <v>0</v>
      </c>
      <c r="Y75" s="200">
        <f>IFERROR(SUMPRODUCT(Y73:Y73*H73:H73),"0")</f>
        <v>0</v>
      </c>
      <c r="Z75" s="37"/>
      <c r="AA75" s="201"/>
      <c r="AB75" s="201"/>
      <c r="AC75" s="201"/>
    </row>
    <row r="76" spans="1:68" ht="16.5" hidden="1" customHeight="1" x14ac:dyDescent="0.25">
      <c r="A76" s="224" t="s">
        <v>145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3"/>
      <c r="AB76" s="193"/>
      <c r="AC76" s="193"/>
    </row>
    <row r="77" spans="1:68" ht="14.25" hidden="1" customHeight="1" x14ac:dyDescent="0.25">
      <c r="A77" s="210" t="s">
        <v>146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27" customHeight="1" x14ac:dyDescent="0.25">
      <c r="A78" s="54" t="s">
        <v>147</v>
      </c>
      <c r="B78" s="54" t="s">
        <v>148</v>
      </c>
      <c r="C78" s="31">
        <v>4301131021</v>
      </c>
      <c r="D78" s="219">
        <v>4607111034137</v>
      </c>
      <c r="E78" s="220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96</v>
      </c>
      <c r="M78" s="33" t="s">
        <v>68</v>
      </c>
      <c r="N78" s="33"/>
      <c r="O78" s="32">
        <v>180</v>
      </c>
      <c r="P78" s="2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7"/>
      <c r="R78" s="217"/>
      <c r="S78" s="217"/>
      <c r="T78" s="218"/>
      <c r="U78" s="34"/>
      <c r="V78" s="34"/>
      <c r="W78" s="35" t="s">
        <v>69</v>
      </c>
      <c r="X78" s="198">
        <v>28</v>
      </c>
      <c r="Y78" s="199">
        <f>IFERROR(IF(X78="","",X78),"")</f>
        <v>28</v>
      </c>
      <c r="Z78" s="36">
        <f>IFERROR(IF(X78="","",X78*0.01788),"")</f>
        <v>0.50063999999999997</v>
      </c>
      <c r="AA78" s="56"/>
      <c r="AB78" s="57"/>
      <c r="AC78" s="68"/>
      <c r="AG78" s="67"/>
      <c r="AJ78" s="69" t="s">
        <v>97</v>
      </c>
      <c r="AK78" s="69">
        <v>14</v>
      </c>
      <c r="BB78" s="97" t="s">
        <v>79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149</v>
      </c>
      <c r="B79" s="54" t="s">
        <v>150</v>
      </c>
      <c r="C79" s="31">
        <v>4301131022</v>
      </c>
      <c r="D79" s="219">
        <v>4607111034120</v>
      </c>
      <c r="E79" s="220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96</v>
      </c>
      <c r="M79" s="33" t="s">
        <v>68</v>
      </c>
      <c r="N79" s="33"/>
      <c r="O79" s="32">
        <v>180</v>
      </c>
      <c r="P79" s="2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7"/>
      <c r="R79" s="217"/>
      <c r="S79" s="217"/>
      <c r="T79" s="218"/>
      <c r="U79" s="34"/>
      <c r="V79" s="34"/>
      <c r="W79" s="35" t="s">
        <v>69</v>
      </c>
      <c r="X79" s="198">
        <v>14</v>
      </c>
      <c r="Y79" s="199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97</v>
      </c>
      <c r="AK79" s="69">
        <v>14</v>
      </c>
      <c r="BB79" s="98" t="s">
        <v>79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25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26"/>
      <c r="P80" s="202" t="s">
        <v>71</v>
      </c>
      <c r="Q80" s="203"/>
      <c r="R80" s="203"/>
      <c r="S80" s="203"/>
      <c r="T80" s="203"/>
      <c r="U80" s="203"/>
      <c r="V80" s="204"/>
      <c r="W80" s="37" t="s">
        <v>69</v>
      </c>
      <c r="X80" s="200">
        <f>IFERROR(SUM(X78:X79),"0")</f>
        <v>42</v>
      </c>
      <c r="Y80" s="200">
        <f>IFERROR(SUM(Y78:Y79),"0")</f>
        <v>42</v>
      </c>
      <c r="Z80" s="200">
        <f>IFERROR(IF(Z78="",0,Z78),"0")+IFERROR(IF(Z79="",0,Z79),"0")</f>
        <v>0.75095999999999996</v>
      </c>
      <c r="AA80" s="201"/>
      <c r="AB80" s="201"/>
      <c r="AC80" s="201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26"/>
      <c r="P81" s="202" t="s">
        <v>71</v>
      </c>
      <c r="Q81" s="203"/>
      <c r="R81" s="203"/>
      <c r="S81" s="203"/>
      <c r="T81" s="203"/>
      <c r="U81" s="203"/>
      <c r="V81" s="204"/>
      <c r="W81" s="37" t="s">
        <v>72</v>
      </c>
      <c r="X81" s="200">
        <f>IFERROR(SUMPRODUCT(X78:X79*H78:H79),"0")</f>
        <v>151.19999999999999</v>
      </c>
      <c r="Y81" s="200">
        <f>IFERROR(SUMPRODUCT(Y78:Y79*H78:H79),"0")</f>
        <v>151.19999999999999</v>
      </c>
      <c r="Z81" s="37"/>
      <c r="AA81" s="201"/>
      <c r="AB81" s="201"/>
      <c r="AC81" s="201"/>
    </row>
    <row r="82" spans="1:68" ht="16.5" hidden="1" customHeight="1" x14ac:dyDescent="0.25">
      <c r="A82" s="224" t="s">
        <v>151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3"/>
      <c r="AB82" s="193"/>
      <c r="AC82" s="193"/>
    </row>
    <row r="83" spans="1:68" ht="14.25" hidden="1" customHeight="1" x14ac:dyDescent="0.25">
      <c r="A83" s="210" t="s">
        <v>142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27" customHeight="1" x14ac:dyDescent="0.25">
      <c r="A84" s="54" t="s">
        <v>152</v>
      </c>
      <c r="B84" s="54" t="s">
        <v>153</v>
      </c>
      <c r="C84" s="31">
        <v>4301135285</v>
      </c>
      <c r="D84" s="219">
        <v>4607111036407</v>
      </c>
      <c r="E84" s="220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96</v>
      </c>
      <c r="M84" s="33" t="s">
        <v>68</v>
      </c>
      <c r="N84" s="33"/>
      <c r="O84" s="32">
        <v>180</v>
      </c>
      <c r="P84" s="3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7"/>
      <c r="R84" s="217"/>
      <c r="S84" s="217"/>
      <c r="T84" s="218"/>
      <c r="U84" s="34"/>
      <c r="V84" s="34"/>
      <c r="W84" s="35" t="s">
        <v>69</v>
      </c>
      <c r="X84" s="198">
        <v>14</v>
      </c>
      <c r="Y84" s="199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97</v>
      </c>
      <c r="AK84" s="69">
        <v>14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154</v>
      </c>
      <c r="B85" s="54" t="s">
        <v>155</v>
      </c>
      <c r="C85" s="31">
        <v>4301135286</v>
      </c>
      <c r="D85" s="219">
        <v>4607111033628</v>
      </c>
      <c r="E85" s="220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96</v>
      </c>
      <c r="M85" s="33" t="s">
        <v>68</v>
      </c>
      <c r="N85" s="33"/>
      <c r="O85" s="32">
        <v>180</v>
      </c>
      <c r="P85" s="40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7"/>
      <c r="R85" s="217"/>
      <c r="S85" s="217"/>
      <c r="T85" s="218"/>
      <c r="U85" s="34"/>
      <c r="V85" s="34"/>
      <c r="W85" s="35" t="s">
        <v>69</v>
      </c>
      <c r="X85" s="198">
        <v>14</v>
      </c>
      <c r="Y85" s="199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97</v>
      </c>
      <c r="AK85" s="69">
        <v>14</v>
      </c>
      <c r="BB85" s="100" t="s">
        <v>79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156</v>
      </c>
      <c r="B86" s="54" t="s">
        <v>157</v>
      </c>
      <c r="C86" s="31">
        <v>4301135292</v>
      </c>
      <c r="D86" s="219">
        <v>4607111033451</v>
      </c>
      <c r="E86" s="220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84</v>
      </c>
      <c r="M86" s="33" t="s">
        <v>68</v>
      </c>
      <c r="N86" s="33"/>
      <c r="O86" s="32">
        <v>180</v>
      </c>
      <c r="P86" s="27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7"/>
      <c r="R86" s="217"/>
      <c r="S86" s="217"/>
      <c r="T86" s="218"/>
      <c r="U86" s="34"/>
      <c r="V86" s="34"/>
      <c r="W86" s="35" t="s">
        <v>69</v>
      </c>
      <c r="X86" s="198">
        <v>70</v>
      </c>
      <c r="Y86" s="199">
        <f t="shared" si="6"/>
        <v>70</v>
      </c>
      <c r="Z86" s="36">
        <f t="shared" si="7"/>
        <v>1.2516</v>
      </c>
      <c r="AA86" s="56"/>
      <c r="AB86" s="57"/>
      <c r="AC86" s="68"/>
      <c r="AG86" s="67"/>
      <c r="AJ86" s="69" t="s">
        <v>85</v>
      </c>
      <c r="AK86" s="69">
        <v>70</v>
      </c>
      <c r="BB86" s="101" t="s">
        <v>79</v>
      </c>
      <c r="BM86" s="67">
        <f t="shared" si="8"/>
        <v>301.25200000000001</v>
      </c>
      <c r="BN86" s="67">
        <f t="shared" si="9"/>
        <v>301.25200000000001</v>
      </c>
      <c r="BO86" s="67">
        <f t="shared" si="10"/>
        <v>1</v>
      </c>
      <c r="BP86" s="67">
        <f t="shared" si="11"/>
        <v>1</v>
      </c>
    </row>
    <row r="87" spans="1:68" ht="27" hidden="1" customHeight="1" x14ac:dyDescent="0.25">
      <c r="A87" s="54" t="s">
        <v>158</v>
      </c>
      <c r="B87" s="54" t="s">
        <v>159</v>
      </c>
      <c r="C87" s="31">
        <v>4301135295</v>
      </c>
      <c r="D87" s="219">
        <v>4607111035141</v>
      </c>
      <c r="E87" s="220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3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7"/>
      <c r="R87" s="217"/>
      <c r="S87" s="217"/>
      <c r="T87" s="218"/>
      <c r="U87" s="34"/>
      <c r="V87" s="34"/>
      <c r="W87" s="35" t="s">
        <v>69</v>
      </c>
      <c r="X87" s="198">
        <v>0</v>
      </c>
      <c r="Y87" s="199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4301135296</v>
      </c>
      <c r="D88" s="219">
        <v>4607111033444</v>
      </c>
      <c r="E88" s="220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84</v>
      </c>
      <c r="M88" s="33" t="s">
        <v>68</v>
      </c>
      <c r="N88" s="33"/>
      <c r="O88" s="32">
        <v>180</v>
      </c>
      <c r="P88" s="33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7"/>
      <c r="R88" s="217"/>
      <c r="S88" s="217"/>
      <c r="T88" s="218"/>
      <c r="U88" s="34"/>
      <c r="V88" s="34"/>
      <c r="W88" s="35" t="s">
        <v>69</v>
      </c>
      <c r="X88" s="198">
        <v>126</v>
      </c>
      <c r="Y88" s="199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85</v>
      </c>
      <c r="AK88" s="69">
        <v>70</v>
      </c>
      <c r="BB88" s="103" t="s">
        <v>79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hidden="1" customHeight="1" x14ac:dyDescent="0.25">
      <c r="A89" s="54" t="s">
        <v>162</v>
      </c>
      <c r="B89" s="54" t="s">
        <v>163</v>
      </c>
      <c r="C89" s="31">
        <v>4301135290</v>
      </c>
      <c r="D89" s="219">
        <v>4607111035028</v>
      </c>
      <c r="E89" s="220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7"/>
      <c r="R89" s="217"/>
      <c r="S89" s="217"/>
      <c r="T89" s="218"/>
      <c r="U89" s="34"/>
      <c r="V89" s="34"/>
      <c r="W89" s="35" t="s">
        <v>69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5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26"/>
      <c r="P90" s="202" t="s">
        <v>71</v>
      </c>
      <c r="Q90" s="203"/>
      <c r="R90" s="203"/>
      <c r="S90" s="203"/>
      <c r="T90" s="203"/>
      <c r="U90" s="203"/>
      <c r="V90" s="204"/>
      <c r="W90" s="37" t="s">
        <v>69</v>
      </c>
      <c r="X90" s="200">
        <f>IFERROR(SUM(X84:X89),"0")</f>
        <v>224</v>
      </c>
      <c r="Y90" s="200">
        <f>IFERROR(SUM(Y84:Y89),"0")</f>
        <v>224</v>
      </c>
      <c r="Z90" s="200">
        <f>IFERROR(IF(Z84="",0,Z84),"0")+IFERROR(IF(Z85="",0,Z85),"0")+IFERROR(IF(Z86="",0,Z86),"0")+IFERROR(IF(Z87="",0,Z87),"0")+IFERROR(IF(Z88="",0,Z88),"0")+IFERROR(IF(Z89="",0,Z89),"0")</f>
        <v>4.0051199999999998</v>
      </c>
      <c r="AA90" s="201"/>
      <c r="AB90" s="201"/>
      <c r="AC90" s="201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26"/>
      <c r="P91" s="202" t="s">
        <v>71</v>
      </c>
      <c r="Q91" s="203"/>
      <c r="R91" s="203"/>
      <c r="S91" s="203"/>
      <c r="T91" s="203"/>
      <c r="U91" s="203"/>
      <c r="V91" s="204"/>
      <c r="W91" s="37" t="s">
        <v>72</v>
      </c>
      <c r="X91" s="200">
        <f>IFERROR(SUMPRODUCT(X84:X89*H84:H89),"0")</f>
        <v>814.8</v>
      </c>
      <c r="Y91" s="200">
        <f>IFERROR(SUMPRODUCT(Y84:Y89*H84:H89),"0")</f>
        <v>814.8</v>
      </c>
      <c r="Z91" s="37"/>
      <c r="AA91" s="201"/>
      <c r="AB91" s="201"/>
      <c r="AC91" s="201"/>
    </row>
    <row r="92" spans="1:68" ht="16.5" hidden="1" customHeight="1" x14ac:dyDescent="0.25">
      <c r="A92" s="224" t="s">
        <v>164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3"/>
      <c r="AB92" s="193"/>
      <c r="AC92" s="193"/>
    </row>
    <row r="93" spans="1:68" ht="14.25" hidden="1" customHeight="1" x14ac:dyDescent="0.25">
      <c r="A93" s="210" t="s">
        <v>165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27" customHeight="1" x14ac:dyDescent="0.25">
      <c r="A94" s="54" t="s">
        <v>166</v>
      </c>
      <c r="B94" s="54" t="s">
        <v>167</v>
      </c>
      <c r="C94" s="31">
        <v>4301136042</v>
      </c>
      <c r="D94" s="219">
        <v>4607025784012</v>
      </c>
      <c r="E94" s="220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96</v>
      </c>
      <c r="M94" s="33" t="s">
        <v>68</v>
      </c>
      <c r="N94" s="33"/>
      <c r="O94" s="32">
        <v>180</v>
      </c>
      <c r="P94" s="251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7"/>
      <c r="R94" s="217"/>
      <c r="S94" s="217"/>
      <c r="T94" s="218"/>
      <c r="U94" s="34"/>
      <c r="V94" s="34"/>
      <c r="W94" s="35" t="s">
        <v>69</v>
      </c>
      <c r="X94" s="198">
        <v>14</v>
      </c>
      <c r="Y94" s="199">
        <f>IFERROR(IF(X94="","",X94),"")</f>
        <v>14</v>
      </c>
      <c r="Z94" s="36">
        <f>IFERROR(IF(X94="","",X94*0.00936),"")</f>
        <v>0.13103999999999999</v>
      </c>
      <c r="AA94" s="56"/>
      <c r="AB94" s="57"/>
      <c r="AC94" s="68"/>
      <c r="AG94" s="67"/>
      <c r="AJ94" s="69" t="s">
        <v>97</v>
      </c>
      <c r="AK94" s="69">
        <v>14</v>
      </c>
      <c r="BB94" s="105" t="s">
        <v>79</v>
      </c>
      <c r="BM94" s="67">
        <f>IFERROR(X94*I94,"0")</f>
        <v>34.876800000000003</v>
      </c>
      <c r="BN94" s="67">
        <f>IFERROR(Y94*I94,"0")</f>
        <v>34.876800000000003</v>
      </c>
      <c r="BO94" s="67">
        <f>IFERROR(X94/J94,"0")</f>
        <v>0.1111111111111111</v>
      </c>
      <c r="BP94" s="67">
        <f>IFERROR(Y94/J94,"0")</f>
        <v>0.1111111111111111</v>
      </c>
    </row>
    <row r="95" spans="1:68" ht="27" hidden="1" customHeight="1" x14ac:dyDescent="0.25">
      <c r="A95" s="54" t="s">
        <v>168</v>
      </c>
      <c r="B95" s="54" t="s">
        <v>169</v>
      </c>
      <c r="C95" s="31">
        <v>4301136040</v>
      </c>
      <c r="D95" s="219">
        <v>4607025784319</v>
      </c>
      <c r="E95" s="220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7"/>
      <c r="R95" s="217"/>
      <c r="S95" s="217"/>
      <c r="T95" s="218"/>
      <c r="U95" s="34"/>
      <c r="V95" s="34"/>
      <c r="W95" s="35" t="s">
        <v>69</v>
      </c>
      <c r="X95" s="198">
        <v>0</v>
      </c>
      <c r="Y95" s="199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170</v>
      </c>
      <c r="B96" s="54" t="s">
        <v>171</v>
      </c>
      <c r="C96" s="31">
        <v>4301136039</v>
      </c>
      <c r="D96" s="219">
        <v>4607111035370</v>
      </c>
      <c r="E96" s="220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4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7"/>
      <c r="R96" s="217"/>
      <c r="S96" s="217"/>
      <c r="T96" s="218"/>
      <c r="U96" s="34"/>
      <c r="V96" s="34"/>
      <c r="W96" s="35" t="s">
        <v>69</v>
      </c>
      <c r="X96" s="198">
        <v>0</v>
      </c>
      <c r="Y96" s="199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25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26"/>
      <c r="P97" s="202" t="s">
        <v>71</v>
      </c>
      <c r="Q97" s="203"/>
      <c r="R97" s="203"/>
      <c r="S97" s="203"/>
      <c r="T97" s="203"/>
      <c r="U97" s="203"/>
      <c r="V97" s="204"/>
      <c r="W97" s="37" t="s">
        <v>69</v>
      </c>
      <c r="X97" s="200">
        <f>IFERROR(SUM(X94:X96),"0")</f>
        <v>14</v>
      </c>
      <c r="Y97" s="200">
        <f>IFERROR(SUM(Y94:Y96),"0")</f>
        <v>14</v>
      </c>
      <c r="Z97" s="200">
        <f>IFERROR(IF(Z94="",0,Z94),"0")+IFERROR(IF(Z95="",0,Z95),"0")+IFERROR(IF(Z96="",0,Z96),"0")</f>
        <v>0.13103999999999999</v>
      </c>
      <c r="AA97" s="201"/>
      <c r="AB97" s="201"/>
      <c r="AC97" s="201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26"/>
      <c r="P98" s="202" t="s">
        <v>71</v>
      </c>
      <c r="Q98" s="203"/>
      <c r="R98" s="203"/>
      <c r="S98" s="203"/>
      <c r="T98" s="203"/>
      <c r="U98" s="203"/>
      <c r="V98" s="204"/>
      <c r="W98" s="37" t="s">
        <v>72</v>
      </c>
      <c r="X98" s="200">
        <f>IFERROR(SUMPRODUCT(X94:X96*H94:H96),"0")</f>
        <v>30.240000000000002</v>
      </c>
      <c r="Y98" s="200">
        <f>IFERROR(SUMPRODUCT(Y94:Y96*H94:H96),"0")</f>
        <v>30.240000000000002</v>
      </c>
      <c r="Z98" s="37"/>
      <c r="AA98" s="201"/>
      <c r="AB98" s="201"/>
      <c r="AC98" s="201"/>
    </row>
    <row r="99" spans="1:68" ht="16.5" hidden="1" customHeight="1" x14ac:dyDescent="0.25">
      <c r="A99" s="224" t="s">
        <v>172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3"/>
      <c r="AB99" s="193"/>
      <c r="AC99" s="193"/>
    </row>
    <row r="100" spans="1:68" ht="14.25" hidden="1" customHeight="1" x14ac:dyDescent="0.25">
      <c r="A100" s="210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27" customHeight="1" x14ac:dyDescent="0.25">
      <c r="A101" s="54" t="s">
        <v>173</v>
      </c>
      <c r="B101" s="54" t="s">
        <v>174</v>
      </c>
      <c r="C101" s="31">
        <v>4301070975</v>
      </c>
      <c r="D101" s="219">
        <v>4607111033970</v>
      </c>
      <c r="E101" s="220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84</v>
      </c>
      <c r="M101" s="33" t="s">
        <v>68</v>
      </c>
      <c r="N101" s="33"/>
      <c r="O101" s="32">
        <v>180</v>
      </c>
      <c r="P101" s="22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7"/>
      <c r="R101" s="217"/>
      <c r="S101" s="217"/>
      <c r="T101" s="218"/>
      <c r="U101" s="34"/>
      <c r="V101" s="34"/>
      <c r="W101" s="35" t="s">
        <v>69</v>
      </c>
      <c r="X101" s="198">
        <v>48</v>
      </c>
      <c r="Y101" s="199">
        <f t="shared" ref="Y101:Y109" si="12">IFERROR(IF(X101="","",X101),"")</f>
        <v>48</v>
      </c>
      <c r="Z101" s="36">
        <f t="shared" ref="Z101:Z109" si="13">IFERROR(IF(X101="","",X101*0.0155),"")</f>
        <v>0.74399999999999999</v>
      </c>
      <c r="AA101" s="56"/>
      <c r="AB101" s="57"/>
      <c r="AC101" s="68"/>
      <c r="AG101" s="67"/>
      <c r="AJ101" s="69" t="s">
        <v>85</v>
      </c>
      <c r="AK101" s="69">
        <v>84</v>
      </c>
      <c r="BB101" s="108" t="s">
        <v>1</v>
      </c>
      <c r="BM101" s="67">
        <f t="shared" ref="BM101:BM109" si="14">IFERROR(X101*I101,"0")</f>
        <v>345.58080000000001</v>
      </c>
      <c r="BN101" s="67">
        <f t="shared" ref="BN101:BN109" si="15">IFERROR(Y101*I101,"0")</f>
        <v>345.58080000000001</v>
      </c>
      <c r="BO101" s="67">
        <f t="shared" ref="BO101:BO109" si="16">IFERROR(X101/J101,"0")</f>
        <v>0.5714285714285714</v>
      </c>
      <c r="BP101" s="67">
        <f t="shared" ref="BP101:BP109" si="17">IFERROR(Y101/J101,"0")</f>
        <v>0.5714285714285714</v>
      </c>
    </row>
    <row r="102" spans="1:68" ht="27" hidden="1" customHeight="1" x14ac:dyDescent="0.25">
      <c r="A102" s="54" t="s">
        <v>175</v>
      </c>
      <c r="B102" s="54" t="s">
        <v>176</v>
      </c>
      <c r="C102" s="31">
        <v>4301071051</v>
      </c>
      <c r="D102" s="219">
        <v>4607111039262</v>
      </c>
      <c r="E102" s="220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7"/>
      <c r="R102" s="217"/>
      <c r="S102" s="217"/>
      <c r="T102" s="218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177</v>
      </c>
      <c r="B103" s="54" t="s">
        <v>178</v>
      </c>
      <c r="C103" s="31">
        <v>4301070976</v>
      </c>
      <c r="D103" s="219">
        <v>4607111034144</v>
      </c>
      <c r="E103" s="220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84</v>
      </c>
      <c r="M103" s="33" t="s">
        <v>68</v>
      </c>
      <c r="N103" s="33"/>
      <c r="O103" s="32">
        <v>180</v>
      </c>
      <c r="P103" s="3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7"/>
      <c r="R103" s="217"/>
      <c r="S103" s="217"/>
      <c r="T103" s="218"/>
      <c r="U103" s="34"/>
      <c r="V103" s="34"/>
      <c r="W103" s="35" t="s">
        <v>69</v>
      </c>
      <c r="X103" s="198">
        <v>216</v>
      </c>
      <c r="Y103" s="199">
        <f t="shared" si="12"/>
        <v>216</v>
      </c>
      <c r="Z103" s="36">
        <f t="shared" si="13"/>
        <v>3.3479999999999999</v>
      </c>
      <c r="AA103" s="56"/>
      <c r="AB103" s="57"/>
      <c r="AC103" s="68"/>
      <c r="AG103" s="67"/>
      <c r="AJ103" s="69" t="s">
        <v>85</v>
      </c>
      <c r="AK103" s="69">
        <v>84</v>
      </c>
      <c r="BB103" s="110" t="s">
        <v>1</v>
      </c>
      <c r="BM103" s="67">
        <f t="shared" si="14"/>
        <v>1616.9759999999999</v>
      </c>
      <c r="BN103" s="67">
        <f t="shared" si="15"/>
        <v>1616.9759999999999</v>
      </c>
      <c r="BO103" s="67">
        <f t="shared" si="16"/>
        <v>2.5714285714285716</v>
      </c>
      <c r="BP103" s="67">
        <f t="shared" si="17"/>
        <v>2.5714285714285716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19">
        <v>4607111039248</v>
      </c>
      <c r="E104" s="220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7"/>
      <c r="R104" s="217"/>
      <c r="S104" s="217"/>
      <c r="T104" s="218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19">
        <v>4607111033987</v>
      </c>
      <c r="E105" s="220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26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7"/>
      <c r="R105" s="217"/>
      <c r="S105" s="217"/>
      <c r="T105" s="218"/>
      <c r="U105" s="34"/>
      <c r="V105" s="34"/>
      <c r="W105" s="35" t="s">
        <v>69</v>
      </c>
      <c r="X105" s="198">
        <v>12</v>
      </c>
      <c r="Y105" s="199">
        <f t="shared" si="12"/>
        <v>12</v>
      </c>
      <c r="Z105" s="36">
        <f t="shared" si="13"/>
        <v>0.186</v>
      </c>
      <c r="AA105" s="56"/>
      <c r="AB105" s="57"/>
      <c r="AC105" s="68"/>
      <c r="AG105" s="67"/>
      <c r="AJ105" s="69" t="s">
        <v>97</v>
      </c>
      <c r="AK105" s="69">
        <v>12</v>
      </c>
      <c r="BB105" s="112" t="s">
        <v>1</v>
      </c>
      <c r="BM105" s="67">
        <f t="shared" si="14"/>
        <v>86.395200000000003</v>
      </c>
      <c r="BN105" s="67">
        <f t="shared" si="15"/>
        <v>86.395200000000003</v>
      </c>
      <c r="BO105" s="67">
        <f t="shared" si="16"/>
        <v>0.14285714285714285</v>
      </c>
      <c r="BP105" s="67">
        <f t="shared" si="17"/>
        <v>0.14285714285714285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19">
        <v>4607111039293</v>
      </c>
      <c r="E106" s="220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7"/>
      <c r="R106" s="217"/>
      <c r="S106" s="217"/>
      <c r="T106" s="218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19">
        <v>4607111034151</v>
      </c>
      <c r="E107" s="220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84</v>
      </c>
      <c r="M107" s="33" t="s">
        <v>68</v>
      </c>
      <c r="N107" s="33"/>
      <c r="O107" s="32">
        <v>180</v>
      </c>
      <c r="P107" s="2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7"/>
      <c r="R107" s="217"/>
      <c r="S107" s="217"/>
      <c r="T107" s="218"/>
      <c r="U107" s="34"/>
      <c r="V107" s="34"/>
      <c r="W107" s="35" t="s">
        <v>69</v>
      </c>
      <c r="X107" s="198">
        <v>252</v>
      </c>
      <c r="Y107" s="199">
        <f t="shared" si="12"/>
        <v>252</v>
      </c>
      <c r="Z107" s="36">
        <f t="shared" si="13"/>
        <v>3.9060000000000001</v>
      </c>
      <c r="AA107" s="56"/>
      <c r="AB107" s="57"/>
      <c r="AC107" s="68"/>
      <c r="AG107" s="67"/>
      <c r="AJ107" s="69" t="s">
        <v>85</v>
      </c>
      <c r="AK107" s="69">
        <v>84</v>
      </c>
      <c r="BB107" s="114" t="s">
        <v>1</v>
      </c>
      <c r="BM107" s="67">
        <f t="shared" si="14"/>
        <v>1886.472</v>
      </c>
      <c r="BN107" s="67">
        <f t="shared" si="15"/>
        <v>1886.472</v>
      </c>
      <c r="BO107" s="67">
        <f t="shared" si="16"/>
        <v>3</v>
      </c>
      <c r="BP107" s="67">
        <f t="shared" si="17"/>
        <v>3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19">
        <v>4607111039279</v>
      </c>
      <c r="E108" s="220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7"/>
      <c r="R108" s="217"/>
      <c r="S108" s="217"/>
      <c r="T108" s="218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189</v>
      </c>
      <c r="B109" s="54" t="s">
        <v>190</v>
      </c>
      <c r="C109" s="31">
        <v>4301070958</v>
      </c>
      <c r="D109" s="219">
        <v>4607111038098</v>
      </c>
      <c r="E109" s="220"/>
      <c r="F109" s="197">
        <v>0.8</v>
      </c>
      <c r="G109" s="32">
        <v>8</v>
      </c>
      <c r="H109" s="197">
        <v>6.4</v>
      </c>
      <c r="I109" s="197">
        <v>6.6859999999999999</v>
      </c>
      <c r="J109" s="32">
        <v>84</v>
      </c>
      <c r="K109" s="32" t="s">
        <v>66</v>
      </c>
      <c r="L109" s="32" t="s">
        <v>96</v>
      </c>
      <c r="M109" s="33" t="s">
        <v>68</v>
      </c>
      <c r="N109" s="33"/>
      <c r="O109" s="32">
        <v>180</v>
      </c>
      <c r="P109" s="35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17"/>
      <c r="R109" s="217"/>
      <c r="S109" s="217"/>
      <c r="T109" s="218"/>
      <c r="U109" s="34"/>
      <c r="V109" s="34"/>
      <c r="W109" s="35" t="s">
        <v>69</v>
      </c>
      <c r="X109" s="198">
        <v>0</v>
      </c>
      <c r="Y109" s="199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97</v>
      </c>
      <c r="AK109" s="69">
        <v>12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25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26"/>
      <c r="P110" s="202" t="s">
        <v>71</v>
      </c>
      <c r="Q110" s="203"/>
      <c r="R110" s="203"/>
      <c r="S110" s="203"/>
      <c r="T110" s="203"/>
      <c r="U110" s="203"/>
      <c r="V110" s="204"/>
      <c r="W110" s="37" t="s">
        <v>69</v>
      </c>
      <c r="X110" s="200">
        <f>IFERROR(SUM(X101:X109),"0")</f>
        <v>528</v>
      </c>
      <c r="Y110" s="200">
        <f>IFERROR(SUM(Y101:Y109),"0")</f>
        <v>528</v>
      </c>
      <c r="Z110" s="20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8.1839999999999993</v>
      </c>
      <c r="AA110" s="201"/>
      <c r="AB110" s="201"/>
      <c r="AC110" s="201"/>
    </row>
    <row r="111" spans="1:68" x14ac:dyDescent="0.2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26"/>
      <c r="P111" s="202" t="s">
        <v>71</v>
      </c>
      <c r="Q111" s="203"/>
      <c r="R111" s="203"/>
      <c r="S111" s="203"/>
      <c r="T111" s="203"/>
      <c r="U111" s="203"/>
      <c r="V111" s="204"/>
      <c r="W111" s="37" t="s">
        <v>72</v>
      </c>
      <c r="X111" s="200">
        <f>IFERROR(SUMPRODUCT(X101:X109*H101:H109),"0")</f>
        <v>3782.4</v>
      </c>
      <c r="Y111" s="200">
        <f>IFERROR(SUMPRODUCT(Y101:Y109*H101:H109),"0")</f>
        <v>3782.4</v>
      </c>
      <c r="Z111" s="37"/>
      <c r="AA111" s="201"/>
      <c r="AB111" s="201"/>
      <c r="AC111" s="201"/>
    </row>
    <row r="112" spans="1:68" ht="16.5" hidden="1" customHeight="1" x14ac:dyDescent="0.25">
      <c r="A112" s="224" t="s">
        <v>191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3"/>
      <c r="AB112" s="193"/>
      <c r="AC112" s="193"/>
    </row>
    <row r="113" spans="1:68" ht="14.25" hidden="1" customHeight="1" x14ac:dyDescent="0.25">
      <c r="A113" s="210" t="s">
        <v>142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27" customHeight="1" x14ac:dyDescent="0.25">
      <c r="A114" s="54" t="s">
        <v>192</v>
      </c>
      <c r="B114" s="54" t="s">
        <v>193</v>
      </c>
      <c r="C114" s="31">
        <v>4301135289</v>
      </c>
      <c r="D114" s="219">
        <v>4607111034014</v>
      </c>
      <c r="E114" s="220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84</v>
      </c>
      <c r="M114" s="33" t="s">
        <v>68</v>
      </c>
      <c r="N114" s="33"/>
      <c r="O114" s="32">
        <v>180</v>
      </c>
      <c r="P114" s="32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17"/>
      <c r="R114" s="217"/>
      <c r="S114" s="217"/>
      <c r="T114" s="218"/>
      <c r="U114" s="34"/>
      <c r="V114" s="34"/>
      <c r="W114" s="35" t="s">
        <v>69</v>
      </c>
      <c r="X114" s="198">
        <v>196</v>
      </c>
      <c r="Y114" s="199">
        <f>IFERROR(IF(X114="","",X114),"")</f>
        <v>196</v>
      </c>
      <c r="Z114" s="36">
        <f>IFERROR(IF(X114="","",X114*0.01788),"")</f>
        <v>3.50448</v>
      </c>
      <c r="AA114" s="56"/>
      <c r="AB114" s="57"/>
      <c r="AC114" s="68"/>
      <c r="AG114" s="67"/>
      <c r="AJ114" s="69" t="s">
        <v>85</v>
      </c>
      <c r="AK114" s="69">
        <v>70</v>
      </c>
      <c r="BB114" s="117" t="s">
        <v>79</v>
      </c>
      <c r="BM114" s="67">
        <f>IFERROR(X114*I114,"0")</f>
        <v>725.90559999999994</v>
      </c>
      <c r="BN114" s="67">
        <f>IFERROR(Y114*I114,"0")</f>
        <v>725.90559999999994</v>
      </c>
      <c r="BO114" s="67">
        <f>IFERROR(X114/J114,"0")</f>
        <v>2.8</v>
      </c>
      <c r="BP114" s="67">
        <f>IFERROR(Y114/J114,"0")</f>
        <v>2.8</v>
      </c>
    </row>
    <row r="115" spans="1:68" ht="27" customHeight="1" x14ac:dyDescent="0.25">
      <c r="A115" s="54" t="s">
        <v>194</v>
      </c>
      <c r="B115" s="54" t="s">
        <v>195</v>
      </c>
      <c r="C115" s="31">
        <v>4301135299</v>
      </c>
      <c r="D115" s="219">
        <v>4607111033994</v>
      </c>
      <c r="E115" s="220"/>
      <c r="F115" s="197">
        <v>0.25</v>
      </c>
      <c r="G115" s="32">
        <v>12</v>
      </c>
      <c r="H115" s="197">
        <v>3</v>
      </c>
      <c r="I115" s="197">
        <v>3.7035999999999998</v>
      </c>
      <c r="J115" s="32">
        <v>70</v>
      </c>
      <c r="K115" s="32" t="s">
        <v>78</v>
      </c>
      <c r="L115" s="32" t="s">
        <v>84</v>
      </c>
      <c r="M115" s="33" t="s">
        <v>68</v>
      </c>
      <c r="N115" s="33"/>
      <c r="O115" s="32">
        <v>180</v>
      </c>
      <c r="P115" s="33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17"/>
      <c r="R115" s="217"/>
      <c r="S115" s="217"/>
      <c r="T115" s="218"/>
      <c r="U115" s="34"/>
      <c r="V115" s="34"/>
      <c r="W115" s="35" t="s">
        <v>69</v>
      </c>
      <c r="X115" s="198">
        <v>294</v>
      </c>
      <c r="Y115" s="199">
        <f>IFERROR(IF(X115="","",X115),"")</f>
        <v>294</v>
      </c>
      <c r="Z115" s="36">
        <f>IFERROR(IF(X115="","",X115*0.01788),"")</f>
        <v>5.2567199999999996</v>
      </c>
      <c r="AA115" s="56"/>
      <c r="AB115" s="57"/>
      <c r="AC115" s="68"/>
      <c r="AG115" s="67"/>
      <c r="AJ115" s="69" t="s">
        <v>85</v>
      </c>
      <c r="AK115" s="69">
        <v>70</v>
      </c>
      <c r="BB115" s="118" t="s">
        <v>79</v>
      </c>
      <c r="BM115" s="67">
        <f>IFERROR(X115*I115,"0")</f>
        <v>1088.8583999999998</v>
      </c>
      <c r="BN115" s="67">
        <f>IFERROR(Y115*I115,"0")</f>
        <v>1088.8583999999998</v>
      </c>
      <c r="BO115" s="67">
        <f>IFERROR(X115/J115,"0")</f>
        <v>4.2</v>
      </c>
      <c r="BP115" s="67">
        <f>IFERROR(Y115/J115,"0")</f>
        <v>4.2</v>
      </c>
    </row>
    <row r="116" spans="1:68" x14ac:dyDescent="0.2">
      <c r="A116" s="225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26"/>
      <c r="P116" s="202" t="s">
        <v>71</v>
      </c>
      <c r="Q116" s="203"/>
      <c r="R116" s="203"/>
      <c r="S116" s="203"/>
      <c r="T116" s="203"/>
      <c r="U116" s="203"/>
      <c r="V116" s="204"/>
      <c r="W116" s="37" t="s">
        <v>69</v>
      </c>
      <c r="X116" s="200">
        <f>IFERROR(SUM(X114:X115),"0")</f>
        <v>490</v>
      </c>
      <c r="Y116" s="200">
        <f>IFERROR(SUM(Y114:Y115),"0")</f>
        <v>490</v>
      </c>
      <c r="Z116" s="200">
        <f>IFERROR(IF(Z114="",0,Z114),"0")+IFERROR(IF(Z115="",0,Z115),"0")</f>
        <v>8.7611999999999988</v>
      </c>
      <c r="AA116" s="201"/>
      <c r="AB116" s="201"/>
      <c r="AC116" s="201"/>
    </row>
    <row r="117" spans="1:68" x14ac:dyDescent="0.2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26"/>
      <c r="P117" s="202" t="s">
        <v>71</v>
      </c>
      <c r="Q117" s="203"/>
      <c r="R117" s="203"/>
      <c r="S117" s="203"/>
      <c r="T117" s="203"/>
      <c r="U117" s="203"/>
      <c r="V117" s="204"/>
      <c r="W117" s="37" t="s">
        <v>72</v>
      </c>
      <c r="X117" s="200">
        <f>IFERROR(SUMPRODUCT(X114:X115*H114:H115),"0")</f>
        <v>1470</v>
      </c>
      <c r="Y117" s="200">
        <f>IFERROR(SUMPRODUCT(Y114:Y115*H114:H115),"0")</f>
        <v>1470</v>
      </c>
      <c r="Z117" s="37"/>
      <c r="AA117" s="201"/>
      <c r="AB117" s="201"/>
      <c r="AC117" s="201"/>
    </row>
    <row r="118" spans="1:68" ht="16.5" hidden="1" customHeight="1" x14ac:dyDescent="0.25">
      <c r="A118" s="224" t="s">
        <v>196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3"/>
      <c r="AB118" s="193"/>
      <c r="AC118" s="193"/>
    </row>
    <row r="119" spans="1:68" ht="14.25" hidden="1" customHeight="1" x14ac:dyDescent="0.25">
      <c r="A119" s="210" t="s">
        <v>142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27" customHeight="1" x14ac:dyDescent="0.25">
      <c r="A120" s="54" t="s">
        <v>197</v>
      </c>
      <c r="B120" s="54" t="s">
        <v>198</v>
      </c>
      <c r="C120" s="31">
        <v>4301135311</v>
      </c>
      <c r="D120" s="219">
        <v>4607111039095</v>
      </c>
      <c r="E120" s="220"/>
      <c r="F120" s="197">
        <v>0.25</v>
      </c>
      <c r="G120" s="32">
        <v>12</v>
      </c>
      <c r="H120" s="197">
        <v>3</v>
      </c>
      <c r="I120" s="197">
        <v>3.7480000000000002</v>
      </c>
      <c r="J120" s="32">
        <v>70</v>
      </c>
      <c r="K120" s="32" t="s">
        <v>78</v>
      </c>
      <c r="L120" s="32" t="s">
        <v>96</v>
      </c>
      <c r="M120" s="33" t="s">
        <v>68</v>
      </c>
      <c r="N120" s="33"/>
      <c r="O120" s="32">
        <v>180</v>
      </c>
      <c r="P120" s="26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17"/>
      <c r="R120" s="217"/>
      <c r="S120" s="217"/>
      <c r="T120" s="218"/>
      <c r="U120" s="34"/>
      <c r="V120" s="34"/>
      <c r="W120" s="35" t="s">
        <v>69</v>
      </c>
      <c r="X120" s="198">
        <v>28</v>
      </c>
      <c r="Y120" s="199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97</v>
      </c>
      <c r="AK120" s="69">
        <v>14</v>
      </c>
      <c r="BB120" s="119" t="s">
        <v>79</v>
      </c>
      <c r="BM120" s="67">
        <f>IFERROR(X120*I120,"0")</f>
        <v>104.944</v>
      </c>
      <c r="BN120" s="67">
        <f>IFERROR(Y120*I120,"0")</f>
        <v>104.944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199</v>
      </c>
      <c r="B121" s="54" t="s">
        <v>200</v>
      </c>
      <c r="C121" s="31">
        <v>4301135282</v>
      </c>
      <c r="D121" s="219">
        <v>4607111034199</v>
      </c>
      <c r="E121" s="220"/>
      <c r="F121" s="197">
        <v>0.25</v>
      </c>
      <c r="G121" s="32">
        <v>12</v>
      </c>
      <c r="H121" s="197">
        <v>3</v>
      </c>
      <c r="I121" s="197">
        <v>3.7035999999999998</v>
      </c>
      <c r="J121" s="32">
        <v>70</v>
      </c>
      <c r="K121" s="32" t="s">
        <v>78</v>
      </c>
      <c r="L121" s="32" t="s">
        <v>84</v>
      </c>
      <c r="M121" s="33" t="s">
        <v>68</v>
      </c>
      <c r="N121" s="33"/>
      <c r="O121" s="32">
        <v>180</v>
      </c>
      <c r="P121" s="40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17"/>
      <c r="R121" s="217"/>
      <c r="S121" s="217"/>
      <c r="T121" s="218"/>
      <c r="U121" s="34"/>
      <c r="V121" s="34"/>
      <c r="W121" s="35" t="s">
        <v>69</v>
      </c>
      <c r="X121" s="198">
        <v>70</v>
      </c>
      <c r="Y121" s="199">
        <f>IFERROR(IF(X121="","",X121),"")</f>
        <v>70</v>
      </c>
      <c r="Z121" s="36">
        <f>IFERROR(IF(X121="","",X121*0.01788),"")</f>
        <v>1.2516</v>
      </c>
      <c r="AA121" s="56"/>
      <c r="AB121" s="57"/>
      <c r="AC121" s="68"/>
      <c r="AG121" s="67"/>
      <c r="AJ121" s="69" t="s">
        <v>85</v>
      </c>
      <c r="AK121" s="69">
        <v>70</v>
      </c>
      <c r="BB121" s="120" t="s">
        <v>79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225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26"/>
      <c r="P122" s="202" t="s">
        <v>71</v>
      </c>
      <c r="Q122" s="203"/>
      <c r="R122" s="203"/>
      <c r="S122" s="203"/>
      <c r="T122" s="203"/>
      <c r="U122" s="203"/>
      <c r="V122" s="204"/>
      <c r="W122" s="37" t="s">
        <v>69</v>
      </c>
      <c r="X122" s="200">
        <f>IFERROR(SUM(X120:X121),"0")</f>
        <v>98</v>
      </c>
      <c r="Y122" s="200">
        <f>IFERROR(SUM(Y120:Y121),"0")</f>
        <v>98</v>
      </c>
      <c r="Z122" s="200">
        <f>IFERROR(IF(Z120="",0,Z120),"0")+IFERROR(IF(Z121="",0,Z121),"0")</f>
        <v>1.75224</v>
      </c>
      <c r="AA122" s="201"/>
      <c r="AB122" s="201"/>
      <c r="AC122" s="201"/>
    </row>
    <row r="123" spans="1:68" x14ac:dyDescent="0.2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26"/>
      <c r="P123" s="202" t="s">
        <v>71</v>
      </c>
      <c r="Q123" s="203"/>
      <c r="R123" s="203"/>
      <c r="S123" s="203"/>
      <c r="T123" s="203"/>
      <c r="U123" s="203"/>
      <c r="V123" s="204"/>
      <c r="W123" s="37" t="s">
        <v>72</v>
      </c>
      <c r="X123" s="200">
        <f>IFERROR(SUMPRODUCT(X120:X121*H120:H121),"0")</f>
        <v>294</v>
      </c>
      <c r="Y123" s="200">
        <f>IFERROR(SUMPRODUCT(Y120:Y121*H120:H121),"0")</f>
        <v>294</v>
      </c>
      <c r="Z123" s="37"/>
      <c r="AA123" s="201"/>
      <c r="AB123" s="201"/>
      <c r="AC123" s="201"/>
    </row>
    <row r="124" spans="1:68" ht="16.5" hidden="1" customHeight="1" x14ac:dyDescent="0.25">
      <c r="A124" s="224" t="s">
        <v>201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3"/>
      <c r="AB124" s="193"/>
      <c r="AC124" s="193"/>
    </row>
    <row r="125" spans="1:68" ht="14.25" hidden="1" customHeight="1" x14ac:dyDescent="0.25">
      <c r="A125" s="210" t="s">
        <v>142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27" hidden="1" customHeight="1" x14ac:dyDescent="0.25">
      <c r="A126" s="54" t="s">
        <v>202</v>
      </c>
      <c r="B126" s="54" t="s">
        <v>203</v>
      </c>
      <c r="C126" s="31">
        <v>4301135178</v>
      </c>
      <c r="D126" s="219">
        <v>4607111034816</v>
      </c>
      <c r="E126" s="220"/>
      <c r="F126" s="197">
        <v>0.25</v>
      </c>
      <c r="G126" s="32">
        <v>6</v>
      </c>
      <c r="H126" s="197">
        <v>1.5</v>
      </c>
      <c r="I126" s="197">
        <v>1.9218</v>
      </c>
      <c r="J126" s="32">
        <v>140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0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17"/>
      <c r="R126" s="217"/>
      <c r="S126" s="217"/>
      <c r="T126" s="218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IFERROR(IF(X126="","",X126*0.00941),"")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4301135275</v>
      </c>
      <c r="D127" s="219">
        <v>4607111034380</v>
      </c>
      <c r="E127" s="220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96</v>
      </c>
      <c r="M127" s="33" t="s">
        <v>68</v>
      </c>
      <c r="N127" s="33"/>
      <c r="O127" s="32">
        <v>180</v>
      </c>
      <c r="P127" s="3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17"/>
      <c r="R127" s="217"/>
      <c r="S127" s="217"/>
      <c r="T127" s="218"/>
      <c r="U127" s="34"/>
      <c r="V127" s="34"/>
      <c r="W127" s="35" t="s">
        <v>69</v>
      </c>
      <c r="X127" s="198">
        <v>56</v>
      </c>
      <c r="Y127" s="199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68"/>
      <c r="AG127" s="67"/>
      <c r="AJ127" s="69" t="s">
        <v>97</v>
      </c>
      <c r="AK127" s="69">
        <v>14</v>
      </c>
      <c r="BB127" s="122" t="s">
        <v>79</v>
      </c>
      <c r="BM127" s="67">
        <f>IFERROR(X127*I127,"0")</f>
        <v>183.67999999999998</v>
      </c>
      <c r="BN127" s="67">
        <f>IFERROR(Y127*I127,"0")</f>
        <v>183.67999999999998</v>
      </c>
      <c r="BO127" s="67">
        <f>IFERROR(X127/J127,"0")</f>
        <v>0.8</v>
      </c>
      <c r="BP127" s="67">
        <f>IFERROR(Y127/J127,"0")</f>
        <v>0.8</v>
      </c>
    </row>
    <row r="128" spans="1:68" ht="27" customHeight="1" x14ac:dyDescent="0.25">
      <c r="A128" s="54" t="s">
        <v>206</v>
      </c>
      <c r="B128" s="54" t="s">
        <v>207</v>
      </c>
      <c r="C128" s="31">
        <v>4301135277</v>
      </c>
      <c r="D128" s="219">
        <v>4607111034397</v>
      </c>
      <c r="E128" s="220"/>
      <c r="F128" s="197">
        <v>0.25</v>
      </c>
      <c r="G128" s="32">
        <v>12</v>
      </c>
      <c r="H128" s="197">
        <v>3</v>
      </c>
      <c r="I128" s="197">
        <v>3.28</v>
      </c>
      <c r="J128" s="32">
        <v>70</v>
      </c>
      <c r="K128" s="32" t="s">
        <v>78</v>
      </c>
      <c r="L128" s="32" t="s">
        <v>84</v>
      </c>
      <c r="M128" s="33" t="s">
        <v>68</v>
      </c>
      <c r="N128" s="33"/>
      <c r="O128" s="32">
        <v>180</v>
      </c>
      <c r="P128" s="3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17"/>
      <c r="R128" s="217"/>
      <c r="S128" s="217"/>
      <c r="T128" s="218"/>
      <c r="U128" s="34"/>
      <c r="V128" s="34"/>
      <c r="W128" s="35" t="s">
        <v>69</v>
      </c>
      <c r="X128" s="198">
        <v>182</v>
      </c>
      <c r="Y128" s="199">
        <f>IFERROR(IF(X128="","",X128),"")</f>
        <v>182</v>
      </c>
      <c r="Z128" s="36">
        <f>IFERROR(IF(X128="","",X128*0.01788),"")</f>
        <v>3.2541600000000002</v>
      </c>
      <c r="AA128" s="56"/>
      <c r="AB128" s="57"/>
      <c r="AC128" s="68"/>
      <c r="AG128" s="67"/>
      <c r="AJ128" s="69" t="s">
        <v>85</v>
      </c>
      <c r="AK128" s="69">
        <v>70</v>
      </c>
      <c r="BB128" s="123" t="s">
        <v>79</v>
      </c>
      <c r="BM128" s="67">
        <f>IFERROR(X128*I128,"0")</f>
        <v>596.95999999999992</v>
      </c>
      <c r="BN128" s="67">
        <f>IFERROR(Y128*I128,"0")</f>
        <v>596.95999999999992</v>
      </c>
      <c r="BO128" s="67">
        <f>IFERROR(X128/J128,"0")</f>
        <v>2.6</v>
      </c>
      <c r="BP128" s="67">
        <f>IFERROR(Y128/J128,"0")</f>
        <v>2.6</v>
      </c>
    </row>
    <row r="129" spans="1:68" x14ac:dyDescent="0.2">
      <c r="A129" s="225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26"/>
      <c r="P129" s="202" t="s">
        <v>71</v>
      </c>
      <c r="Q129" s="203"/>
      <c r="R129" s="203"/>
      <c r="S129" s="203"/>
      <c r="T129" s="203"/>
      <c r="U129" s="203"/>
      <c r="V129" s="204"/>
      <c r="W129" s="37" t="s">
        <v>69</v>
      </c>
      <c r="X129" s="200">
        <f>IFERROR(SUM(X126:X128),"0")</f>
        <v>238</v>
      </c>
      <c r="Y129" s="200">
        <f>IFERROR(SUM(Y126:Y128),"0")</f>
        <v>238</v>
      </c>
      <c r="Z129" s="200">
        <f>IFERROR(IF(Z126="",0,Z126),"0")+IFERROR(IF(Z127="",0,Z127),"0")+IFERROR(IF(Z128="",0,Z128),"0")</f>
        <v>4.2554400000000001</v>
      </c>
      <c r="AA129" s="201"/>
      <c r="AB129" s="201"/>
      <c r="AC129" s="201"/>
    </row>
    <row r="130" spans="1:68" x14ac:dyDescent="0.2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26"/>
      <c r="P130" s="202" t="s">
        <v>71</v>
      </c>
      <c r="Q130" s="203"/>
      <c r="R130" s="203"/>
      <c r="S130" s="203"/>
      <c r="T130" s="203"/>
      <c r="U130" s="203"/>
      <c r="V130" s="204"/>
      <c r="W130" s="37" t="s">
        <v>72</v>
      </c>
      <c r="X130" s="200">
        <f>IFERROR(SUMPRODUCT(X126:X128*H126:H128),"0")</f>
        <v>714</v>
      </c>
      <c r="Y130" s="200">
        <f>IFERROR(SUMPRODUCT(Y126:Y128*H126:H128),"0")</f>
        <v>714</v>
      </c>
      <c r="Z130" s="37"/>
      <c r="AA130" s="201"/>
      <c r="AB130" s="201"/>
      <c r="AC130" s="201"/>
    </row>
    <row r="131" spans="1:68" ht="16.5" hidden="1" customHeight="1" x14ac:dyDescent="0.25">
      <c r="A131" s="224" t="s">
        <v>208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3"/>
      <c r="AB131" s="193"/>
      <c r="AC131" s="193"/>
    </row>
    <row r="132" spans="1:68" ht="14.25" hidden="1" customHeight="1" x14ac:dyDescent="0.25">
      <c r="A132" s="210" t="s">
        <v>142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27" hidden="1" customHeight="1" x14ac:dyDescent="0.25">
      <c r="A133" s="54" t="s">
        <v>209</v>
      </c>
      <c r="B133" s="54" t="s">
        <v>210</v>
      </c>
      <c r="C133" s="31">
        <v>4301135279</v>
      </c>
      <c r="D133" s="219">
        <v>4607111035806</v>
      </c>
      <c r="E133" s="220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4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17"/>
      <c r="R133" s="217"/>
      <c r="S133" s="217"/>
      <c r="T133" s="218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225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26"/>
      <c r="P134" s="202" t="s">
        <v>71</v>
      </c>
      <c r="Q134" s="203"/>
      <c r="R134" s="203"/>
      <c r="S134" s="203"/>
      <c r="T134" s="203"/>
      <c r="U134" s="203"/>
      <c r="V134" s="204"/>
      <c r="W134" s="37" t="s">
        <v>69</v>
      </c>
      <c r="X134" s="200">
        <f>IFERROR(SUM(X133:X133),"0")</f>
        <v>0</v>
      </c>
      <c r="Y134" s="200">
        <f>IFERROR(SUM(Y133:Y133),"0")</f>
        <v>0</v>
      </c>
      <c r="Z134" s="200">
        <f>IFERROR(IF(Z133="",0,Z133),"0")</f>
        <v>0</v>
      </c>
      <c r="AA134" s="201"/>
      <c r="AB134" s="201"/>
      <c r="AC134" s="201"/>
    </row>
    <row r="135" spans="1:68" hidden="1" x14ac:dyDescent="0.2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26"/>
      <c r="P135" s="202" t="s">
        <v>71</v>
      </c>
      <c r="Q135" s="203"/>
      <c r="R135" s="203"/>
      <c r="S135" s="203"/>
      <c r="T135" s="203"/>
      <c r="U135" s="203"/>
      <c r="V135" s="204"/>
      <c r="W135" s="37" t="s">
        <v>72</v>
      </c>
      <c r="X135" s="200">
        <f>IFERROR(SUMPRODUCT(X133:X133*H133:H133),"0")</f>
        <v>0</v>
      </c>
      <c r="Y135" s="200">
        <f>IFERROR(SUMPRODUCT(Y133:Y133*H133:H133),"0")</f>
        <v>0</v>
      </c>
      <c r="Z135" s="37"/>
      <c r="AA135" s="201"/>
      <c r="AB135" s="201"/>
      <c r="AC135" s="201"/>
    </row>
    <row r="136" spans="1:68" ht="16.5" hidden="1" customHeight="1" x14ac:dyDescent="0.25">
      <c r="A136" s="224" t="s">
        <v>211</v>
      </c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193"/>
      <c r="AB136" s="193"/>
      <c r="AC136" s="193"/>
    </row>
    <row r="137" spans="1:68" ht="14.25" hidden="1" customHeight="1" x14ac:dyDescent="0.25">
      <c r="A137" s="210" t="s">
        <v>212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27" hidden="1" customHeight="1" x14ac:dyDescent="0.25">
      <c r="A138" s="54" t="s">
        <v>213</v>
      </c>
      <c r="B138" s="54" t="s">
        <v>214</v>
      </c>
      <c r="C138" s="31">
        <v>4301071054</v>
      </c>
      <c r="D138" s="219">
        <v>4607111035639</v>
      </c>
      <c r="E138" s="220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215</v>
      </c>
      <c r="L138" s="32" t="s">
        <v>67</v>
      </c>
      <c r="M138" s="33" t="s">
        <v>68</v>
      </c>
      <c r="N138" s="33"/>
      <c r="O138" s="32">
        <v>180</v>
      </c>
      <c r="P138" s="317" t="s">
        <v>216</v>
      </c>
      <c r="Q138" s="217"/>
      <c r="R138" s="217"/>
      <c r="S138" s="217"/>
      <c r="T138" s="218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217</v>
      </c>
      <c r="B139" s="54" t="s">
        <v>218</v>
      </c>
      <c r="C139" s="31">
        <v>4301135540</v>
      </c>
      <c r="D139" s="219">
        <v>4607111035646</v>
      </c>
      <c r="E139" s="220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215</v>
      </c>
      <c r="L139" s="32" t="s">
        <v>67</v>
      </c>
      <c r="M139" s="33" t="s">
        <v>68</v>
      </c>
      <c r="N139" s="33"/>
      <c r="O139" s="32">
        <v>180</v>
      </c>
      <c r="P139" s="3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17"/>
      <c r="R139" s="217"/>
      <c r="S139" s="217"/>
      <c r="T139" s="218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5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26"/>
      <c r="P140" s="202" t="s">
        <v>71</v>
      </c>
      <c r="Q140" s="203"/>
      <c r="R140" s="203"/>
      <c r="S140" s="203"/>
      <c r="T140" s="203"/>
      <c r="U140" s="203"/>
      <c r="V140" s="204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hidden="1" x14ac:dyDescent="0.2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26"/>
      <c r="P141" s="202" t="s">
        <v>71</v>
      </c>
      <c r="Q141" s="203"/>
      <c r="R141" s="203"/>
      <c r="S141" s="203"/>
      <c r="T141" s="203"/>
      <c r="U141" s="203"/>
      <c r="V141" s="204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hidden="1" customHeight="1" x14ac:dyDescent="0.25">
      <c r="A142" s="224" t="s">
        <v>219</v>
      </c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193"/>
      <c r="AB142" s="193"/>
      <c r="AC142" s="193"/>
    </row>
    <row r="143" spans="1:68" ht="14.25" hidden="1" customHeight="1" x14ac:dyDescent="0.25">
      <c r="A143" s="210" t="s">
        <v>142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27" hidden="1" customHeight="1" x14ac:dyDescent="0.25">
      <c r="A144" s="54" t="s">
        <v>220</v>
      </c>
      <c r="B144" s="54" t="s">
        <v>221</v>
      </c>
      <c r="C144" s="31">
        <v>4301135281</v>
      </c>
      <c r="D144" s="219">
        <v>4607111036568</v>
      </c>
      <c r="E144" s="220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17"/>
      <c r="R144" s="217"/>
      <c r="S144" s="217"/>
      <c r="T144" s="218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25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26"/>
      <c r="P145" s="202" t="s">
        <v>71</v>
      </c>
      <c r="Q145" s="203"/>
      <c r="R145" s="203"/>
      <c r="S145" s="203"/>
      <c r="T145" s="203"/>
      <c r="U145" s="203"/>
      <c r="V145" s="204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hidden="1" x14ac:dyDescent="0.2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26"/>
      <c r="P146" s="202" t="s">
        <v>71</v>
      </c>
      <c r="Q146" s="203"/>
      <c r="R146" s="203"/>
      <c r="S146" s="203"/>
      <c r="T146" s="203"/>
      <c r="U146" s="203"/>
      <c r="V146" s="204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hidden="1" customHeight="1" x14ac:dyDescent="0.2">
      <c r="A147" s="208" t="s">
        <v>222</v>
      </c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48"/>
      <c r="AB147" s="48"/>
      <c r="AC147" s="48"/>
    </row>
    <row r="148" spans="1:68" ht="16.5" hidden="1" customHeight="1" x14ac:dyDescent="0.25">
      <c r="A148" s="224" t="s">
        <v>223</v>
      </c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193"/>
      <c r="AB148" s="193"/>
      <c r="AC148" s="193"/>
    </row>
    <row r="149" spans="1:68" ht="14.25" hidden="1" customHeight="1" x14ac:dyDescent="0.25">
      <c r="A149" s="210" t="s">
        <v>142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27" hidden="1" customHeight="1" x14ac:dyDescent="0.25">
      <c r="A150" s="54" t="s">
        <v>224</v>
      </c>
      <c r="B150" s="54" t="s">
        <v>225</v>
      </c>
      <c r="C150" s="31">
        <v>4301135317</v>
      </c>
      <c r="D150" s="219">
        <v>4607111039057</v>
      </c>
      <c r="E150" s="220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138</v>
      </c>
      <c r="L150" s="32" t="s">
        <v>96</v>
      </c>
      <c r="M150" s="33" t="s">
        <v>68</v>
      </c>
      <c r="N150" s="33"/>
      <c r="O150" s="32">
        <v>180</v>
      </c>
      <c r="P150" s="231" t="s">
        <v>226</v>
      </c>
      <c r="Q150" s="217"/>
      <c r="R150" s="217"/>
      <c r="S150" s="217"/>
      <c r="T150" s="218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97</v>
      </c>
      <c r="AK150" s="69">
        <v>18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25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26"/>
      <c r="P151" s="202" t="s">
        <v>71</v>
      </c>
      <c r="Q151" s="203"/>
      <c r="R151" s="203"/>
      <c r="S151" s="203"/>
      <c r="T151" s="203"/>
      <c r="U151" s="203"/>
      <c r="V151" s="204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hidden="1" x14ac:dyDescent="0.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26"/>
      <c r="P152" s="202" t="s">
        <v>71</v>
      </c>
      <c r="Q152" s="203"/>
      <c r="R152" s="203"/>
      <c r="S152" s="203"/>
      <c r="T152" s="203"/>
      <c r="U152" s="203"/>
      <c r="V152" s="204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hidden="1" customHeight="1" x14ac:dyDescent="0.25">
      <c r="A153" s="224" t="s">
        <v>227</v>
      </c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193"/>
      <c r="AB153" s="193"/>
      <c r="AC153" s="193"/>
    </row>
    <row r="154" spans="1:68" ht="14.25" hidden="1" customHeight="1" x14ac:dyDescent="0.25">
      <c r="A154" s="210" t="s">
        <v>63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4"/>
      <c r="AB154" s="194"/>
      <c r="AC154" s="194"/>
    </row>
    <row r="155" spans="1:68" ht="16.5" hidden="1" customHeight="1" x14ac:dyDescent="0.25">
      <c r="A155" s="54" t="s">
        <v>228</v>
      </c>
      <c r="B155" s="54" t="s">
        <v>229</v>
      </c>
      <c r="C155" s="31">
        <v>4301071062</v>
      </c>
      <c r="D155" s="219">
        <v>4607111036384</v>
      </c>
      <c r="E155" s="220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230</v>
      </c>
      <c r="Q155" s="217"/>
      <c r="R155" s="217"/>
      <c r="S155" s="217"/>
      <c r="T155" s="218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231</v>
      </c>
      <c r="B156" s="54" t="s">
        <v>232</v>
      </c>
      <c r="C156" s="31">
        <v>4301071056</v>
      </c>
      <c r="D156" s="219">
        <v>4640242180250</v>
      </c>
      <c r="E156" s="220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3" t="s">
        <v>233</v>
      </c>
      <c r="Q156" s="217"/>
      <c r="R156" s="217"/>
      <c r="S156" s="217"/>
      <c r="T156" s="218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234</v>
      </c>
      <c r="B157" s="54" t="s">
        <v>235</v>
      </c>
      <c r="C157" s="31">
        <v>4301071050</v>
      </c>
      <c r="D157" s="219">
        <v>4607111036216</v>
      </c>
      <c r="E157" s="220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96</v>
      </c>
      <c r="M157" s="33" t="s">
        <v>68</v>
      </c>
      <c r="N157" s="33"/>
      <c r="O157" s="32">
        <v>180</v>
      </c>
      <c r="P157" s="275" t="s">
        <v>236</v>
      </c>
      <c r="Q157" s="217"/>
      <c r="R157" s="217"/>
      <c r="S157" s="217"/>
      <c r="T157" s="218"/>
      <c r="U157" s="34"/>
      <c r="V157" s="34"/>
      <c r="W157" s="35" t="s">
        <v>69</v>
      </c>
      <c r="X157" s="198">
        <v>60</v>
      </c>
      <c r="Y157" s="199">
        <f>IFERROR(IF(X157="","",X157),"")</f>
        <v>60</v>
      </c>
      <c r="Z157" s="36">
        <f>IFERROR(IF(X157="","",X157*0.00866),"")</f>
        <v>0.51959999999999995</v>
      </c>
      <c r="AA157" s="56"/>
      <c r="AB157" s="57"/>
      <c r="AC157" s="68"/>
      <c r="AG157" s="67"/>
      <c r="AJ157" s="69" t="s">
        <v>97</v>
      </c>
      <c r="AK157" s="69">
        <v>12</v>
      </c>
      <c r="BB157" s="131" t="s">
        <v>1</v>
      </c>
      <c r="BM157" s="67">
        <f>IFERROR(X157*I157,"0")</f>
        <v>312.79199999999997</v>
      </c>
      <c r="BN157" s="67">
        <f>IFERROR(Y157*I157,"0")</f>
        <v>312.79199999999997</v>
      </c>
      <c r="BO157" s="67">
        <f>IFERROR(X157/J157,"0")</f>
        <v>0.41666666666666669</v>
      </c>
      <c r="BP157" s="67">
        <f>IFERROR(Y157/J157,"0")</f>
        <v>0.41666666666666669</v>
      </c>
    </row>
    <row r="158" spans="1:68" ht="27" hidden="1" customHeight="1" x14ac:dyDescent="0.25">
      <c r="A158" s="54" t="s">
        <v>237</v>
      </c>
      <c r="B158" s="54" t="s">
        <v>238</v>
      </c>
      <c r="C158" s="31">
        <v>4301071061</v>
      </c>
      <c r="D158" s="219">
        <v>4607111036278</v>
      </c>
      <c r="E158" s="220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7" t="s">
        <v>239</v>
      </c>
      <c r="Q158" s="217"/>
      <c r="R158" s="217"/>
      <c r="S158" s="217"/>
      <c r="T158" s="218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25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26"/>
      <c r="P159" s="202" t="s">
        <v>71</v>
      </c>
      <c r="Q159" s="203"/>
      <c r="R159" s="203"/>
      <c r="S159" s="203"/>
      <c r="T159" s="203"/>
      <c r="U159" s="203"/>
      <c r="V159" s="204"/>
      <c r="W159" s="37" t="s">
        <v>69</v>
      </c>
      <c r="X159" s="200">
        <f>IFERROR(SUM(X155:X158),"0")</f>
        <v>60</v>
      </c>
      <c r="Y159" s="200">
        <f>IFERROR(SUM(Y155:Y158),"0")</f>
        <v>60</v>
      </c>
      <c r="Z159" s="200">
        <f>IFERROR(IF(Z155="",0,Z155),"0")+IFERROR(IF(Z156="",0,Z156),"0")+IFERROR(IF(Z157="",0,Z157),"0")+IFERROR(IF(Z158="",0,Z158),"0")</f>
        <v>0.51959999999999995</v>
      </c>
      <c r="AA159" s="201"/>
      <c r="AB159" s="201"/>
      <c r="AC159" s="201"/>
    </row>
    <row r="160" spans="1:68" x14ac:dyDescent="0.2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26"/>
      <c r="P160" s="202" t="s">
        <v>71</v>
      </c>
      <c r="Q160" s="203"/>
      <c r="R160" s="203"/>
      <c r="S160" s="203"/>
      <c r="T160" s="203"/>
      <c r="U160" s="203"/>
      <c r="V160" s="204"/>
      <c r="W160" s="37" t="s">
        <v>72</v>
      </c>
      <c r="X160" s="200">
        <f>IFERROR(SUMPRODUCT(X155:X158*H155:H158),"0")</f>
        <v>300</v>
      </c>
      <c r="Y160" s="200">
        <f>IFERROR(SUMPRODUCT(Y155:Y158*H155:H158),"0")</f>
        <v>300</v>
      </c>
      <c r="Z160" s="37"/>
      <c r="AA160" s="201"/>
      <c r="AB160" s="201"/>
      <c r="AC160" s="201"/>
    </row>
    <row r="161" spans="1:68" ht="14.25" hidden="1" customHeight="1" x14ac:dyDescent="0.25">
      <c r="A161" s="210" t="s">
        <v>240</v>
      </c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194"/>
      <c r="AB161" s="194"/>
      <c r="AC161" s="194"/>
    </row>
    <row r="162" spans="1:68" ht="27" hidden="1" customHeight="1" x14ac:dyDescent="0.25">
      <c r="A162" s="54" t="s">
        <v>241</v>
      </c>
      <c r="B162" s="54" t="s">
        <v>242</v>
      </c>
      <c r="C162" s="31">
        <v>4301080153</v>
      </c>
      <c r="D162" s="219">
        <v>4607111036827</v>
      </c>
      <c r="E162" s="220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17"/>
      <c r="R162" s="217"/>
      <c r="S162" s="217"/>
      <c r="T162" s="218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243</v>
      </c>
      <c r="B163" s="54" t="s">
        <v>244</v>
      </c>
      <c r="C163" s="31">
        <v>4301080154</v>
      </c>
      <c r="D163" s="219">
        <v>4607111036834</v>
      </c>
      <c r="E163" s="220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17"/>
      <c r="R163" s="217"/>
      <c r="S163" s="217"/>
      <c r="T163" s="218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25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26"/>
      <c r="P164" s="202" t="s">
        <v>71</v>
      </c>
      <c r="Q164" s="203"/>
      <c r="R164" s="203"/>
      <c r="S164" s="203"/>
      <c r="T164" s="203"/>
      <c r="U164" s="203"/>
      <c r="V164" s="204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hidden="1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26"/>
      <c r="P165" s="202" t="s">
        <v>71</v>
      </c>
      <c r="Q165" s="203"/>
      <c r="R165" s="203"/>
      <c r="S165" s="203"/>
      <c r="T165" s="203"/>
      <c r="U165" s="203"/>
      <c r="V165" s="204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hidden="1" customHeight="1" x14ac:dyDescent="0.2">
      <c r="A166" s="208" t="s">
        <v>245</v>
      </c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48"/>
      <c r="AB166" s="48"/>
      <c r="AC166" s="48"/>
    </row>
    <row r="167" spans="1:68" ht="16.5" hidden="1" customHeight="1" x14ac:dyDescent="0.25">
      <c r="A167" s="224" t="s">
        <v>246</v>
      </c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193"/>
      <c r="AB167" s="193"/>
      <c r="AC167" s="193"/>
    </row>
    <row r="168" spans="1:68" ht="14.25" hidden="1" customHeight="1" x14ac:dyDescent="0.25">
      <c r="A168" s="210" t="s">
        <v>75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4"/>
      <c r="AB168" s="194"/>
      <c r="AC168" s="194"/>
    </row>
    <row r="169" spans="1:68" ht="27" customHeight="1" x14ac:dyDescent="0.25">
      <c r="A169" s="54" t="s">
        <v>247</v>
      </c>
      <c r="B169" s="54" t="s">
        <v>248</v>
      </c>
      <c r="C169" s="31">
        <v>4301132097</v>
      </c>
      <c r="D169" s="219">
        <v>4607111035721</v>
      </c>
      <c r="E169" s="220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84</v>
      </c>
      <c r="M169" s="33" t="s">
        <v>68</v>
      </c>
      <c r="N169" s="33"/>
      <c r="O169" s="32">
        <v>365</v>
      </c>
      <c r="P169" s="3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17"/>
      <c r="R169" s="217"/>
      <c r="S169" s="217"/>
      <c r="T169" s="218"/>
      <c r="U169" s="34"/>
      <c r="V169" s="34"/>
      <c r="W169" s="35" t="s">
        <v>69</v>
      </c>
      <c r="X169" s="198">
        <v>14</v>
      </c>
      <c r="Y169" s="19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68"/>
      <c r="AG169" s="67"/>
      <c r="AJ169" s="69" t="s">
        <v>85</v>
      </c>
      <c r="AK169" s="69">
        <v>70</v>
      </c>
      <c r="BB169" s="135" t="s">
        <v>79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249</v>
      </c>
      <c r="B170" s="54" t="s">
        <v>250</v>
      </c>
      <c r="C170" s="31">
        <v>4301132100</v>
      </c>
      <c r="D170" s="219">
        <v>4607111035691</v>
      </c>
      <c r="E170" s="220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84</v>
      </c>
      <c r="M170" s="33" t="s">
        <v>68</v>
      </c>
      <c r="N170" s="33"/>
      <c r="O170" s="32">
        <v>365</v>
      </c>
      <c r="P170" s="37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17"/>
      <c r="R170" s="217"/>
      <c r="S170" s="217"/>
      <c r="T170" s="218"/>
      <c r="U170" s="34"/>
      <c r="V170" s="34"/>
      <c r="W170" s="35" t="s">
        <v>69</v>
      </c>
      <c r="X170" s="198">
        <v>126</v>
      </c>
      <c r="Y170" s="199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68"/>
      <c r="AG170" s="67"/>
      <c r="AJ170" s="69" t="s">
        <v>85</v>
      </c>
      <c r="AK170" s="69">
        <v>70</v>
      </c>
      <c r="BB170" s="136" t="s">
        <v>79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251</v>
      </c>
      <c r="B171" s="54" t="s">
        <v>252</v>
      </c>
      <c r="C171" s="31">
        <v>4301132079</v>
      </c>
      <c r="D171" s="219">
        <v>4607111038487</v>
      </c>
      <c r="E171" s="220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96</v>
      </c>
      <c r="M171" s="33" t="s">
        <v>68</v>
      </c>
      <c r="N171" s="33"/>
      <c r="O171" s="32">
        <v>180</v>
      </c>
      <c r="P171" s="26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17"/>
      <c r="R171" s="217"/>
      <c r="S171" s="217"/>
      <c r="T171" s="218"/>
      <c r="U171" s="34"/>
      <c r="V171" s="34"/>
      <c r="W171" s="35" t="s">
        <v>69</v>
      </c>
      <c r="X171" s="198">
        <v>42</v>
      </c>
      <c r="Y171" s="19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68"/>
      <c r="AG171" s="67"/>
      <c r="AJ171" s="69" t="s">
        <v>97</v>
      </c>
      <c r="AK171" s="69">
        <v>14</v>
      </c>
      <c r="BB171" s="137" t="s">
        <v>79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25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26"/>
      <c r="P172" s="202" t="s">
        <v>71</v>
      </c>
      <c r="Q172" s="203"/>
      <c r="R172" s="203"/>
      <c r="S172" s="203"/>
      <c r="T172" s="203"/>
      <c r="U172" s="203"/>
      <c r="V172" s="204"/>
      <c r="W172" s="37" t="s">
        <v>69</v>
      </c>
      <c r="X172" s="200">
        <f>IFERROR(SUM(X169:X171),"0")</f>
        <v>182</v>
      </c>
      <c r="Y172" s="200">
        <f>IFERROR(SUM(Y169:Y171),"0")</f>
        <v>182</v>
      </c>
      <c r="Z172" s="200">
        <f>IFERROR(IF(Z169="",0,Z169),"0")+IFERROR(IF(Z170="",0,Z170),"0")+IFERROR(IF(Z171="",0,Z171),"0")</f>
        <v>3.2541600000000002</v>
      </c>
      <c r="AA172" s="201"/>
      <c r="AB172" s="201"/>
      <c r="AC172" s="201"/>
    </row>
    <row r="173" spans="1:68" x14ac:dyDescent="0.2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26"/>
      <c r="P173" s="202" t="s">
        <v>71</v>
      </c>
      <c r="Q173" s="203"/>
      <c r="R173" s="203"/>
      <c r="S173" s="203"/>
      <c r="T173" s="203"/>
      <c r="U173" s="203"/>
      <c r="V173" s="204"/>
      <c r="W173" s="37" t="s">
        <v>72</v>
      </c>
      <c r="X173" s="200">
        <f>IFERROR(SUMPRODUCT(X169:X171*H169:H171),"0")</f>
        <v>546</v>
      </c>
      <c r="Y173" s="200">
        <f>IFERROR(SUMPRODUCT(Y169:Y171*H169:H171),"0")</f>
        <v>546</v>
      </c>
      <c r="Z173" s="37"/>
      <c r="AA173" s="201"/>
      <c r="AB173" s="201"/>
      <c r="AC173" s="201"/>
    </row>
    <row r="174" spans="1:68" ht="14.25" hidden="1" customHeight="1" x14ac:dyDescent="0.25">
      <c r="A174" s="210" t="s">
        <v>253</v>
      </c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194"/>
      <c r="AB174" s="194"/>
      <c r="AC174" s="194"/>
    </row>
    <row r="175" spans="1:68" ht="27" hidden="1" customHeight="1" x14ac:dyDescent="0.25">
      <c r="A175" s="54" t="s">
        <v>254</v>
      </c>
      <c r="B175" s="54" t="s">
        <v>255</v>
      </c>
      <c r="C175" s="31">
        <v>4301051855</v>
      </c>
      <c r="D175" s="219">
        <v>4680115885875</v>
      </c>
      <c r="E175" s="220"/>
      <c r="F175" s="197">
        <v>1</v>
      </c>
      <c r="G175" s="32">
        <v>9</v>
      </c>
      <c r="H175" s="197">
        <v>9</v>
      </c>
      <c r="I175" s="197">
        <v>9.48</v>
      </c>
      <c r="J175" s="32">
        <v>56</v>
      </c>
      <c r="K175" s="32" t="s">
        <v>256</v>
      </c>
      <c r="L175" s="32" t="s">
        <v>67</v>
      </c>
      <c r="M175" s="33" t="s">
        <v>257</v>
      </c>
      <c r="N175" s="33"/>
      <c r="O175" s="32">
        <v>365</v>
      </c>
      <c r="P175" s="361" t="s">
        <v>258</v>
      </c>
      <c r="Q175" s="217"/>
      <c r="R175" s="217"/>
      <c r="S175" s="217"/>
      <c r="T175" s="218"/>
      <c r="U175" s="34"/>
      <c r="V175" s="34"/>
      <c r="W175" s="35" t="s">
        <v>69</v>
      </c>
      <c r="X175" s="198">
        <v>0</v>
      </c>
      <c r="Y175" s="199">
        <f>IFERROR(IF(X175="","",X175),"")</f>
        <v>0</v>
      </c>
      <c r="Z175" s="36">
        <f>IFERROR(IF(X175="","",X175*0.02175),"")</f>
        <v>0</v>
      </c>
      <c r="AA175" s="56"/>
      <c r="AB175" s="57"/>
      <c r="AC175" s="68"/>
      <c r="AG175" s="67"/>
      <c r="AJ175" s="69" t="s">
        <v>70</v>
      </c>
      <c r="AK175" s="69">
        <v>1</v>
      </c>
      <c r="BB175" s="138" t="s">
        <v>259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25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26"/>
      <c r="P176" s="202" t="s">
        <v>71</v>
      </c>
      <c r="Q176" s="203"/>
      <c r="R176" s="203"/>
      <c r="S176" s="203"/>
      <c r="T176" s="203"/>
      <c r="U176" s="203"/>
      <c r="V176" s="204"/>
      <c r="W176" s="37" t="s">
        <v>69</v>
      </c>
      <c r="X176" s="200">
        <f>IFERROR(SUM(X175:X175),"0")</f>
        <v>0</v>
      </c>
      <c r="Y176" s="200">
        <f>IFERROR(SUM(Y175:Y175),"0")</f>
        <v>0</v>
      </c>
      <c r="Z176" s="200">
        <f>IFERROR(IF(Z175="",0,Z175),"0")</f>
        <v>0</v>
      </c>
      <c r="AA176" s="201"/>
      <c r="AB176" s="201"/>
      <c r="AC176" s="201"/>
    </row>
    <row r="177" spans="1:68" hidden="1" x14ac:dyDescent="0.2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26"/>
      <c r="P177" s="202" t="s">
        <v>71</v>
      </c>
      <c r="Q177" s="203"/>
      <c r="R177" s="203"/>
      <c r="S177" s="203"/>
      <c r="T177" s="203"/>
      <c r="U177" s="203"/>
      <c r="V177" s="204"/>
      <c r="W177" s="37" t="s">
        <v>72</v>
      </c>
      <c r="X177" s="200">
        <f>IFERROR(SUMPRODUCT(X175:X175*H175:H175),"0")</f>
        <v>0</v>
      </c>
      <c r="Y177" s="200">
        <f>IFERROR(SUMPRODUCT(Y175:Y175*H175:H175),"0")</f>
        <v>0</v>
      </c>
      <c r="Z177" s="37"/>
      <c r="AA177" s="201"/>
      <c r="AB177" s="201"/>
      <c r="AC177" s="201"/>
    </row>
    <row r="178" spans="1:68" ht="16.5" hidden="1" customHeight="1" x14ac:dyDescent="0.25">
      <c r="A178" s="224" t="s">
        <v>260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193"/>
      <c r="AB178" s="193"/>
      <c r="AC178" s="193"/>
    </row>
    <row r="179" spans="1:68" ht="14.25" hidden="1" customHeight="1" x14ac:dyDescent="0.25">
      <c r="A179" s="210" t="s">
        <v>253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194"/>
      <c r="AB179" s="194"/>
      <c r="AC179" s="194"/>
    </row>
    <row r="180" spans="1:68" ht="27" hidden="1" customHeight="1" x14ac:dyDescent="0.25">
      <c r="A180" s="54" t="s">
        <v>261</v>
      </c>
      <c r="B180" s="54" t="s">
        <v>262</v>
      </c>
      <c r="C180" s="31">
        <v>4301051319</v>
      </c>
      <c r="D180" s="219">
        <v>4680115881204</v>
      </c>
      <c r="E180" s="220"/>
      <c r="F180" s="197">
        <v>0.33</v>
      </c>
      <c r="G180" s="32">
        <v>6</v>
      </c>
      <c r="H180" s="197">
        <v>1.98</v>
      </c>
      <c r="I180" s="197">
        <v>2.246</v>
      </c>
      <c r="J180" s="32">
        <v>156</v>
      </c>
      <c r="K180" s="32" t="s">
        <v>66</v>
      </c>
      <c r="L180" s="32" t="s">
        <v>67</v>
      </c>
      <c r="M180" s="33" t="s">
        <v>257</v>
      </c>
      <c r="N180" s="33"/>
      <c r="O180" s="32">
        <v>365</v>
      </c>
      <c r="P180" s="29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217"/>
      <c r="R180" s="217"/>
      <c r="S180" s="217"/>
      <c r="T180" s="218"/>
      <c r="U180" s="34"/>
      <c r="V180" s="34"/>
      <c r="W180" s="35" t="s">
        <v>69</v>
      </c>
      <c r="X180" s="198">
        <v>0</v>
      </c>
      <c r="Y180" s="199">
        <f>IFERROR(IF(X180="","",X180),"")</f>
        <v>0</v>
      </c>
      <c r="Z180" s="36">
        <f>IFERROR(IF(X180="","",X180*0.00753),"")</f>
        <v>0</v>
      </c>
      <c r="AA180" s="56"/>
      <c r="AB180" s="57"/>
      <c r="AC180" s="68"/>
      <c r="AG180" s="67"/>
      <c r="AJ180" s="69" t="s">
        <v>70</v>
      </c>
      <c r="AK180" s="69">
        <v>1</v>
      </c>
      <c r="BB180" s="139" t="s">
        <v>259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25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26"/>
      <c r="P181" s="202" t="s">
        <v>71</v>
      </c>
      <c r="Q181" s="203"/>
      <c r="R181" s="203"/>
      <c r="S181" s="203"/>
      <c r="T181" s="203"/>
      <c r="U181" s="203"/>
      <c r="V181" s="204"/>
      <c r="W181" s="37" t="s">
        <v>69</v>
      </c>
      <c r="X181" s="200">
        <f>IFERROR(SUM(X180:X180),"0")</f>
        <v>0</v>
      </c>
      <c r="Y181" s="200">
        <f>IFERROR(SUM(Y180:Y180),"0")</f>
        <v>0</v>
      </c>
      <c r="Z181" s="200">
        <f>IFERROR(IF(Z180="",0,Z180),"0")</f>
        <v>0</v>
      </c>
      <c r="AA181" s="201"/>
      <c r="AB181" s="201"/>
      <c r="AC181" s="201"/>
    </row>
    <row r="182" spans="1:68" hidden="1" x14ac:dyDescent="0.2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26"/>
      <c r="P182" s="202" t="s">
        <v>71</v>
      </c>
      <c r="Q182" s="203"/>
      <c r="R182" s="203"/>
      <c r="S182" s="203"/>
      <c r="T182" s="203"/>
      <c r="U182" s="203"/>
      <c r="V182" s="204"/>
      <c r="W182" s="37" t="s">
        <v>72</v>
      </c>
      <c r="X182" s="200">
        <f>IFERROR(SUMPRODUCT(X180:X180*H180:H180),"0")</f>
        <v>0</v>
      </c>
      <c r="Y182" s="200">
        <f>IFERROR(SUMPRODUCT(Y180:Y180*H180:H180),"0")</f>
        <v>0</v>
      </c>
      <c r="Z182" s="37"/>
      <c r="AA182" s="201"/>
      <c r="AB182" s="201"/>
      <c r="AC182" s="201"/>
    </row>
    <row r="183" spans="1:68" ht="27.75" hidden="1" customHeight="1" x14ac:dyDescent="0.2">
      <c r="A183" s="208" t="s">
        <v>263</v>
      </c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  <c r="AA183" s="48"/>
      <c r="AB183" s="48"/>
      <c r="AC183" s="48"/>
    </row>
    <row r="184" spans="1:68" ht="16.5" hidden="1" customHeight="1" x14ac:dyDescent="0.25">
      <c r="A184" s="224" t="s">
        <v>264</v>
      </c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  <c r="AA184" s="193"/>
      <c r="AB184" s="193"/>
      <c r="AC184" s="193"/>
    </row>
    <row r="185" spans="1:68" ht="14.25" hidden="1" customHeight="1" x14ac:dyDescent="0.25">
      <c r="A185" s="210" t="s">
        <v>63</v>
      </c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194"/>
      <c r="AB185" s="194"/>
      <c r="AC185" s="194"/>
    </row>
    <row r="186" spans="1:68" ht="16.5" customHeight="1" x14ac:dyDescent="0.25">
      <c r="A186" s="54" t="s">
        <v>265</v>
      </c>
      <c r="B186" s="54" t="s">
        <v>266</v>
      </c>
      <c r="C186" s="31">
        <v>4301070948</v>
      </c>
      <c r="D186" s="219">
        <v>4607111037022</v>
      </c>
      <c r="E186" s="220"/>
      <c r="F186" s="197">
        <v>0.7</v>
      </c>
      <c r="G186" s="32">
        <v>8</v>
      </c>
      <c r="H186" s="197">
        <v>5.6</v>
      </c>
      <c r="I186" s="197">
        <v>5.87</v>
      </c>
      <c r="J186" s="32">
        <v>84</v>
      </c>
      <c r="K186" s="32" t="s">
        <v>66</v>
      </c>
      <c r="L186" s="32" t="s">
        <v>84</v>
      </c>
      <c r="M186" s="33" t="s">
        <v>68</v>
      </c>
      <c r="N186" s="33"/>
      <c r="O186" s="32">
        <v>180</v>
      </c>
      <c r="P186" s="3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17"/>
      <c r="R186" s="217"/>
      <c r="S186" s="217"/>
      <c r="T186" s="218"/>
      <c r="U186" s="34"/>
      <c r="V186" s="34"/>
      <c r="W186" s="35" t="s">
        <v>69</v>
      </c>
      <c r="X186" s="198">
        <v>84</v>
      </c>
      <c r="Y186" s="199">
        <f>IFERROR(IF(X186="","",X186),"")</f>
        <v>84</v>
      </c>
      <c r="Z186" s="36">
        <f>IFERROR(IF(X186="","",X186*0.0155),"")</f>
        <v>1.302</v>
      </c>
      <c r="AA186" s="56"/>
      <c r="AB186" s="57"/>
      <c r="AC186" s="68"/>
      <c r="AG186" s="67"/>
      <c r="AJ186" s="69" t="s">
        <v>85</v>
      </c>
      <c r="AK186" s="69">
        <v>84</v>
      </c>
      <c r="BB186" s="140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4301070990</v>
      </c>
      <c r="D187" s="219">
        <v>4607111038494</v>
      </c>
      <c r="E187" s="220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17"/>
      <c r="R187" s="217"/>
      <c r="S187" s="217"/>
      <c r="T187" s="218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4301070966</v>
      </c>
      <c r="D188" s="219">
        <v>4607111038135</v>
      </c>
      <c r="E188" s="220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3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17"/>
      <c r="R188" s="217"/>
      <c r="S188" s="217"/>
      <c r="T188" s="218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97</v>
      </c>
      <c r="AK188" s="69">
        <v>12</v>
      </c>
      <c r="BB188" s="142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25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26"/>
      <c r="P189" s="202" t="s">
        <v>71</v>
      </c>
      <c r="Q189" s="203"/>
      <c r="R189" s="203"/>
      <c r="S189" s="203"/>
      <c r="T189" s="203"/>
      <c r="U189" s="203"/>
      <c r="V189" s="204"/>
      <c r="W189" s="37" t="s">
        <v>69</v>
      </c>
      <c r="X189" s="200">
        <f>IFERROR(SUM(X186:X188),"0")</f>
        <v>84</v>
      </c>
      <c r="Y189" s="200">
        <f>IFERROR(SUM(Y186:Y188),"0")</f>
        <v>84</v>
      </c>
      <c r="Z189" s="200">
        <f>IFERROR(IF(Z186="",0,Z186),"0")+IFERROR(IF(Z187="",0,Z187),"0")+IFERROR(IF(Z188="",0,Z188),"0")</f>
        <v>1.302</v>
      </c>
      <c r="AA189" s="201"/>
      <c r="AB189" s="201"/>
      <c r="AC189" s="201"/>
    </row>
    <row r="190" spans="1:68" x14ac:dyDescent="0.2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26"/>
      <c r="P190" s="202" t="s">
        <v>71</v>
      </c>
      <c r="Q190" s="203"/>
      <c r="R190" s="203"/>
      <c r="S190" s="203"/>
      <c r="T190" s="203"/>
      <c r="U190" s="203"/>
      <c r="V190" s="204"/>
      <c r="W190" s="37" t="s">
        <v>72</v>
      </c>
      <c r="X190" s="200">
        <f>IFERROR(SUMPRODUCT(X186:X188*H186:H188),"0")</f>
        <v>470.4</v>
      </c>
      <c r="Y190" s="200">
        <f>IFERROR(SUMPRODUCT(Y186:Y188*H186:H188),"0")</f>
        <v>470.4</v>
      </c>
      <c r="Z190" s="37"/>
      <c r="AA190" s="201"/>
      <c r="AB190" s="201"/>
      <c r="AC190" s="201"/>
    </row>
    <row r="191" spans="1:68" ht="16.5" hidden="1" customHeight="1" x14ac:dyDescent="0.25">
      <c r="A191" s="224" t="s">
        <v>271</v>
      </c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193"/>
      <c r="AB191" s="193"/>
      <c r="AC191" s="193"/>
    </row>
    <row r="192" spans="1:68" ht="14.25" hidden="1" customHeight="1" x14ac:dyDescent="0.25">
      <c r="A192" s="210" t="s">
        <v>63</v>
      </c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194"/>
      <c r="AB192" s="194"/>
      <c r="AC192" s="194"/>
    </row>
    <row r="193" spans="1:68" ht="27" hidden="1" customHeight="1" x14ac:dyDescent="0.25">
      <c r="A193" s="54" t="s">
        <v>272</v>
      </c>
      <c r="B193" s="54" t="s">
        <v>273</v>
      </c>
      <c r="C193" s="31">
        <v>4301070996</v>
      </c>
      <c r="D193" s="219">
        <v>4607111038654</v>
      </c>
      <c r="E193" s="220"/>
      <c r="F193" s="197">
        <v>0.4</v>
      </c>
      <c r="G193" s="32">
        <v>16</v>
      </c>
      <c r="H193" s="197">
        <v>6.4</v>
      </c>
      <c r="I193" s="19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17"/>
      <c r="R193" s="217"/>
      <c r="S193" s="217"/>
      <c r="T193" s="218"/>
      <c r="U193" s="34"/>
      <c r="V193" s="34"/>
      <c r="W193" s="35" t="s">
        <v>69</v>
      </c>
      <c r="X193" s="198">
        <v>0</v>
      </c>
      <c r="Y193" s="19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3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19">
        <v>4607111038586</v>
      </c>
      <c r="E194" s="220"/>
      <c r="F194" s="197">
        <v>0.7</v>
      </c>
      <c r="G194" s="32">
        <v>8</v>
      </c>
      <c r="H194" s="197">
        <v>5.6</v>
      </c>
      <c r="I194" s="197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2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17"/>
      <c r="R194" s="217"/>
      <c r="S194" s="217"/>
      <c r="T194" s="218"/>
      <c r="U194" s="34"/>
      <c r="V194" s="34"/>
      <c r="W194" s="35" t="s">
        <v>69</v>
      </c>
      <c r="X194" s="198">
        <v>0</v>
      </c>
      <c r="Y194" s="199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97</v>
      </c>
      <c r="AK194" s="69">
        <v>12</v>
      </c>
      <c r="BB194" s="144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19">
        <v>4607111038609</v>
      </c>
      <c r="E195" s="220"/>
      <c r="F195" s="197">
        <v>0.4</v>
      </c>
      <c r="G195" s="32">
        <v>16</v>
      </c>
      <c r="H195" s="197">
        <v>6.4</v>
      </c>
      <c r="I195" s="19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17"/>
      <c r="R195" s="217"/>
      <c r="S195" s="217"/>
      <c r="T195" s="218"/>
      <c r="U195" s="34"/>
      <c r="V195" s="34"/>
      <c r="W195" s="35" t="s">
        <v>69</v>
      </c>
      <c r="X195" s="198">
        <v>0</v>
      </c>
      <c r="Y195" s="199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4301070963</v>
      </c>
      <c r="D196" s="219">
        <v>4607111038630</v>
      </c>
      <c r="E196" s="220"/>
      <c r="F196" s="197">
        <v>0.7</v>
      </c>
      <c r="G196" s="32">
        <v>8</v>
      </c>
      <c r="H196" s="197">
        <v>5.6</v>
      </c>
      <c r="I196" s="1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17"/>
      <c r="R196" s="217"/>
      <c r="S196" s="217"/>
      <c r="T196" s="218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6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19">
        <v>4607111038616</v>
      </c>
      <c r="E197" s="220"/>
      <c r="F197" s="197">
        <v>0.4</v>
      </c>
      <c r="G197" s="32">
        <v>16</v>
      </c>
      <c r="H197" s="197">
        <v>6.4</v>
      </c>
      <c r="I197" s="197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17"/>
      <c r="R197" s="217"/>
      <c r="S197" s="217"/>
      <c r="T197" s="218"/>
      <c r="U197" s="34"/>
      <c r="V197" s="34"/>
      <c r="W197" s="35" t="s">
        <v>69</v>
      </c>
      <c r="X197" s="198">
        <v>0</v>
      </c>
      <c r="Y197" s="199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4301070960</v>
      </c>
      <c r="D198" s="219">
        <v>4607111038623</v>
      </c>
      <c r="E198" s="220"/>
      <c r="F198" s="197">
        <v>0.7</v>
      </c>
      <c r="G198" s="32">
        <v>8</v>
      </c>
      <c r="H198" s="197">
        <v>5.6</v>
      </c>
      <c r="I198" s="197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3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17"/>
      <c r="R198" s="217"/>
      <c r="S198" s="217"/>
      <c r="T198" s="218"/>
      <c r="U198" s="34"/>
      <c r="V198" s="34"/>
      <c r="W198" s="35" t="s">
        <v>69</v>
      </c>
      <c r="X198" s="198">
        <v>36</v>
      </c>
      <c r="Y198" s="199">
        <f t="shared" si="18"/>
        <v>36</v>
      </c>
      <c r="Z198" s="36">
        <f t="shared" si="19"/>
        <v>0.55800000000000005</v>
      </c>
      <c r="AA198" s="56"/>
      <c r="AB198" s="57"/>
      <c r="AC198" s="68"/>
      <c r="AG198" s="67"/>
      <c r="AJ198" s="69" t="s">
        <v>97</v>
      </c>
      <c r="AK198" s="69">
        <v>12</v>
      </c>
      <c r="BB198" s="148" t="s">
        <v>1</v>
      </c>
      <c r="BM198" s="67">
        <f t="shared" si="20"/>
        <v>211.32</v>
      </c>
      <c r="BN198" s="67">
        <f t="shared" si="21"/>
        <v>211.32</v>
      </c>
      <c r="BO198" s="67">
        <f t="shared" si="22"/>
        <v>0.42857142857142855</v>
      </c>
      <c r="BP198" s="67">
        <f t="shared" si="23"/>
        <v>0.42857142857142855</v>
      </c>
    </row>
    <row r="199" spans="1:68" x14ac:dyDescent="0.2">
      <c r="A199" s="225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26"/>
      <c r="P199" s="202" t="s">
        <v>71</v>
      </c>
      <c r="Q199" s="203"/>
      <c r="R199" s="203"/>
      <c r="S199" s="203"/>
      <c r="T199" s="203"/>
      <c r="U199" s="203"/>
      <c r="V199" s="204"/>
      <c r="W199" s="37" t="s">
        <v>69</v>
      </c>
      <c r="X199" s="200">
        <f>IFERROR(SUM(X193:X198),"0")</f>
        <v>36</v>
      </c>
      <c r="Y199" s="200">
        <f>IFERROR(SUM(Y193:Y198),"0")</f>
        <v>36</v>
      </c>
      <c r="Z199" s="200">
        <f>IFERROR(IF(Z193="",0,Z193),"0")+IFERROR(IF(Z194="",0,Z194),"0")+IFERROR(IF(Z195="",0,Z195),"0")+IFERROR(IF(Z196="",0,Z196),"0")+IFERROR(IF(Z197="",0,Z197),"0")+IFERROR(IF(Z198="",0,Z198),"0")</f>
        <v>0.55800000000000005</v>
      </c>
      <c r="AA199" s="201"/>
      <c r="AB199" s="201"/>
      <c r="AC199" s="201"/>
    </row>
    <row r="200" spans="1:68" x14ac:dyDescent="0.2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26"/>
      <c r="P200" s="202" t="s">
        <v>71</v>
      </c>
      <c r="Q200" s="203"/>
      <c r="R200" s="203"/>
      <c r="S200" s="203"/>
      <c r="T200" s="203"/>
      <c r="U200" s="203"/>
      <c r="V200" s="204"/>
      <c r="W200" s="37" t="s">
        <v>72</v>
      </c>
      <c r="X200" s="200">
        <f>IFERROR(SUMPRODUCT(X193:X198*H193:H198),"0")</f>
        <v>201.6</v>
      </c>
      <c r="Y200" s="200">
        <f>IFERROR(SUMPRODUCT(Y193:Y198*H193:H198),"0")</f>
        <v>201.6</v>
      </c>
      <c r="Z200" s="37"/>
      <c r="AA200" s="201"/>
      <c r="AB200" s="201"/>
      <c r="AC200" s="201"/>
    </row>
    <row r="201" spans="1:68" ht="16.5" hidden="1" customHeight="1" x14ac:dyDescent="0.25">
      <c r="A201" s="224" t="s">
        <v>284</v>
      </c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  <c r="AA201" s="193"/>
      <c r="AB201" s="193"/>
      <c r="AC201" s="193"/>
    </row>
    <row r="202" spans="1:68" ht="14.25" hidden="1" customHeight="1" x14ac:dyDescent="0.25">
      <c r="A202" s="210" t="s">
        <v>63</v>
      </c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194"/>
      <c r="AB202" s="194"/>
      <c r="AC202" s="194"/>
    </row>
    <row r="203" spans="1:68" ht="27" hidden="1" customHeight="1" x14ac:dyDescent="0.25">
      <c r="A203" s="54" t="s">
        <v>285</v>
      </c>
      <c r="B203" s="54" t="s">
        <v>286</v>
      </c>
      <c r="C203" s="31">
        <v>4301070915</v>
      </c>
      <c r="D203" s="219">
        <v>4607111035882</v>
      </c>
      <c r="E203" s="220"/>
      <c r="F203" s="197">
        <v>0.43</v>
      </c>
      <c r="G203" s="32">
        <v>16</v>
      </c>
      <c r="H203" s="197">
        <v>6.88</v>
      </c>
      <c r="I203" s="19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2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17"/>
      <c r="R203" s="217"/>
      <c r="S203" s="217"/>
      <c r="T203" s="218"/>
      <c r="U203" s="34"/>
      <c r="V203" s="34"/>
      <c r="W203" s="35" t="s">
        <v>69</v>
      </c>
      <c r="X203" s="198">
        <v>0</v>
      </c>
      <c r="Y203" s="199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9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287</v>
      </c>
      <c r="B204" s="54" t="s">
        <v>288</v>
      </c>
      <c r="C204" s="31">
        <v>4301070921</v>
      </c>
      <c r="D204" s="219">
        <v>4607111035905</v>
      </c>
      <c r="E204" s="220"/>
      <c r="F204" s="197">
        <v>0.9</v>
      </c>
      <c r="G204" s="32">
        <v>8</v>
      </c>
      <c r="H204" s="197">
        <v>7.2</v>
      </c>
      <c r="I204" s="19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3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17"/>
      <c r="R204" s="217"/>
      <c r="S204" s="217"/>
      <c r="T204" s="218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50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289</v>
      </c>
      <c r="B205" s="54" t="s">
        <v>290</v>
      </c>
      <c r="C205" s="31">
        <v>4301070917</v>
      </c>
      <c r="D205" s="219">
        <v>4607111035912</v>
      </c>
      <c r="E205" s="220"/>
      <c r="F205" s="197">
        <v>0.43</v>
      </c>
      <c r="G205" s="32">
        <v>16</v>
      </c>
      <c r="H205" s="197">
        <v>6.88</v>
      </c>
      <c r="I205" s="197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17"/>
      <c r="R205" s="217"/>
      <c r="S205" s="217"/>
      <c r="T205" s="218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1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291</v>
      </c>
      <c r="B206" s="54" t="s">
        <v>292</v>
      </c>
      <c r="C206" s="31">
        <v>4301070920</v>
      </c>
      <c r="D206" s="219">
        <v>4607111035929</v>
      </c>
      <c r="E206" s="220"/>
      <c r="F206" s="197">
        <v>0.9</v>
      </c>
      <c r="G206" s="32">
        <v>8</v>
      </c>
      <c r="H206" s="197">
        <v>7.2</v>
      </c>
      <c r="I206" s="197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3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17"/>
      <c r="R206" s="217"/>
      <c r="S206" s="217"/>
      <c r="T206" s="218"/>
      <c r="U206" s="34"/>
      <c r="V206" s="34"/>
      <c r="W206" s="35" t="s">
        <v>69</v>
      </c>
      <c r="X206" s="198">
        <v>36</v>
      </c>
      <c r="Y206" s="199">
        <f>IFERROR(IF(X206="","",X206),"")</f>
        <v>36</v>
      </c>
      <c r="Z206" s="36">
        <f>IFERROR(IF(X206="","",X206*0.0155),"")</f>
        <v>0.55800000000000005</v>
      </c>
      <c r="AA206" s="56"/>
      <c r="AB206" s="57"/>
      <c r="AC206" s="68"/>
      <c r="AG206" s="67"/>
      <c r="AJ206" s="69" t="s">
        <v>97</v>
      </c>
      <c r="AK206" s="69">
        <v>12</v>
      </c>
      <c r="BB206" s="152" t="s">
        <v>1</v>
      </c>
      <c r="BM206" s="67">
        <f>IFERROR(X206*I206,"0")</f>
        <v>268.92</v>
      </c>
      <c r="BN206" s="67">
        <f>IFERROR(Y206*I206,"0")</f>
        <v>268.92</v>
      </c>
      <c r="BO206" s="67">
        <f>IFERROR(X206/J206,"0")</f>
        <v>0.42857142857142855</v>
      </c>
      <c r="BP206" s="67">
        <f>IFERROR(Y206/J206,"0")</f>
        <v>0.42857142857142855</v>
      </c>
    </row>
    <row r="207" spans="1:68" x14ac:dyDescent="0.2">
      <c r="A207" s="225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26"/>
      <c r="P207" s="202" t="s">
        <v>71</v>
      </c>
      <c r="Q207" s="203"/>
      <c r="R207" s="203"/>
      <c r="S207" s="203"/>
      <c r="T207" s="203"/>
      <c r="U207" s="203"/>
      <c r="V207" s="204"/>
      <c r="W207" s="37" t="s">
        <v>69</v>
      </c>
      <c r="X207" s="200">
        <f>IFERROR(SUM(X203:X206),"0")</f>
        <v>36</v>
      </c>
      <c r="Y207" s="200">
        <f>IFERROR(SUM(Y203:Y206),"0")</f>
        <v>36</v>
      </c>
      <c r="Z207" s="200">
        <f>IFERROR(IF(Z203="",0,Z203),"0")+IFERROR(IF(Z204="",0,Z204),"0")+IFERROR(IF(Z205="",0,Z205),"0")+IFERROR(IF(Z206="",0,Z206),"0")</f>
        <v>0.55800000000000005</v>
      </c>
      <c r="AA207" s="201"/>
      <c r="AB207" s="201"/>
      <c r="AC207" s="201"/>
    </row>
    <row r="208" spans="1:68" x14ac:dyDescent="0.2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26"/>
      <c r="P208" s="202" t="s">
        <v>71</v>
      </c>
      <c r="Q208" s="203"/>
      <c r="R208" s="203"/>
      <c r="S208" s="203"/>
      <c r="T208" s="203"/>
      <c r="U208" s="203"/>
      <c r="V208" s="204"/>
      <c r="W208" s="37" t="s">
        <v>72</v>
      </c>
      <c r="X208" s="200">
        <f>IFERROR(SUMPRODUCT(X203:X206*H203:H206),"0")</f>
        <v>259.2</v>
      </c>
      <c r="Y208" s="200">
        <f>IFERROR(SUMPRODUCT(Y203:Y206*H203:H206),"0")</f>
        <v>259.2</v>
      </c>
      <c r="Z208" s="37"/>
      <c r="AA208" s="201"/>
      <c r="AB208" s="201"/>
      <c r="AC208" s="201"/>
    </row>
    <row r="209" spans="1:68" ht="16.5" hidden="1" customHeight="1" x14ac:dyDescent="0.25">
      <c r="A209" s="224" t="s">
        <v>293</v>
      </c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  <c r="AA209" s="193"/>
      <c r="AB209" s="193"/>
      <c r="AC209" s="193"/>
    </row>
    <row r="210" spans="1:68" ht="14.25" hidden="1" customHeight="1" x14ac:dyDescent="0.25">
      <c r="A210" s="210" t="s">
        <v>253</v>
      </c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194"/>
      <c r="AB210" s="194"/>
      <c r="AC210" s="194"/>
    </row>
    <row r="211" spans="1:68" ht="27" hidden="1" customHeight="1" x14ac:dyDescent="0.25">
      <c r="A211" s="54" t="s">
        <v>294</v>
      </c>
      <c r="B211" s="54" t="s">
        <v>295</v>
      </c>
      <c r="C211" s="31">
        <v>4301051320</v>
      </c>
      <c r="D211" s="219">
        <v>4680115881334</v>
      </c>
      <c r="E211" s="220"/>
      <c r="F211" s="197">
        <v>0.33</v>
      </c>
      <c r="G211" s="32">
        <v>6</v>
      </c>
      <c r="H211" s="197">
        <v>1.98</v>
      </c>
      <c r="I211" s="197">
        <v>2.27</v>
      </c>
      <c r="J211" s="32">
        <v>156</v>
      </c>
      <c r="K211" s="32" t="s">
        <v>66</v>
      </c>
      <c r="L211" s="32" t="s">
        <v>67</v>
      </c>
      <c r="M211" s="33" t="s">
        <v>257</v>
      </c>
      <c r="N211" s="33"/>
      <c r="O211" s="32">
        <v>365</v>
      </c>
      <c r="P211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17"/>
      <c r="R211" s="217"/>
      <c r="S211" s="217"/>
      <c r="T211" s="218"/>
      <c r="U211" s="34"/>
      <c r="V211" s="34"/>
      <c r="W211" s="35" t="s">
        <v>69</v>
      </c>
      <c r="X211" s="198">
        <v>0</v>
      </c>
      <c r="Y211" s="199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 t="s">
        <v>70</v>
      </c>
      <c r="AK211" s="69">
        <v>1</v>
      </c>
      <c r="BB211" s="153" t="s">
        <v>259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25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26"/>
      <c r="P212" s="202" t="s">
        <v>71</v>
      </c>
      <c r="Q212" s="203"/>
      <c r="R212" s="203"/>
      <c r="S212" s="203"/>
      <c r="T212" s="203"/>
      <c r="U212" s="203"/>
      <c r="V212" s="204"/>
      <c r="W212" s="37" t="s">
        <v>69</v>
      </c>
      <c r="X212" s="200">
        <f>IFERROR(SUM(X211:X211),"0")</f>
        <v>0</v>
      </c>
      <c r="Y212" s="200">
        <f>IFERROR(SUM(Y211:Y211),"0")</f>
        <v>0</v>
      </c>
      <c r="Z212" s="200">
        <f>IFERROR(IF(Z211="",0,Z211),"0")</f>
        <v>0</v>
      </c>
      <c r="AA212" s="201"/>
      <c r="AB212" s="201"/>
      <c r="AC212" s="201"/>
    </row>
    <row r="213" spans="1:68" hidden="1" x14ac:dyDescent="0.2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26"/>
      <c r="P213" s="202" t="s">
        <v>71</v>
      </c>
      <c r="Q213" s="203"/>
      <c r="R213" s="203"/>
      <c r="S213" s="203"/>
      <c r="T213" s="203"/>
      <c r="U213" s="203"/>
      <c r="V213" s="204"/>
      <c r="W213" s="37" t="s">
        <v>72</v>
      </c>
      <c r="X213" s="200">
        <f>IFERROR(SUMPRODUCT(X211:X211*H211:H211),"0")</f>
        <v>0</v>
      </c>
      <c r="Y213" s="200">
        <f>IFERROR(SUMPRODUCT(Y211:Y211*H211:H211),"0")</f>
        <v>0</v>
      </c>
      <c r="Z213" s="37"/>
      <c r="AA213" s="201"/>
      <c r="AB213" s="201"/>
      <c r="AC213" s="201"/>
    </row>
    <row r="214" spans="1:68" ht="16.5" hidden="1" customHeight="1" x14ac:dyDescent="0.25">
      <c r="A214" s="224" t="s">
        <v>296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3"/>
      <c r="AB214" s="193"/>
      <c r="AC214" s="193"/>
    </row>
    <row r="215" spans="1:68" ht="14.25" hidden="1" customHeight="1" x14ac:dyDescent="0.25">
      <c r="A215" s="210" t="s">
        <v>63</v>
      </c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  <c r="AA215" s="194"/>
      <c r="AB215" s="194"/>
      <c r="AC215" s="194"/>
    </row>
    <row r="216" spans="1:68" ht="16.5" hidden="1" customHeight="1" x14ac:dyDescent="0.25">
      <c r="A216" s="54" t="s">
        <v>297</v>
      </c>
      <c r="B216" s="54" t="s">
        <v>298</v>
      </c>
      <c r="C216" s="31">
        <v>4301071063</v>
      </c>
      <c r="D216" s="219">
        <v>4607111039019</v>
      </c>
      <c r="E216" s="220"/>
      <c r="F216" s="197">
        <v>0.43</v>
      </c>
      <c r="G216" s="32">
        <v>16</v>
      </c>
      <c r="H216" s="197">
        <v>6.88</v>
      </c>
      <c r="I216" s="197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31" t="s">
        <v>299</v>
      </c>
      <c r="Q216" s="217"/>
      <c r="R216" s="217"/>
      <c r="S216" s="217"/>
      <c r="T216" s="218"/>
      <c r="U216" s="34"/>
      <c r="V216" s="34"/>
      <c r="W216" s="35" t="s">
        <v>69</v>
      </c>
      <c r="X216" s="198">
        <v>0</v>
      </c>
      <c r="Y216" s="199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70</v>
      </c>
      <c r="AK216" s="69">
        <v>1</v>
      </c>
      <c r="BB216" s="154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300</v>
      </c>
      <c r="B217" s="54" t="s">
        <v>301</v>
      </c>
      <c r="C217" s="31">
        <v>4301071000</v>
      </c>
      <c r="D217" s="219">
        <v>4607111038708</v>
      </c>
      <c r="E217" s="220"/>
      <c r="F217" s="197">
        <v>0.8</v>
      </c>
      <c r="G217" s="32">
        <v>8</v>
      </c>
      <c r="H217" s="197">
        <v>6.4</v>
      </c>
      <c r="I217" s="197">
        <v>6.67</v>
      </c>
      <c r="J217" s="32">
        <v>84</v>
      </c>
      <c r="K217" s="32" t="s">
        <v>66</v>
      </c>
      <c r="L217" s="32" t="s">
        <v>96</v>
      </c>
      <c r="M217" s="33" t="s">
        <v>68</v>
      </c>
      <c r="N217" s="33"/>
      <c r="O217" s="32">
        <v>180</v>
      </c>
      <c r="P217" s="3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17"/>
      <c r="R217" s="217"/>
      <c r="S217" s="217"/>
      <c r="T217" s="218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97</v>
      </c>
      <c r="AK217" s="69">
        <v>12</v>
      </c>
      <c r="BB217" s="15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25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26"/>
      <c r="P218" s="202" t="s">
        <v>71</v>
      </c>
      <c r="Q218" s="203"/>
      <c r="R218" s="203"/>
      <c r="S218" s="203"/>
      <c r="T218" s="203"/>
      <c r="U218" s="203"/>
      <c r="V218" s="204"/>
      <c r="W218" s="37" t="s">
        <v>69</v>
      </c>
      <c r="X218" s="200">
        <f>IFERROR(SUM(X216:X217),"0")</f>
        <v>0</v>
      </c>
      <c r="Y218" s="200">
        <f>IFERROR(SUM(Y216:Y217),"0")</f>
        <v>0</v>
      </c>
      <c r="Z218" s="200">
        <f>IFERROR(IF(Z216="",0,Z216),"0")+IFERROR(IF(Z217="",0,Z217),"0")</f>
        <v>0</v>
      </c>
      <c r="AA218" s="201"/>
      <c r="AB218" s="201"/>
      <c r="AC218" s="201"/>
    </row>
    <row r="219" spans="1:68" hidden="1" x14ac:dyDescent="0.2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26"/>
      <c r="P219" s="202" t="s">
        <v>71</v>
      </c>
      <c r="Q219" s="203"/>
      <c r="R219" s="203"/>
      <c r="S219" s="203"/>
      <c r="T219" s="203"/>
      <c r="U219" s="203"/>
      <c r="V219" s="204"/>
      <c r="W219" s="37" t="s">
        <v>72</v>
      </c>
      <c r="X219" s="200">
        <f>IFERROR(SUMPRODUCT(X216:X217*H216:H217),"0")</f>
        <v>0</v>
      </c>
      <c r="Y219" s="200">
        <f>IFERROR(SUMPRODUCT(Y216:Y217*H216:H217),"0")</f>
        <v>0</v>
      </c>
      <c r="Z219" s="37"/>
      <c r="AA219" s="201"/>
      <c r="AB219" s="201"/>
      <c r="AC219" s="201"/>
    </row>
    <row r="220" spans="1:68" ht="27.75" hidden="1" customHeight="1" x14ac:dyDescent="0.2">
      <c r="A220" s="208" t="s">
        <v>302</v>
      </c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48"/>
      <c r="AB220" s="48"/>
      <c r="AC220" s="48"/>
    </row>
    <row r="221" spans="1:68" ht="16.5" hidden="1" customHeight="1" x14ac:dyDescent="0.25">
      <c r="A221" s="224" t="s">
        <v>303</v>
      </c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  <c r="AA221" s="193"/>
      <c r="AB221" s="193"/>
      <c r="AC221" s="193"/>
    </row>
    <row r="222" spans="1:68" ht="14.25" hidden="1" customHeight="1" x14ac:dyDescent="0.25">
      <c r="A222" s="210" t="s">
        <v>63</v>
      </c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194"/>
      <c r="AB222" s="194"/>
      <c r="AC222" s="194"/>
    </row>
    <row r="223" spans="1:68" ht="27" hidden="1" customHeight="1" x14ac:dyDescent="0.25">
      <c r="A223" s="54" t="s">
        <v>304</v>
      </c>
      <c r="B223" s="54" t="s">
        <v>305</v>
      </c>
      <c r="C223" s="31">
        <v>4301071036</v>
      </c>
      <c r="D223" s="219">
        <v>4607111036162</v>
      </c>
      <c r="E223" s="220"/>
      <c r="F223" s="197">
        <v>0.8</v>
      </c>
      <c r="G223" s="32">
        <v>8</v>
      </c>
      <c r="H223" s="197">
        <v>6.4</v>
      </c>
      <c r="I223" s="197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283" t="s">
        <v>306</v>
      </c>
      <c r="Q223" s="217"/>
      <c r="R223" s="217"/>
      <c r="S223" s="217"/>
      <c r="T223" s="218"/>
      <c r="U223" s="34"/>
      <c r="V223" s="34"/>
      <c r="W223" s="35" t="s">
        <v>69</v>
      </c>
      <c r="X223" s="198">
        <v>0</v>
      </c>
      <c r="Y223" s="199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70</v>
      </c>
      <c r="AK223" s="69">
        <v>1</v>
      </c>
      <c r="BB223" s="156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25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26"/>
      <c r="P224" s="202" t="s">
        <v>71</v>
      </c>
      <c r="Q224" s="203"/>
      <c r="R224" s="203"/>
      <c r="S224" s="203"/>
      <c r="T224" s="203"/>
      <c r="U224" s="203"/>
      <c r="V224" s="204"/>
      <c r="W224" s="37" t="s">
        <v>69</v>
      </c>
      <c r="X224" s="200">
        <f>IFERROR(SUM(X223:X223),"0")</f>
        <v>0</v>
      </c>
      <c r="Y224" s="200">
        <f>IFERROR(SUM(Y223:Y223),"0")</f>
        <v>0</v>
      </c>
      <c r="Z224" s="200">
        <f>IFERROR(IF(Z223="",0,Z223),"0")</f>
        <v>0</v>
      </c>
      <c r="AA224" s="201"/>
      <c r="AB224" s="201"/>
      <c r="AC224" s="201"/>
    </row>
    <row r="225" spans="1:68" hidden="1" x14ac:dyDescent="0.2">
      <c r="A225" s="211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26"/>
      <c r="P225" s="202" t="s">
        <v>71</v>
      </c>
      <c r="Q225" s="203"/>
      <c r="R225" s="203"/>
      <c r="S225" s="203"/>
      <c r="T225" s="203"/>
      <c r="U225" s="203"/>
      <c r="V225" s="204"/>
      <c r="W225" s="37" t="s">
        <v>72</v>
      </c>
      <c r="X225" s="200">
        <f>IFERROR(SUMPRODUCT(X223:X223*H223:H223),"0")</f>
        <v>0</v>
      </c>
      <c r="Y225" s="200">
        <f>IFERROR(SUMPRODUCT(Y223:Y223*H223:H223),"0")</f>
        <v>0</v>
      </c>
      <c r="Z225" s="37"/>
      <c r="AA225" s="201"/>
      <c r="AB225" s="201"/>
      <c r="AC225" s="201"/>
    </row>
    <row r="226" spans="1:68" ht="27.75" hidden="1" customHeight="1" x14ac:dyDescent="0.2">
      <c r="A226" s="208" t="s">
        <v>307</v>
      </c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209"/>
      <c r="AA226" s="48"/>
      <c r="AB226" s="48"/>
      <c r="AC226" s="48"/>
    </row>
    <row r="227" spans="1:68" ht="16.5" hidden="1" customHeight="1" x14ac:dyDescent="0.25">
      <c r="A227" s="224" t="s">
        <v>308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3"/>
      <c r="AB227" s="193"/>
      <c r="AC227" s="193"/>
    </row>
    <row r="228" spans="1:68" ht="14.25" hidden="1" customHeight="1" x14ac:dyDescent="0.25">
      <c r="A228" s="210" t="s">
        <v>63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194"/>
      <c r="AB228" s="194"/>
      <c r="AC228" s="194"/>
    </row>
    <row r="229" spans="1:68" ht="27" hidden="1" customHeight="1" x14ac:dyDescent="0.25">
      <c r="A229" s="54" t="s">
        <v>309</v>
      </c>
      <c r="B229" s="54" t="s">
        <v>310</v>
      </c>
      <c r="C229" s="31">
        <v>4301071029</v>
      </c>
      <c r="D229" s="219">
        <v>4607111035899</v>
      </c>
      <c r="E229" s="220"/>
      <c r="F229" s="197">
        <v>1</v>
      </c>
      <c r="G229" s="32">
        <v>5</v>
      </c>
      <c r="H229" s="197">
        <v>5</v>
      </c>
      <c r="I229" s="197">
        <v>5.2619999999999996</v>
      </c>
      <c r="J229" s="32">
        <v>84</v>
      </c>
      <c r="K229" s="32" t="s">
        <v>66</v>
      </c>
      <c r="L229" s="32" t="s">
        <v>84</v>
      </c>
      <c r="M229" s="33" t="s">
        <v>68</v>
      </c>
      <c r="N229" s="33"/>
      <c r="O229" s="32">
        <v>180</v>
      </c>
      <c r="P229" s="33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17"/>
      <c r="R229" s="217"/>
      <c r="S229" s="217"/>
      <c r="T229" s="218"/>
      <c r="U229" s="34"/>
      <c r="V229" s="34"/>
      <c r="W229" s="35" t="s">
        <v>69</v>
      </c>
      <c r="X229" s="198">
        <v>0</v>
      </c>
      <c r="Y229" s="199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85</v>
      </c>
      <c r="AK229" s="69">
        <v>84</v>
      </c>
      <c r="BB229" s="15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311</v>
      </c>
      <c r="B230" s="54" t="s">
        <v>312</v>
      </c>
      <c r="C230" s="31">
        <v>4301070991</v>
      </c>
      <c r="D230" s="219">
        <v>4607111038180</v>
      </c>
      <c r="E230" s="220"/>
      <c r="F230" s="197">
        <v>0.4</v>
      </c>
      <c r="G230" s="32">
        <v>16</v>
      </c>
      <c r="H230" s="197">
        <v>6.4</v>
      </c>
      <c r="I230" s="197">
        <v>6.71</v>
      </c>
      <c r="J230" s="32">
        <v>84</v>
      </c>
      <c r="K230" s="32" t="s">
        <v>66</v>
      </c>
      <c r="L230" s="32" t="s">
        <v>96</v>
      </c>
      <c r="M230" s="33" t="s">
        <v>68</v>
      </c>
      <c r="N230" s="33"/>
      <c r="O230" s="32">
        <v>180</v>
      </c>
      <c r="P23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217"/>
      <c r="R230" s="217"/>
      <c r="S230" s="217"/>
      <c r="T230" s="218"/>
      <c r="U230" s="34"/>
      <c r="V230" s="34"/>
      <c r="W230" s="35" t="s">
        <v>69</v>
      </c>
      <c r="X230" s="198">
        <v>0</v>
      </c>
      <c r="Y230" s="199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97</v>
      </c>
      <c r="AK230" s="69">
        <v>12</v>
      </c>
      <c r="BB230" s="158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25"/>
      <c r="B231" s="211"/>
      <c r="C231" s="211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26"/>
      <c r="P231" s="202" t="s">
        <v>71</v>
      </c>
      <c r="Q231" s="203"/>
      <c r="R231" s="203"/>
      <c r="S231" s="203"/>
      <c r="T231" s="203"/>
      <c r="U231" s="203"/>
      <c r="V231" s="204"/>
      <c r="W231" s="37" t="s">
        <v>69</v>
      </c>
      <c r="X231" s="200">
        <f>IFERROR(SUM(X229:X230),"0")</f>
        <v>0</v>
      </c>
      <c r="Y231" s="200">
        <f>IFERROR(SUM(Y229:Y230),"0")</f>
        <v>0</v>
      </c>
      <c r="Z231" s="200">
        <f>IFERROR(IF(Z229="",0,Z229),"0")+IFERROR(IF(Z230="",0,Z230),"0")</f>
        <v>0</v>
      </c>
      <c r="AA231" s="201"/>
      <c r="AB231" s="201"/>
      <c r="AC231" s="201"/>
    </row>
    <row r="232" spans="1:68" hidden="1" x14ac:dyDescent="0.2">
      <c r="A232" s="211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26"/>
      <c r="P232" s="202" t="s">
        <v>71</v>
      </c>
      <c r="Q232" s="203"/>
      <c r="R232" s="203"/>
      <c r="S232" s="203"/>
      <c r="T232" s="203"/>
      <c r="U232" s="203"/>
      <c r="V232" s="204"/>
      <c r="W232" s="37" t="s">
        <v>72</v>
      </c>
      <c r="X232" s="200">
        <f>IFERROR(SUMPRODUCT(X229:X230*H229:H230),"0")</f>
        <v>0</v>
      </c>
      <c r="Y232" s="200">
        <f>IFERROR(SUMPRODUCT(Y229:Y230*H229:H230),"0")</f>
        <v>0</v>
      </c>
      <c r="Z232" s="37"/>
      <c r="AA232" s="201"/>
      <c r="AB232" s="201"/>
      <c r="AC232" s="201"/>
    </row>
    <row r="233" spans="1:68" ht="27.75" hidden="1" customHeight="1" x14ac:dyDescent="0.2">
      <c r="A233" s="208" t="s">
        <v>313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  <c r="AA233" s="48"/>
      <c r="AB233" s="48"/>
      <c r="AC233" s="48"/>
    </row>
    <row r="234" spans="1:68" ht="16.5" hidden="1" customHeight="1" x14ac:dyDescent="0.25">
      <c r="A234" s="224" t="s">
        <v>314</v>
      </c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  <c r="AA234" s="193"/>
      <c r="AB234" s="193"/>
      <c r="AC234" s="193"/>
    </row>
    <row r="235" spans="1:68" ht="14.25" hidden="1" customHeight="1" x14ac:dyDescent="0.25">
      <c r="A235" s="210" t="s">
        <v>142</v>
      </c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  <c r="AA235" s="194"/>
      <c r="AB235" s="194"/>
      <c r="AC235" s="194"/>
    </row>
    <row r="236" spans="1:68" ht="37.5" hidden="1" customHeight="1" x14ac:dyDescent="0.25">
      <c r="A236" s="54" t="s">
        <v>315</v>
      </c>
      <c r="B236" s="54" t="s">
        <v>316</v>
      </c>
      <c r="C236" s="31">
        <v>4301135400</v>
      </c>
      <c r="D236" s="219">
        <v>4607111039361</v>
      </c>
      <c r="E236" s="220"/>
      <c r="F236" s="197">
        <v>0.25</v>
      </c>
      <c r="G236" s="32">
        <v>12</v>
      </c>
      <c r="H236" s="197">
        <v>3</v>
      </c>
      <c r="I236" s="197">
        <v>3.7035999999999998</v>
      </c>
      <c r="J236" s="32">
        <v>70</v>
      </c>
      <c r="K236" s="32" t="s">
        <v>78</v>
      </c>
      <c r="L236" s="32" t="s">
        <v>67</v>
      </c>
      <c r="M236" s="33" t="s">
        <v>68</v>
      </c>
      <c r="N236" s="33"/>
      <c r="O236" s="32">
        <v>180</v>
      </c>
      <c r="P236" s="247" t="s">
        <v>317</v>
      </c>
      <c r="Q236" s="217"/>
      <c r="R236" s="217"/>
      <c r="S236" s="217"/>
      <c r="T236" s="218"/>
      <c r="U236" s="34"/>
      <c r="V236" s="34"/>
      <c r="W236" s="35" t="s">
        <v>69</v>
      </c>
      <c r="X236" s="198">
        <v>0</v>
      </c>
      <c r="Y236" s="199">
        <f>IFERROR(IF(X236="","",X236),"")</f>
        <v>0</v>
      </c>
      <c r="Z236" s="36">
        <f>IFERROR(IF(X236="","",X236*0.01788),"")</f>
        <v>0</v>
      </c>
      <c r="AA236" s="56"/>
      <c r="AB236" s="57"/>
      <c r="AC236" s="68"/>
      <c r="AG236" s="67"/>
      <c r="AJ236" s="69" t="s">
        <v>70</v>
      </c>
      <c r="AK236" s="69">
        <v>1</v>
      </c>
      <c r="BB236" s="159" t="s">
        <v>79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2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26"/>
      <c r="P237" s="202" t="s">
        <v>71</v>
      </c>
      <c r="Q237" s="203"/>
      <c r="R237" s="203"/>
      <c r="S237" s="203"/>
      <c r="T237" s="203"/>
      <c r="U237" s="203"/>
      <c r="V237" s="204"/>
      <c r="W237" s="37" t="s">
        <v>69</v>
      </c>
      <c r="X237" s="200">
        <f>IFERROR(SUM(X236:X236),"0")</f>
        <v>0</v>
      </c>
      <c r="Y237" s="200">
        <f>IFERROR(SUM(Y236:Y236),"0")</f>
        <v>0</v>
      </c>
      <c r="Z237" s="200">
        <f>IFERROR(IF(Z236="",0,Z236),"0")</f>
        <v>0</v>
      </c>
      <c r="AA237" s="201"/>
      <c r="AB237" s="201"/>
      <c r="AC237" s="201"/>
    </row>
    <row r="238" spans="1:68" hidden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26"/>
      <c r="P238" s="202" t="s">
        <v>71</v>
      </c>
      <c r="Q238" s="203"/>
      <c r="R238" s="203"/>
      <c r="S238" s="203"/>
      <c r="T238" s="203"/>
      <c r="U238" s="203"/>
      <c r="V238" s="204"/>
      <c r="W238" s="37" t="s">
        <v>72</v>
      </c>
      <c r="X238" s="200">
        <f>IFERROR(SUMPRODUCT(X236:X236*H236:H236),"0")</f>
        <v>0</v>
      </c>
      <c r="Y238" s="200">
        <f>IFERROR(SUMPRODUCT(Y236:Y236*H236:H236),"0")</f>
        <v>0</v>
      </c>
      <c r="Z238" s="37"/>
      <c r="AA238" s="201"/>
      <c r="AB238" s="201"/>
      <c r="AC238" s="201"/>
    </row>
    <row r="239" spans="1:68" ht="27.75" hidden="1" customHeight="1" x14ac:dyDescent="0.2">
      <c r="A239" s="208" t="s">
        <v>223</v>
      </c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  <c r="AA239" s="48"/>
      <c r="AB239" s="48"/>
      <c r="AC239" s="48"/>
    </row>
    <row r="240" spans="1:68" ht="16.5" hidden="1" customHeight="1" x14ac:dyDescent="0.25">
      <c r="A240" s="224" t="s">
        <v>223</v>
      </c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  <c r="AA240" s="193"/>
      <c r="AB240" s="193"/>
      <c r="AC240" s="193"/>
    </row>
    <row r="241" spans="1:68" ht="14.25" hidden="1" customHeight="1" x14ac:dyDescent="0.25">
      <c r="A241" s="210" t="s">
        <v>63</v>
      </c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194"/>
      <c r="AB241" s="194"/>
      <c r="AC241" s="194"/>
    </row>
    <row r="242" spans="1:68" ht="27" hidden="1" customHeight="1" x14ac:dyDescent="0.25">
      <c r="A242" s="54" t="s">
        <v>318</v>
      </c>
      <c r="B242" s="54" t="s">
        <v>319</v>
      </c>
      <c r="C242" s="31">
        <v>4301071014</v>
      </c>
      <c r="D242" s="219">
        <v>4640242181264</v>
      </c>
      <c r="E242" s="220"/>
      <c r="F242" s="197">
        <v>0.7</v>
      </c>
      <c r="G242" s="32">
        <v>10</v>
      </c>
      <c r="H242" s="197">
        <v>7</v>
      </c>
      <c r="I242" s="197">
        <v>7.28</v>
      </c>
      <c r="J242" s="32">
        <v>84</v>
      </c>
      <c r="K242" s="32" t="s">
        <v>66</v>
      </c>
      <c r="L242" s="32" t="s">
        <v>96</v>
      </c>
      <c r="M242" s="33" t="s">
        <v>68</v>
      </c>
      <c r="N242" s="33"/>
      <c r="O242" s="32">
        <v>180</v>
      </c>
      <c r="P242" s="265" t="s">
        <v>320</v>
      </c>
      <c r="Q242" s="217"/>
      <c r="R242" s="217"/>
      <c r="S242" s="217"/>
      <c r="T242" s="218"/>
      <c r="U242" s="34"/>
      <c r="V242" s="34"/>
      <c r="W242" s="35" t="s">
        <v>69</v>
      </c>
      <c r="X242" s="198">
        <v>0</v>
      </c>
      <c r="Y242" s="199">
        <f>IFERROR(IF(X242="","",X242),"")</f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97</v>
      </c>
      <c r="AK242" s="69">
        <v>12</v>
      </c>
      <c r="BB242" s="160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321</v>
      </c>
      <c r="B243" s="54" t="s">
        <v>322</v>
      </c>
      <c r="C243" s="31">
        <v>4301071021</v>
      </c>
      <c r="D243" s="219">
        <v>4640242181325</v>
      </c>
      <c r="E243" s="220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96</v>
      </c>
      <c r="M243" s="33" t="s">
        <v>68</v>
      </c>
      <c r="N243" s="33"/>
      <c r="O243" s="32">
        <v>180</v>
      </c>
      <c r="P243" s="413" t="s">
        <v>323</v>
      </c>
      <c r="Q243" s="217"/>
      <c r="R243" s="217"/>
      <c r="S243" s="217"/>
      <c r="T243" s="218"/>
      <c r="U243" s="34"/>
      <c r="V243" s="34"/>
      <c r="W243" s="35" t="s">
        <v>69</v>
      </c>
      <c r="X243" s="198">
        <v>0</v>
      </c>
      <c r="Y243" s="199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97</v>
      </c>
      <c r="AK243" s="69">
        <v>12</v>
      </c>
      <c r="BB243" s="16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324</v>
      </c>
      <c r="B244" s="54" t="s">
        <v>325</v>
      </c>
      <c r="C244" s="31">
        <v>4301070993</v>
      </c>
      <c r="D244" s="219">
        <v>4640242180670</v>
      </c>
      <c r="E244" s="220"/>
      <c r="F244" s="197">
        <v>1</v>
      </c>
      <c r="G244" s="32">
        <v>6</v>
      </c>
      <c r="H244" s="197">
        <v>6</v>
      </c>
      <c r="I244" s="197">
        <v>6.23</v>
      </c>
      <c r="J244" s="32">
        <v>84</v>
      </c>
      <c r="K244" s="32" t="s">
        <v>66</v>
      </c>
      <c r="L244" s="32" t="s">
        <v>96</v>
      </c>
      <c r="M244" s="33" t="s">
        <v>68</v>
      </c>
      <c r="N244" s="33"/>
      <c r="O244" s="32">
        <v>180</v>
      </c>
      <c r="P244" s="221" t="s">
        <v>326</v>
      </c>
      <c r="Q244" s="217"/>
      <c r="R244" s="217"/>
      <c r="S244" s="217"/>
      <c r="T244" s="218"/>
      <c r="U244" s="34"/>
      <c r="V244" s="34"/>
      <c r="W244" s="35" t="s">
        <v>69</v>
      </c>
      <c r="X244" s="198">
        <v>0</v>
      </c>
      <c r="Y244" s="199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97</v>
      </c>
      <c r="AK244" s="69">
        <v>12</v>
      </c>
      <c r="BB244" s="162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25"/>
      <c r="B245" s="211"/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26"/>
      <c r="P245" s="202" t="s">
        <v>71</v>
      </c>
      <c r="Q245" s="203"/>
      <c r="R245" s="203"/>
      <c r="S245" s="203"/>
      <c r="T245" s="203"/>
      <c r="U245" s="203"/>
      <c r="V245" s="204"/>
      <c r="W245" s="37" t="s">
        <v>69</v>
      </c>
      <c r="X245" s="200">
        <f>IFERROR(SUM(X242:X244),"0")</f>
        <v>0</v>
      </c>
      <c r="Y245" s="200">
        <f>IFERROR(SUM(Y242:Y244),"0")</f>
        <v>0</v>
      </c>
      <c r="Z245" s="200">
        <f>IFERROR(IF(Z242="",0,Z242),"0")+IFERROR(IF(Z243="",0,Z243),"0")+IFERROR(IF(Z244="",0,Z244),"0")</f>
        <v>0</v>
      </c>
      <c r="AA245" s="201"/>
      <c r="AB245" s="201"/>
      <c r="AC245" s="201"/>
    </row>
    <row r="246" spans="1:68" hidden="1" x14ac:dyDescent="0.2">
      <c r="A246" s="211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26"/>
      <c r="P246" s="202" t="s">
        <v>71</v>
      </c>
      <c r="Q246" s="203"/>
      <c r="R246" s="203"/>
      <c r="S246" s="203"/>
      <c r="T246" s="203"/>
      <c r="U246" s="203"/>
      <c r="V246" s="204"/>
      <c r="W246" s="37" t="s">
        <v>72</v>
      </c>
      <c r="X246" s="200">
        <f>IFERROR(SUMPRODUCT(X242:X244*H242:H244),"0")</f>
        <v>0</v>
      </c>
      <c r="Y246" s="200">
        <f>IFERROR(SUMPRODUCT(Y242:Y244*H242:H244),"0")</f>
        <v>0</v>
      </c>
      <c r="Z246" s="37"/>
      <c r="AA246" s="201"/>
      <c r="AB246" s="201"/>
      <c r="AC246" s="201"/>
    </row>
    <row r="247" spans="1:68" ht="14.25" hidden="1" customHeight="1" x14ac:dyDescent="0.25">
      <c r="A247" s="210" t="s">
        <v>146</v>
      </c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  <c r="AA247" s="194"/>
      <c r="AB247" s="194"/>
      <c r="AC247" s="194"/>
    </row>
    <row r="248" spans="1:68" ht="27" hidden="1" customHeight="1" x14ac:dyDescent="0.25">
      <c r="A248" s="54" t="s">
        <v>327</v>
      </c>
      <c r="B248" s="54" t="s">
        <v>328</v>
      </c>
      <c r="C248" s="31">
        <v>4301131019</v>
      </c>
      <c r="D248" s="219">
        <v>4640242180427</v>
      </c>
      <c r="E248" s="220"/>
      <c r="F248" s="197">
        <v>1.8</v>
      </c>
      <c r="G248" s="32">
        <v>1</v>
      </c>
      <c r="H248" s="197">
        <v>1.8</v>
      </c>
      <c r="I248" s="197">
        <v>1.915</v>
      </c>
      <c r="J248" s="32">
        <v>234</v>
      </c>
      <c r="K248" s="32" t="s">
        <v>138</v>
      </c>
      <c r="L248" s="32" t="s">
        <v>96</v>
      </c>
      <c r="M248" s="33" t="s">
        <v>68</v>
      </c>
      <c r="N248" s="33"/>
      <c r="O248" s="32">
        <v>180</v>
      </c>
      <c r="P248" s="357" t="s">
        <v>329</v>
      </c>
      <c r="Q248" s="217"/>
      <c r="R248" s="217"/>
      <c r="S248" s="217"/>
      <c r="T248" s="218"/>
      <c r="U248" s="34"/>
      <c r="V248" s="34"/>
      <c r="W248" s="35" t="s">
        <v>69</v>
      </c>
      <c r="X248" s="198">
        <v>0</v>
      </c>
      <c r="Y248" s="199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97</v>
      </c>
      <c r="AK248" s="69">
        <v>18</v>
      </c>
      <c r="BB248" s="163" t="s">
        <v>79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25"/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26"/>
      <c r="P249" s="202" t="s">
        <v>71</v>
      </c>
      <c r="Q249" s="203"/>
      <c r="R249" s="203"/>
      <c r="S249" s="203"/>
      <c r="T249" s="203"/>
      <c r="U249" s="203"/>
      <c r="V249" s="204"/>
      <c r="W249" s="37" t="s">
        <v>69</v>
      </c>
      <c r="X249" s="200">
        <f>IFERROR(SUM(X248:X248),"0")</f>
        <v>0</v>
      </c>
      <c r="Y249" s="200">
        <f>IFERROR(SUM(Y248:Y248),"0")</f>
        <v>0</v>
      </c>
      <c r="Z249" s="200">
        <f>IFERROR(IF(Z248="",0,Z248),"0")</f>
        <v>0</v>
      </c>
      <c r="AA249" s="201"/>
      <c r="AB249" s="201"/>
      <c r="AC249" s="201"/>
    </row>
    <row r="250" spans="1:68" hidden="1" x14ac:dyDescent="0.2">
      <c r="A250" s="211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26"/>
      <c r="P250" s="202" t="s">
        <v>71</v>
      </c>
      <c r="Q250" s="203"/>
      <c r="R250" s="203"/>
      <c r="S250" s="203"/>
      <c r="T250" s="203"/>
      <c r="U250" s="203"/>
      <c r="V250" s="204"/>
      <c r="W250" s="37" t="s">
        <v>72</v>
      </c>
      <c r="X250" s="200">
        <f>IFERROR(SUMPRODUCT(X248:X248*H248:H248),"0")</f>
        <v>0</v>
      </c>
      <c r="Y250" s="200">
        <f>IFERROR(SUMPRODUCT(Y248:Y248*H248:H248),"0")</f>
        <v>0</v>
      </c>
      <c r="Z250" s="37"/>
      <c r="AA250" s="201"/>
      <c r="AB250" s="201"/>
      <c r="AC250" s="201"/>
    </row>
    <row r="251" spans="1:68" ht="14.25" hidden="1" customHeight="1" x14ac:dyDescent="0.25">
      <c r="A251" s="210" t="s">
        <v>75</v>
      </c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  <c r="AA251" s="194"/>
      <c r="AB251" s="194"/>
      <c r="AC251" s="194"/>
    </row>
    <row r="252" spans="1:68" ht="27" customHeight="1" x14ac:dyDescent="0.25">
      <c r="A252" s="54" t="s">
        <v>330</v>
      </c>
      <c r="B252" s="54" t="s">
        <v>331</v>
      </c>
      <c r="C252" s="31">
        <v>4301132080</v>
      </c>
      <c r="D252" s="219">
        <v>4640242180397</v>
      </c>
      <c r="E252" s="220"/>
      <c r="F252" s="197">
        <v>1</v>
      </c>
      <c r="G252" s="32">
        <v>6</v>
      </c>
      <c r="H252" s="197">
        <v>6</v>
      </c>
      <c r="I252" s="197">
        <v>6.26</v>
      </c>
      <c r="J252" s="32">
        <v>84</v>
      </c>
      <c r="K252" s="32" t="s">
        <v>66</v>
      </c>
      <c r="L252" s="32" t="s">
        <v>84</v>
      </c>
      <c r="M252" s="33" t="s">
        <v>68</v>
      </c>
      <c r="N252" s="33"/>
      <c r="O252" s="32">
        <v>180</v>
      </c>
      <c r="P252" s="238" t="s">
        <v>332</v>
      </c>
      <c r="Q252" s="217"/>
      <c r="R252" s="217"/>
      <c r="S252" s="217"/>
      <c r="T252" s="218"/>
      <c r="U252" s="34"/>
      <c r="V252" s="34"/>
      <c r="W252" s="35" t="s">
        <v>69</v>
      </c>
      <c r="X252" s="198">
        <v>96</v>
      </c>
      <c r="Y252" s="199">
        <f>IFERROR(IF(X252="","",X252),"")</f>
        <v>96</v>
      </c>
      <c r="Z252" s="36">
        <f>IFERROR(IF(X252="","",X252*0.0155),"")</f>
        <v>1.488</v>
      </c>
      <c r="AA252" s="56"/>
      <c r="AB252" s="57"/>
      <c r="AC252" s="68"/>
      <c r="AG252" s="67"/>
      <c r="AJ252" s="69" t="s">
        <v>85</v>
      </c>
      <c r="AK252" s="69">
        <v>84</v>
      </c>
      <c r="BB252" s="164" t="s">
        <v>79</v>
      </c>
      <c r="BM252" s="67">
        <f>IFERROR(X252*I252,"0")</f>
        <v>600.96</v>
      </c>
      <c r="BN252" s="67">
        <f>IFERROR(Y252*I252,"0")</f>
        <v>600.96</v>
      </c>
      <c r="BO252" s="67">
        <f>IFERROR(X252/J252,"0")</f>
        <v>1.1428571428571428</v>
      </c>
      <c r="BP252" s="67">
        <f>IFERROR(Y252/J252,"0")</f>
        <v>1.1428571428571428</v>
      </c>
    </row>
    <row r="253" spans="1:68" ht="27" hidden="1" customHeight="1" x14ac:dyDescent="0.25">
      <c r="A253" s="54" t="s">
        <v>333</v>
      </c>
      <c r="B253" s="54" t="s">
        <v>334</v>
      </c>
      <c r="C253" s="31">
        <v>4301132104</v>
      </c>
      <c r="D253" s="219">
        <v>4640242181219</v>
      </c>
      <c r="E253" s="220"/>
      <c r="F253" s="197">
        <v>0.3</v>
      </c>
      <c r="G253" s="32">
        <v>9</v>
      </c>
      <c r="H253" s="197">
        <v>2.7</v>
      </c>
      <c r="I253" s="197">
        <v>2.8450000000000002</v>
      </c>
      <c r="J253" s="32">
        <v>234</v>
      </c>
      <c r="K253" s="32" t="s">
        <v>138</v>
      </c>
      <c r="L253" s="32" t="s">
        <v>96</v>
      </c>
      <c r="M253" s="33" t="s">
        <v>68</v>
      </c>
      <c r="N253" s="33"/>
      <c r="O253" s="32">
        <v>180</v>
      </c>
      <c r="P253" s="412" t="s">
        <v>335</v>
      </c>
      <c r="Q253" s="217"/>
      <c r="R253" s="217"/>
      <c r="S253" s="217"/>
      <c r="T253" s="218"/>
      <c r="U253" s="34"/>
      <c r="V253" s="34"/>
      <c r="W253" s="35" t="s">
        <v>69</v>
      </c>
      <c r="X253" s="198">
        <v>0</v>
      </c>
      <c r="Y253" s="199">
        <f>IFERROR(IF(X253="","",X253),"")</f>
        <v>0</v>
      </c>
      <c r="Z253" s="36">
        <f>IFERROR(IF(X253="","",X253*0.00502),"")</f>
        <v>0</v>
      </c>
      <c r="AA253" s="56"/>
      <c r="AB253" s="57"/>
      <c r="AC253" s="68"/>
      <c r="AG253" s="67"/>
      <c r="AJ253" s="69" t="s">
        <v>97</v>
      </c>
      <c r="AK253" s="69">
        <v>18</v>
      </c>
      <c r="BB253" s="165" t="s">
        <v>79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25"/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26"/>
      <c r="P254" s="202" t="s">
        <v>71</v>
      </c>
      <c r="Q254" s="203"/>
      <c r="R254" s="203"/>
      <c r="S254" s="203"/>
      <c r="T254" s="203"/>
      <c r="U254" s="203"/>
      <c r="V254" s="204"/>
      <c r="W254" s="37" t="s">
        <v>69</v>
      </c>
      <c r="X254" s="200">
        <f>IFERROR(SUM(X252:X253),"0")</f>
        <v>96</v>
      </c>
      <c r="Y254" s="200">
        <f>IFERROR(SUM(Y252:Y253),"0")</f>
        <v>96</v>
      </c>
      <c r="Z254" s="200">
        <f>IFERROR(IF(Z252="",0,Z252),"0")+IFERROR(IF(Z253="",0,Z253),"0")</f>
        <v>1.488</v>
      </c>
      <c r="AA254" s="201"/>
      <c r="AB254" s="201"/>
      <c r="AC254" s="201"/>
    </row>
    <row r="255" spans="1:68" x14ac:dyDescent="0.2">
      <c r="A255" s="211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26"/>
      <c r="P255" s="202" t="s">
        <v>71</v>
      </c>
      <c r="Q255" s="203"/>
      <c r="R255" s="203"/>
      <c r="S255" s="203"/>
      <c r="T255" s="203"/>
      <c r="U255" s="203"/>
      <c r="V255" s="204"/>
      <c r="W255" s="37" t="s">
        <v>72</v>
      </c>
      <c r="X255" s="200">
        <f>IFERROR(SUMPRODUCT(X252:X253*H252:H253),"0")</f>
        <v>576</v>
      </c>
      <c r="Y255" s="200">
        <f>IFERROR(SUMPRODUCT(Y252:Y253*H252:H253),"0")</f>
        <v>576</v>
      </c>
      <c r="Z255" s="37"/>
      <c r="AA255" s="201"/>
      <c r="AB255" s="201"/>
      <c r="AC255" s="201"/>
    </row>
    <row r="256" spans="1:68" ht="14.25" hidden="1" customHeight="1" x14ac:dyDescent="0.25">
      <c r="A256" s="210" t="s">
        <v>165</v>
      </c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  <c r="AA256" s="194"/>
      <c r="AB256" s="194"/>
      <c r="AC256" s="194"/>
    </row>
    <row r="257" spans="1:68" ht="27" customHeight="1" x14ac:dyDescent="0.25">
      <c r="A257" s="54" t="s">
        <v>336</v>
      </c>
      <c r="B257" s="54" t="s">
        <v>337</v>
      </c>
      <c r="C257" s="31">
        <v>4301136028</v>
      </c>
      <c r="D257" s="219">
        <v>4640242180304</v>
      </c>
      <c r="E257" s="220"/>
      <c r="F257" s="197">
        <v>2.7</v>
      </c>
      <c r="G257" s="32">
        <v>1</v>
      </c>
      <c r="H257" s="197">
        <v>2.7</v>
      </c>
      <c r="I257" s="197">
        <v>2.8906000000000001</v>
      </c>
      <c r="J257" s="32">
        <v>126</v>
      </c>
      <c r="K257" s="32" t="s">
        <v>78</v>
      </c>
      <c r="L257" s="32" t="s">
        <v>96</v>
      </c>
      <c r="M257" s="33" t="s">
        <v>68</v>
      </c>
      <c r="N257" s="33"/>
      <c r="O257" s="32">
        <v>180</v>
      </c>
      <c r="P257" s="356" t="s">
        <v>338</v>
      </c>
      <c r="Q257" s="217"/>
      <c r="R257" s="217"/>
      <c r="S257" s="217"/>
      <c r="T257" s="218"/>
      <c r="U257" s="34"/>
      <c r="V257" s="34"/>
      <c r="W257" s="35" t="s">
        <v>69</v>
      </c>
      <c r="X257" s="198">
        <v>14</v>
      </c>
      <c r="Y257" s="199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68"/>
      <c r="AG257" s="67"/>
      <c r="AJ257" s="69" t="s">
        <v>97</v>
      </c>
      <c r="AK257" s="69">
        <v>14</v>
      </c>
      <c r="BB257" s="166" t="s">
        <v>79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339</v>
      </c>
      <c r="B258" s="54" t="s">
        <v>340</v>
      </c>
      <c r="C258" s="31">
        <v>4301136026</v>
      </c>
      <c r="D258" s="219">
        <v>4640242180236</v>
      </c>
      <c r="E258" s="220"/>
      <c r="F258" s="197">
        <v>5</v>
      </c>
      <c r="G258" s="32">
        <v>1</v>
      </c>
      <c r="H258" s="197">
        <v>5</v>
      </c>
      <c r="I258" s="197">
        <v>5.2350000000000003</v>
      </c>
      <c r="J258" s="32">
        <v>84</v>
      </c>
      <c r="K258" s="32" t="s">
        <v>66</v>
      </c>
      <c r="L258" s="32" t="s">
        <v>96</v>
      </c>
      <c r="M258" s="33" t="s">
        <v>68</v>
      </c>
      <c r="N258" s="33"/>
      <c r="O258" s="32">
        <v>180</v>
      </c>
      <c r="P258" s="377" t="s">
        <v>341</v>
      </c>
      <c r="Q258" s="217"/>
      <c r="R258" s="217"/>
      <c r="S258" s="217"/>
      <c r="T258" s="218"/>
      <c r="U258" s="34"/>
      <c r="V258" s="34"/>
      <c r="W258" s="35" t="s">
        <v>69</v>
      </c>
      <c r="X258" s="198">
        <v>120</v>
      </c>
      <c r="Y258" s="199">
        <f>IFERROR(IF(X258="","",X258),"")</f>
        <v>120</v>
      </c>
      <c r="Z258" s="36">
        <f>IFERROR(IF(X258="","",X258*0.0155),"")</f>
        <v>1.8599999999999999</v>
      </c>
      <c r="AA258" s="56"/>
      <c r="AB258" s="57"/>
      <c r="AC258" s="68"/>
      <c r="AG258" s="67"/>
      <c r="AJ258" s="69" t="s">
        <v>97</v>
      </c>
      <c r="AK258" s="69">
        <v>12</v>
      </c>
      <c r="BB258" s="167" t="s">
        <v>79</v>
      </c>
      <c r="BM258" s="67">
        <f>IFERROR(X258*I258,"0")</f>
        <v>628.20000000000005</v>
      </c>
      <c r="BN258" s="67">
        <f>IFERROR(Y258*I258,"0")</f>
        <v>628.20000000000005</v>
      </c>
      <c r="BO258" s="67">
        <f>IFERROR(X258/J258,"0")</f>
        <v>1.4285714285714286</v>
      </c>
      <c r="BP258" s="67">
        <f>IFERROR(Y258/J258,"0")</f>
        <v>1.4285714285714286</v>
      </c>
    </row>
    <row r="259" spans="1:68" ht="27" customHeight="1" x14ac:dyDescent="0.25">
      <c r="A259" s="54" t="s">
        <v>342</v>
      </c>
      <c r="B259" s="54" t="s">
        <v>343</v>
      </c>
      <c r="C259" s="31">
        <v>4301136029</v>
      </c>
      <c r="D259" s="219">
        <v>4640242180410</v>
      </c>
      <c r="E259" s="220"/>
      <c r="F259" s="197">
        <v>2.2400000000000002</v>
      </c>
      <c r="G259" s="32">
        <v>1</v>
      </c>
      <c r="H259" s="197">
        <v>2.2400000000000002</v>
      </c>
      <c r="I259" s="197">
        <v>2.4319999999999999</v>
      </c>
      <c r="J259" s="32">
        <v>126</v>
      </c>
      <c r="K259" s="32" t="s">
        <v>78</v>
      </c>
      <c r="L259" s="32" t="s">
        <v>96</v>
      </c>
      <c r="M259" s="33" t="s">
        <v>68</v>
      </c>
      <c r="N259" s="33"/>
      <c r="O259" s="32">
        <v>180</v>
      </c>
      <c r="P259" s="26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17"/>
      <c r="R259" s="217"/>
      <c r="S259" s="217"/>
      <c r="T259" s="218"/>
      <c r="U259" s="34"/>
      <c r="V259" s="34"/>
      <c r="W259" s="35" t="s">
        <v>69</v>
      </c>
      <c r="X259" s="198">
        <v>84</v>
      </c>
      <c r="Y259" s="199">
        <f>IFERROR(IF(X259="","",X259),"")</f>
        <v>84</v>
      </c>
      <c r="Z259" s="36">
        <f>IFERROR(IF(X259="","",X259*0.00936),"")</f>
        <v>0.78624000000000005</v>
      </c>
      <c r="AA259" s="56"/>
      <c r="AB259" s="57"/>
      <c r="AC259" s="68"/>
      <c r="AG259" s="67"/>
      <c r="AJ259" s="69" t="s">
        <v>97</v>
      </c>
      <c r="AK259" s="69">
        <v>14</v>
      </c>
      <c r="BB259" s="168" t="s">
        <v>79</v>
      </c>
      <c r="BM259" s="67">
        <f>IFERROR(X259*I259,"0")</f>
        <v>204.28799999999998</v>
      </c>
      <c r="BN259" s="67">
        <f>IFERROR(Y259*I259,"0")</f>
        <v>204.28799999999998</v>
      </c>
      <c r="BO259" s="67">
        <f>IFERROR(X259/J259,"0")</f>
        <v>0.66666666666666663</v>
      </c>
      <c r="BP259" s="67">
        <f>IFERROR(Y259/J259,"0")</f>
        <v>0.66666666666666663</v>
      </c>
    </row>
    <row r="260" spans="1:68" x14ac:dyDescent="0.2">
      <c r="A260" s="225"/>
      <c r="B260" s="211"/>
      <c r="C260" s="211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26"/>
      <c r="P260" s="202" t="s">
        <v>71</v>
      </c>
      <c r="Q260" s="203"/>
      <c r="R260" s="203"/>
      <c r="S260" s="203"/>
      <c r="T260" s="203"/>
      <c r="U260" s="203"/>
      <c r="V260" s="204"/>
      <c r="W260" s="37" t="s">
        <v>69</v>
      </c>
      <c r="X260" s="200">
        <f>IFERROR(SUM(X257:X259),"0")</f>
        <v>218</v>
      </c>
      <c r="Y260" s="200">
        <f>IFERROR(SUM(Y257:Y259),"0")</f>
        <v>218</v>
      </c>
      <c r="Z260" s="200">
        <f>IFERROR(IF(Z257="",0,Z257),"0")+IFERROR(IF(Z258="",0,Z258),"0")+IFERROR(IF(Z259="",0,Z259),"0")</f>
        <v>2.7772800000000002</v>
      </c>
      <c r="AA260" s="201"/>
      <c r="AB260" s="201"/>
      <c r="AC260" s="201"/>
    </row>
    <row r="261" spans="1:68" x14ac:dyDescent="0.2">
      <c r="A261" s="211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26"/>
      <c r="P261" s="202" t="s">
        <v>71</v>
      </c>
      <c r="Q261" s="203"/>
      <c r="R261" s="203"/>
      <c r="S261" s="203"/>
      <c r="T261" s="203"/>
      <c r="U261" s="203"/>
      <c r="V261" s="204"/>
      <c r="W261" s="37" t="s">
        <v>72</v>
      </c>
      <c r="X261" s="200">
        <f>IFERROR(SUMPRODUCT(X257:X259*H257:H259),"0")</f>
        <v>825.96</v>
      </c>
      <c r="Y261" s="200">
        <f>IFERROR(SUMPRODUCT(Y257:Y259*H257:H259),"0")</f>
        <v>825.96</v>
      </c>
      <c r="Z261" s="37"/>
      <c r="AA261" s="201"/>
      <c r="AB261" s="201"/>
      <c r="AC261" s="201"/>
    </row>
    <row r="262" spans="1:68" ht="14.25" hidden="1" customHeight="1" x14ac:dyDescent="0.25">
      <c r="A262" s="210" t="s">
        <v>142</v>
      </c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  <c r="AA262" s="194"/>
      <c r="AB262" s="194"/>
      <c r="AC262" s="194"/>
    </row>
    <row r="263" spans="1:68" ht="37.5" hidden="1" customHeight="1" x14ac:dyDescent="0.25">
      <c r="A263" s="54" t="s">
        <v>344</v>
      </c>
      <c r="B263" s="54" t="s">
        <v>345</v>
      </c>
      <c r="C263" s="31">
        <v>4301135552</v>
      </c>
      <c r="D263" s="219">
        <v>4640242181431</v>
      </c>
      <c r="E263" s="220"/>
      <c r="F263" s="197">
        <v>3.5</v>
      </c>
      <c r="G263" s="32">
        <v>1</v>
      </c>
      <c r="H263" s="197">
        <v>3.5</v>
      </c>
      <c r="I263" s="197">
        <v>3.6920000000000002</v>
      </c>
      <c r="J263" s="32">
        <v>126</v>
      </c>
      <c r="K263" s="32" t="s">
        <v>78</v>
      </c>
      <c r="L263" s="32" t="s">
        <v>67</v>
      </c>
      <c r="M263" s="33" t="s">
        <v>68</v>
      </c>
      <c r="N263" s="33"/>
      <c r="O263" s="32">
        <v>180</v>
      </c>
      <c r="P263" s="403" t="s">
        <v>346</v>
      </c>
      <c r="Q263" s="217"/>
      <c r="R263" s="217"/>
      <c r="S263" s="217"/>
      <c r="T263" s="218"/>
      <c r="U263" s="34"/>
      <c r="V263" s="34"/>
      <c r="W263" s="35" t="s">
        <v>69</v>
      </c>
      <c r="X263" s="198">
        <v>0</v>
      </c>
      <c r="Y263" s="19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69" t="s">
        <v>79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hidden="1" customHeight="1" x14ac:dyDescent="0.25">
      <c r="A264" s="54" t="s">
        <v>347</v>
      </c>
      <c r="B264" s="54" t="s">
        <v>348</v>
      </c>
      <c r="C264" s="31">
        <v>4301135504</v>
      </c>
      <c r="D264" s="219">
        <v>4640242181554</v>
      </c>
      <c r="E264" s="220"/>
      <c r="F264" s="197">
        <v>3</v>
      </c>
      <c r="G264" s="32">
        <v>1</v>
      </c>
      <c r="H264" s="197">
        <v>3</v>
      </c>
      <c r="I264" s="197">
        <v>3.1920000000000002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305" t="s">
        <v>349</v>
      </c>
      <c r="Q264" s="217"/>
      <c r="R264" s="217"/>
      <c r="S264" s="217"/>
      <c r="T264" s="218"/>
      <c r="U264" s="34"/>
      <c r="V264" s="34"/>
      <c r="W264" s="35" t="s">
        <v>69</v>
      </c>
      <c r="X264" s="198">
        <v>0</v>
      </c>
      <c r="Y264" s="199">
        <f t="shared" si="24"/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0" t="s">
        <v>79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4301135394</v>
      </c>
      <c r="D265" s="219">
        <v>4640242181561</v>
      </c>
      <c r="E265" s="220"/>
      <c r="F265" s="197">
        <v>3.7</v>
      </c>
      <c r="G265" s="32">
        <v>1</v>
      </c>
      <c r="H265" s="197">
        <v>3.7</v>
      </c>
      <c r="I265" s="197">
        <v>3.8919999999999999</v>
      </c>
      <c r="J265" s="32">
        <v>126</v>
      </c>
      <c r="K265" s="32" t="s">
        <v>78</v>
      </c>
      <c r="L265" s="32" t="s">
        <v>96</v>
      </c>
      <c r="M265" s="33" t="s">
        <v>68</v>
      </c>
      <c r="N265" s="33"/>
      <c r="O265" s="32">
        <v>180</v>
      </c>
      <c r="P265" s="250" t="s">
        <v>352</v>
      </c>
      <c r="Q265" s="217"/>
      <c r="R265" s="217"/>
      <c r="S265" s="217"/>
      <c r="T265" s="218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97</v>
      </c>
      <c r="AK265" s="69">
        <v>14</v>
      </c>
      <c r="BB265" s="171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353</v>
      </c>
      <c r="B266" s="54" t="s">
        <v>354</v>
      </c>
      <c r="C266" s="31">
        <v>4301135374</v>
      </c>
      <c r="D266" s="219">
        <v>4640242181424</v>
      </c>
      <c r="E266" s="220"/>
      <c r="F266" s="197">
        <v>5.5</v>
      </c>
      <c r="G266" s="32">
        <v>1</v>
      </c>
      <c r="H266" s="197">
        <v>5.5</v>
      </c>
      <c r="I266" s="197">
        <v>5.7350000000000003</v>
      </c>
      <c r="J266" s="32">
        <v>84</v>
      </c>
      <c r="K266" s="32" t="s">
        <v>66</v>
      </c>
      <c r="L266" s="32" t="s">
        <v>96</v>
      </c>
      <c r="M266" s="33" t="s">
        <v>68</v>
      </c>
      <c r="N266" s="33"/>
      <c r="O266" s="32">
        <v>180</v>
      </c>
      <c r="P266" s="258" t="s">
        <v>355</v>
      </c>
      <c r="Q266" s="217"/>
      <c r="R266" s="217"/>
      <c r="S266" s="217"/>
      <c r="T266" s="218"/>
      <c r="U266" s="34"/>
      <c r="V266" s="34"/>
      <c r="W266" s="35" t="s">
        <v>69</v>
      </c>
      <c r="X266" s="198">
        <v>12</v>
      </c>
      <c r="Y266" s="199">
        <f t="shared" si="24"/>
        <v>12</v>
      </c>
      <c r="Z266" s="36">
        <f>IFERROR(IF(X266="","",X266*0.0155),"")</f>
        <v>0.186</v>
      </c>
      <c r="AA266" s="56"/>
      <c r="AB266" s="57"/>
      <c r="AC266" s="68"/>
      <c r="AG266" s="67"/>
      <c r="AJ266" s="69" t="s">
        <v>97</v>
      </c>
      <c r="AK266" s="69">
        <v>12</v>
      </c>
      <c r="BB266" s="172" t="s">
        <v>79</v>
      </c>
      <c r="BM266" s="67">
        <f t="shared" si="25"/>
        <v>68.820000000000007</v>
      </c>
      <c r="BN266" s="67">
        <f t="shared" si="26"/>
        <v>68.820000000000007</v>
      </c>
      <c r="BO266" s="67">
        <f t="shared" si="27"/>
        <v>0.14285714285714285</v>
      </c>
      <c r="BP266" s="67">
        <f t="shared" si="28"/>
        <v>0.14285714285714285</v>
      </c>
    </row>
    <row r="267" spans="1:68" ht="27" hidden="1" customHeight="1" x14ac:dyDescent="0.25">
      <c r="A267" s="54" t="s">
        <v>356</v>
      </c>
      <c r="B267" s="54" t="s">
        <v>357</v>
      </c>
      <c r="C267" s="31">
        <v>4301135320</v>
      </c>
      <c r="D267" s="219">
        <v>4640242181592</v>
      </c>
      <c r="E267" s="220"/>
      <c r="F267" s="197">
        <v>3.5</v>
      </c>
      <c r="G267" s="32">
        <v>1</v>
      </c>
      <c r="H267" s="197">
        <v>3.5</v>
      </c>
      <c r="I267" s="197">
        <v>3.6850000000000001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27" t="s">
        <v>358</v>
      </c>
      <c r="Q267" s="217"/>
      <c r="R267" s="217"/>
      <c r="S267" s="217"/>
      <c r="T267" s="218"/>
      <c r="U267" s="34"/>
      <c r="V267" s="34"/>
      <c r="W267" s="35" t="s">
        <v>69</v>
      </c>
      <c r="X267" s="198">
        <v>0</v>
      </c>
      <c r="Y267" s="19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3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359</v>
      </c>
      <c r="B268" s="54" t="s">
        <v>360</v>
      </c>
      <c r="C268" s="31">
        <v>4301135405</v>
      </c>
      <c r="D268" s="219">
        <v>4640242181523</v>
      </c>
      <c r="E268" s="220"/>
      <c r="F268" s="197">
        <v>3</v>
      </c>
      <c r="G268" s="32">
        <v>1</v>
      </c>
      <c r="H268" s="197">
        <v>3</v>
      </c>
      <c r="I268" s="197">
        <v>3.1920000000000002</v>
      </c>
      <c r="J268" s="32">
        <v>126</v>
      </c>
      <c r="K268" s="32" t="s">
        <v>78</v>
      </c>
      <c r="L268" s="32" t="s">
        <v>96</v>
      </c>
      <c r="M268" s="33" t="s">
        <v>68</v>
      </c>
      <c r="N268" s="33"/>
      <c r="O268" s="32">
        <v>180</v>
      </c>
      <c r="P268" s="375" t="s">
        <v>361</v>
      </c>
      <c r="Q268" s="217"/>
      <c r="R268" s="217"/>
      <c r="S268" s="217"/>
      <c r="T268" s="218"/>
      <c r="U268" s="34"/>
      <c r="V268" s="34"/>
      <c r="W268" s="35" t="s">
        <v>69</v>
      </c>
      <c r="X268" s="198">
        <v>84</v>
      </c>
      <c r="Y268" s="199">
        <f t="shared" si="24"/>
        <v>84</v>
      </c>
      <c r="Z268" s="36">
        <f t="shared" si="29"/>
        <v>0.78624000000000005</v>
      </c>
      <c r="AA268" s="56"/>
      <c r="AB268" s="57"/>
      <c r="AC268" s="68"/>
      <c r="AG268" s="67"/>
      <c r="AJ268" s="69" t="s">
        <v>97</v>
      </c>
      <c r="AK268" s="69">
        <v>14</v>
      </c>
      <c r="BB268" s="174" t="s">
        <v>79</v>
      </c>
      <c r="BM268" s="67">
        <f t="shared" si="25"/>
        <v>268.12800000000004</v>
      </c>
      <c r="BN268" s="67">
        <f t="shared" si="26"/>
        <v>268.12800000000004</v>
      </c>
      <c r="BO268" s="67">
        <f t="shared" si="27"/>
        <v>0.66666666666666663</v>
      </c>
      <c r="BP268" s="67">
        <f t="shared" si="28"/>
        <v>0.66666666666666663</v>
      </c>
    </row>
    <row r="269" spans="1:68" ht="27" hidden="1" customHeight="1" x14ac:dyDescent="0.25">
      <c r="A269" s="54" t="s">
        <v>362</v>
      </c>
      <c r="B269" s="54" t="s">
        <v>363</v>
      </c>
      <c r="C269" s="31">
        <v>4301135404</v>
      </c>
      <c r="D269" s="219">
        <v>4640242181516</v>
      </c>
      <c r="E269" s="220"/>
      <c r="F269" s="197">
        <v>3.7</v>
      </c>
      <c r="G269" s="32">
        <v>1</v>
      </c>
      <c r="H269" s="197">
        <v>3.7</v>
      </c>
      <c r="I269" s="197">
        <v>3.8919999999999999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4" t="s">
        <v>364</v>
      </c>
      <c r="Q269" s="217"/>
      <c r="R269" s="217"/>
      <c r="S269" s="217"/>
      <c r="T269" s="218"/>
      <c r="U269" s="34"/>
      <c r="V269" s="34"/>
      <c r="W269" s="35" t="s">
        <v>69</v>
      </c>
      <c r="X269" s="198">
        <v>0</v>
      </c>
      <c r="Y269" s="199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5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365</v>
      </c>
      <c r="B270" s="54" t="s">
        <v>366</v>
      </c>
      <c r="C270" s="31">
        <v>4301135402</v>
      </c>
      <c r="D270" s="219">
        <v>4640242181493</v>
      </c>
      <c r="E270" s="220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270" t="s">
        <v>367</v>
      </c>
      <c r="Q270" s="217"/>
      <c r="R270" s="217"/>
      <c r="S270" s="217"/>
      <c r="T270" s="218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6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4301135375</v>
      </c>
      <c r="D271" s="219">
        <v>4640242181486</v>
      </c>
      <c r="E271" s="220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96</v>
      </c>
      <c r="M271" s="33" t="s">
        <v>68</v>
      </c>
      <c r="N271" s="33"/>
      <c r="O271" s="32">
        <v>180</v>
      </c>
      <c r="P271" s="249" t="s">
        <v>370</v>
      </c>
      <c r="Q271" s="217"/>
      <c r="R271" s="217"/>
      <c r="S271" s="217"/>
      <c r="T271" s="218"/>
      <c r="U271" s="34"/>
      <c r="V271" s="34"/>
      <c r="W271" s="35" t="s">
        <v>69</v>
      </c>
      <c r="X271" s="198">
        <v>56</v>
      </c>
      <c r="Y271" s="199">
        <f t="shared" si="24"/>
        <v>56</v>
      </c>
      <c r="Z271" s="36">
        <f t="shared" si="29"/>
        <v>0.52415999999999996</v>
      </c>
      <c r="AA271" s="56"/>
      <c r="AB271" s="57"/>
      <c r="AC271" s="68"/>
      <c r="AG271" s="67"/>
      <c r="AJ271" s="69" t="s">
        <v>97</v>
      </c>
      <c r="AK271" s="69">
        <v>14</v>
      </c>
      <c r="BB271" s="177" t="s">
        <v>79</v>
      </c>
      <c r="BM271" s="67">
        <f t="shared" si="25"/>
        <v>217.952</v>
      </c>
      <c r="BN271" s="67">
        <f t="shared" si="26"/>
        <v>217.952</v>
      </c>
      <c r="BO271" s="67">
        <f t="shared" si="27"/>
        <v>0.44444444444444442</v>
      </c>
      <c r="BP271" s="67">
        <f t="shared" si="28"/>
        <v>0.44444444444444442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4301135403</v>
      </c>
      <c r="D272" s="219">
        <v>4640242181509</v>
      </c>
      <c r="E272" s="220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96</v>
      </c>
      <c r="M272" s="33" t="s">
        <v>68</v>
      </c>
      <c r="N272" s="33"/>
      <c r="O272" s="32">
        <v>180</v>
      </c>
      <c r="P272" s="308" t="s">
        <v>373</v>
      </c>
      <c r="Q272" s="217"/>
      <c r="R272" s="217"/>
      <c r="S272" s="217"/>
      <c r="T272" s="218"/>
      <c r="U272" s="34"/>
      <c r="V272" s="34"/>
      <c r="W272" s="35" t="s">
        <v>69</v>
      </c>
      <c r="X272" s="198">
        <v>0</v>
      </c>
      <c r="Y272" s="199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97</v>
      </c>
      <c r="AK272" s="69">
        <v>14</v>
      </c>
      <c r="BB272" s="178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4301135304</v>
      </c>
      <c r="D273" s="219">
        <v>4640242181240</v>
      </c>
      <c r="E273" s="220"/>
      <c r="F273" s="197">
        <v>0.3</v>
      </c>
      <c r="G273" s="32">
        <v>9</v>
      </c>
      <c r="H273" s="197">
        <v>2.7</v>
      </c>
      <c r="I273" s="197">
        <v>2.88</v>
      </c>
      <c r="J273" s="32">
        <v>126</v>
      </c>
      <c r="K273" s="32" t="s">
        <v>78</v>
      </c>
      <c r="L273" s="32" t="s">
        <v>96</v>
      </c>
      <c r="M273" s="33" t="s">
        <v>68</v>
      </c>
      <c r="N273" s="33"/>
      <c r="O273" s="32">
        <v>180</v>
      </c>
      <c r="P273" s="227" t="s">
        <v>376</v>
      </c>
      <c r="Q273" s="217"/>
      <c r="R273" s="217"/>
      <c r="S273" s="217"/>
      <c r="T273" s="218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97</v>
      </c>
      <c r="AK273" s="69">
        <v>14</v>
      </c>
      <c r="BB273" s="179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377</v>
      </c>
      <c r="B274" s="54" t="s">
        <v>378</v>
      </c>
      <c r="C274" s="31">
        <v>4301135310</v>
      </c>
      <c r="D274" s="219">
        <v>4640242181318</v>
      </c>
      <c r="E274" s="220"/>
      <c r="F274" s="197">
        <v>0.3</v>
      </c>
      <c r="G274" s="32">
        <v>9</v>
      </c>
      <c r="H274" s="197">
        <v>2.7</v>
      </c>
      <c r="I274" s="197">
        <v>2.988</v>
      </c>
      <c r="J274" s="32">
        <v>126</v>
      </c>
      <c r="K274" s="32" t="s">
        <v>78</v>
      </c>
      <c r="L274" s="32" t="s">
        <v>96</v>
      </c>
      <c r="M274" s="33" t="s">
        <v>68</v>
      </c>
      <c r="N274" s="33"/>
      <c r="O274" s="32">
        <v>180</v>
      </c>
      <c r="P274" s="352" t="s">
        <v>379</v>
      </c>
      <c r="Q274" s="217"/>
      <c r="R274" s="217"/>
      <c r="S274" s="217"/>
      <c r="T274" s="218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97</v>
      </c>
      <c r="AK274" s="69">
        <v>14</v>
      </c>
      <c r="BB274" s="180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380</v>
      </c>
      <c r="B275" s="54" t="s">
        <v>381</v>
      </c>
      <c r="C275" s="31">
        <v>4301135306</v>
      </c>
      <c r="D275" s="219">
        <v>4640242181578</v>
      </c>
      <c r="E275" s="220"/>
      <c r="F275" s="197">
        <v>0.3</v>
      </c>
      <c r="G275" s="32">
        <v>9</v>
      </c>
      <c r="H275" s="197">
        <v>2.7</v>
      </c>
      <c r="I275" s="197">
        <v>2.8450000000000002</v>
      </c>
      <c r="J275" s="32">
        <v>234</v>
      </c>
      <c r="K275" s="32" t="s">
        <v>138</v>
      </c>
      <c r="L275" s="32" t="s">
        <v>96</v>
      </c>
      <c r="M275" s="33" t="s">
        <v>68</v>
      </c>
      <c r="N275" s="33"/>
      <c r="O275" s="32">
        <v>180</v>
      </c>
      <c r="P275" s="236" t="s">
        <v>382</v>
      </c>
      <c r="Q275" s="217"/>
      <c r="R275" s="217"/>
      <c r="S275" s="217"/>
      <c r="T275" s="218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97</v>
      </c>
      <c r="AK275" s="69">
        <v>18</v>
      </c>
      <c r="BB275" s="181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383</v>
      </c>
      <c r="B276" s="54" t="s">
        <v>384</v>
      </c>
      <c r="C276" s="31">
        <v>4301135305</v>
      </c>
      <c r="D276" s="219">
        <v>4640242181394</v>
      </c>
      <c r="E276" s="220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138</v>
      </c>
      <c r="L276" s="32" t="s">
        <v>96</v>
      </c>
      <c r="M276" s="33" t="s">
        <v>68</v>
      </c>
      <c r="N276" s="33"/>
      <c r="O276" s="32">
        <v>180</v>
      </c>
      <c r="P276" s="323" t="s">
        <v>385</v>
      </c>
      <c r="Q276" s="217"/>
      <c r="R276" s="217"/>
      <c r="S276" s="217"/>
      <c r="T276" s="218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97</v>
      </c>
      <c r="AK276" s="69">
        <v>18</v>
      </c>
      <c r="BB276" s="182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4301135309</v>
      </c>
      <c r="D277" s="219">
        <v>4640242181332</v>
      </c>
      <c r="E277" s="220"/>
      <c r="F277" s="197">
        <v>0.3</v>
      </c>
      <c r="G277" s="32">
        <v>9</v>
      </c>
      <c r="H277" s="197">
        <v>2.7</v>
      </c>
      <c r="I277" s="197">
        <v>2.9079999999999999</v>
      </c>
      <c r="J277" s="32">
        <v>234</v>
      </c>
      <c r="K277" s="32" t="s">
        <v>138</v>
      </c>
      <c r="L277" s="32" t="s">
        <v>96</v>
      </c>
      <c r="M277" s="33" t="s">
        <v>68</v>
      </c>
      <c r="N277" s="33"/>
      <c r="O277" s="32">
        <v>180</v>
      </c>
      <c r="P277" s="296" t="s">
        <v>388</v>
      </c>
      <c r="Q277" s="217"/>
      <c r="R277" s="217"/>
      <c r="S277" s="217"/>
      <c r="T277" s="218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97</v>
      </c>
      <c r="AK277" s="69">
        <v>18</v>
      </c>
      <c r="BB277" s="183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4301135308</v>
      </c>
      <c r="D278" s="219">
        <v>4640242181349</v>
      </c>
      <c r="E278" s="220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138</v>
      </c>
      <c r="L278" s="32" t="s">
        <v>96</v>
      </c>
      <c r="M278" s="33" t="s">
        <v>68</v>
      </c>
      <c r="N278" s="33"/>
      <c r="O278" s="32">
        <v>180</v>
      </c>
      <c r="P278" s="271" t="s">
        <v>391</v>
      </c>
      <c r="Q278" s="217"/>
      <c r="R278" s="217"/>
      <c r="S278" s="217"/>
      <c r="T278" s="218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97</v>
      </c>
      <c r="AK278" s="69">
        <v>18</v>
      </c>
      <c r="BB278" s="184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392</v>
      </c>
      <c r="B279" s="54" t="s">
        <v>393</v>
      </c>
      <c r="C279" s="31">
        <v>4301135307</v>
      </c>
      <c r="D279" s="219">
        <v>4640242181370</v>
      </c>
      <c r="E279" s="220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138</v>
      </c>
      <c r="L279" s="32" t="s">
        <v>67</v>
      </c>
      <c r="M279" s="33" t="s">
        <v>68</v>
      </c>
      <c r="N279" s="33"/>
      <c r="O279" s="32">
        <v>180</v>
      </c>
      <c r="P279" s="339" t="s">
        <v>394</v>
      </c>
      <c r="Q279" s="217"/>
      <c r="R279" s="217"/>
      <c r="S279" s="217"/>
      <c r="T279" s="218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5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395</v>
      </c>
      <c r="B280" s="54" t="s">
        <v>396</v>
      </c>
      <c r="C280" s="31">
        <v>4301135318</v>
      </c>
      <c r="D280" s="219">
        <v>4607111037480</v>
      </c>
      <c r="E280" s="220"/>
      <c r="F280" s="197">
        <v>1</v>
      </c>
      <c r="G280" s="32">
        <v>4</v>
      </c>
      <c r="H280" s="197">
        <v>4</v>
      </c>
      <c r="I280" s="197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01" t="s">
        <v>397</v>
      </c>
      <c r="Q280" s="217"/>
      <c r="R280" s="217"/>
      <c r="S280" s="217"/>
      <c r="T280" s="218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IFERROR(IF(X280="","",X280*0.0155),"")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6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398</v>
      </c>
      <c r="B281" s="54" t="s">
        <v>399</v>
      </c>
      <c r="C281" s="31">
        <v>4301135319</v>
      </c>
      <c r="D281" s="219">
        <v>4607111037473</v>
      </c>
      <c r="E281" s="220"/>
      <c r="F281" s="197">
        <v>1</v>
      </c>
      <c r="G281" s="32">
        <v>4</v>
      </c>
      <c r="H281" s="197">
        <v>4</v>
      </c>
      <c r="I281" s="197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7" t="s">
        <v>400</v>
      </c>
      <c r="Q281" s="217"/>
      <c r="R281" s="217"/>
      <c r="S281" s="217"/>
      <c r="T281" s="218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7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401</v>
      </c>
      <c r="B282" s="54" t="s">
        <v>402</v>
      </c>
      <c r="C282" s="31">
        <v>4301135198</v>
      </c>
      <c r="D282" s="219">
        <v>4640242180663</v>
      </c>
      <c r="E282" s="220"/>
      <c r="F282" s="197">
        <v>0.9</v>
      </c>
      <c r="G282" s="32">
        <v>4</v>
      </c>
      <c r="H282" s="197">
        <v>3.6</v>
      </c>
      <c r="I282" s="197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68" t="s">
        <v>403</v>
      </c>
      <c r="Q282" s="217"/>
      <c r="R282" s="217"/>
      <c r="S282" s="217"/>
      <c r="T282" s="218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8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225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26"/>
      <c r="P283" s="202" t="s">
        <v>71</v>
      </c>
      <c r="Q283" s="203"/>
      <c r="R283" s="203"/>
      <c r="S283" s="203"/>
      <c r="T283" s="203"/>
      <c r="U283" s="203"/>
      <c r="V283" s="204"/>
      <c r="W283" s="37" t="s">
        <v>69</v>
      </c>
      <c r="X283" s="200">
        <f>IFERROR(SUM(X263:X282),"0")</f>
        <v>152</v>
      </c>
      <c r="Y283" s="200">
        <f>IFERROR(SUM(Y263:Y282),"0")</f>
        <v>152</v>
      </c>
      <c r="Z283" s="20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1.4964</v>
      </c>
      <c r="AA283" s="201"/>
      <c r="AB283" s="201"/>
      <c r="AC283" s="201"/>
    </row>
    <row r="284" spans="1:68" x14ac:dyDescent="0.2">
      <c r="A284" s="211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26"/>
      <c r="P284" s="202" t="s">
        <v>71</v>
      </c>
      <c r="Q284" s="203"/>
      <c r="R284" s="203"/>
      <c r="S284" s="203"/>
      <c r="T284" s="203"/>
      <c r="U284" s="203"/>
      <c r="V284" s="204"/>
      <c r="W284" s="37" t="s">
        <v>72</v>
      </c>
      <c r="X284" s="200">
        <f>IFERROR(SUMPRODUCT(X263:X282*H263:H282),"0")</f>
        <v>525.20000000000005</v>
      </c>
      <c r="Y284" s="200">
        <f>IFERROR(SUMPRODUCT(Y263:Y282*H263:H282),"0")</f>
        <v>525.20000000000005</v>
      </c>
      <c r="Z284" s="37"/>
      <c r="AA284" s="201"/>
      <c r="AB284" s="201"/>
      <c r="AC284" s="201"/>
    </row>
    <row r="285" spans="1:68" ht="15" customHeight="1" x14ac:dyDescent="0.2">
      <c r="A285" s="214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5"/>
      <c r="P285" s="205" t="s">
        <v>404</v>
      </c>
      <c r="Q285" s="206"/>
      <c r="R285" s="206"/>
      <c r="S285" s="206"/>
      <c r="T285" s="206"/>
      <c r="U285" s="206"/>
      <c r="V285" s="207"/>
      <c r="W285" s="37" t="s">
        <v>72</v>
      </c>
      <c r="X285" s="200">
        <f>IFERROR(X24+X33+X40+X48+X64+X70+X75+X81+X91+X98+X111+X117+X123+X130+X135+X141+X146+X152+X160+X165+X173+X177+X182+X190+X200+X208+X213+X219+X225+X232+X238+X246+X250+X255+X261+X284,"0")</f>
        <v>13220.600000000002</v>
      </c>
      <c r="Y285" s="200">
        <f>IFERROR(Y24+Y33+Y40+Y48+Y64+Y70+Y75+Y81+Y91+Y98+Y111+Y117+Y123+Y130+Y135+Y141+Y146+Y152+Y160+Y165+Y173+Y177+Y182+Y190+Y200+Y208+Y213+Y219+Y225+Y232+Y238+Y246+Y250+Y255+Y261+Y284,"0")</f>
        <v>13220.600000000002</v>
      </c>
      <c r="Z285" s="37"/>
      <c r="AA285" s="201"/>
      <c r="AB285" s="201"/>
      <c r="AC285" s="201"/>
    </row>
    <row r="286" spans="1:68" x14ac:dyDescent="0.2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5"/>
      <c r="P286" s="205" t="s">
        <v>405</v>
      </c>
      <c r="Q286" s="206"/>
      <c r="R286" s="206"/>
      <c r="S286" s="206"/>
      <c r="T286" s="206"/>
      <c r="U286" s="206"/>
      <c r="V286" s="207"/>
      <c r="W286" s="37" t="s">
        <v>72</v>
      </c>
      <c r="X286" s="200">
        <f>IFERROR(SUM(BM22:BM282),"0")</f>
        <v>14436.2988</v>
      </c>
      <c r="Y286" s="200">
        <f>IFERROR(SUM(BN22:BN282),"0")</f>
        <v>14436.2988</v>
      </c>
      <c r="Z286" s="37"/>
      <c r="AA286" s="201"/>
      <c r="AB286" s="201"/>
      <c r="AC286" s="201"/>
    </row>
    <row r="287" spans="1:68" x14ac:dyDescent="0.2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5"/>
      <c r="P287" s="205" t="s">
        <v>406</v>
      </c>
      <c r="Q287" s="206"/>
      <c r="R287" s="206"/>
      <c r="S287" s="206"/>
      <c r="T287" s="206"/>
      <c r="U287" s="206"/>
      <c r="V287" s="207"/>
      <c r="W287" s="37" t="s">
        <v>407</v>
      </c>
      <c r="X287" s="38">
        <f>ROUNDUP(SUM(BO22:BO282),0)</f>
        <v>37</v>
      </c>
      <c r="Y287" s="38">
        <f>ROUNDUP(SUM(BP22:BP282),0)</f>
        <v>37</v>
      </c>
      <c r="Z287" s="37"/>
      <c r="AA287" s="201"/>
      <c r="AB287" s="201"/>
      <c r="AC287" s="201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5"/>
      <c r="P288" s="205" t="s">
        <v>408</v>
      </c>
      <c r="Q288" s="206"/>
      <c r="R288" s="206"/>
      <c r="S288" s="206"/>
      <c r="T288" s="206"/>
      <c r="U288" s="206"/>
      <c r="V288" s="207"/>
      <c r="W288" s="37" t="s">
        <v>72</v>
      </c>
      <c r="X288" s="200">
        <f>GrossWeightTotal+PalletQtyTotal*25</f>
        <v>15361.2988</v>
      </c>
      <c r="Y288" s="200">
        <f>GrossWeightTotalR+PalletQtyTotalR*25</f>
        <v>15361.2988</v>
      </c>
      <c r="Z288" s="37"/>
      <c r="AA288" s="201"/>
      <c r="AB288" s="201"/>
      <c r="AC288" s="201"/>
    </row>
    <row r="289" spans="1:32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5"/>
      <c r="P289" s="205" t="s">
        <v>409</v>
      </c>
      <c r="Q289" s="206"/>
      <c r="R289" s="206"/>
      <c r="S289" s="206"/>
      <c r="T289" s="206"/>
      <c r="U289" s="206"/>
      <c r="V289" s="207"/>
      <c r="W289" s="37" t="s">
        <v>407</v>
      </c>
      <c r="X289" s="200">
        <f>IFERROR(X23+X32+X39+X47+X63+X69+X74+X80+X90+X97+X110+X116+X122+X129+X134+X140+X145+X151+X159+X164+X172+X176+X181+X189+X199+X207+X212+X218+X224+X231+X237+X245+X249+X254+X260+X283,"0")</f>
        <v>3016</v>
      </c>
      <c r="Y289" s="200">
        <f>IFERROR(Y23+Y32+Y39+Y47+Y63+Y69+Y74+Y80+Y90+Y97+Y110+Y116+Y122+Y129+Y134+Y140+Y145+Y151+Y159+Y164+Y172+Y176+Y181+Y189+Y199+Y207+Y212+Y218+Y224+Y231+Y237+Y245+Y249+Y254+Y260+Y283,"0")</f>
        <v>3016</v>
      </c>
      <c r="Z289" s="37"/>
      <c r="AA289" s="201"/>
      <c r="AB289" s="201"/>
      <c r="AC289" s="201"/>
    </row>
    <row r="290" spans="1:32" ht="14.25" hidden="1" customHeight="1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5"/>
      <c r="P290" s="205" t="s">
        <v>410</v>
      </c>
      <c r="Q290" s="206"/>
      <c r="R290" s="206"/>
      <c r="S290" s="206"/>
      <c r="T290" s="206"/>
      <c r="U290" s="206"/>
      <c r="V290" s="207"/>
      <c r="W290" s="39" t="s">
        <v>411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45.77877999999999</v>
      </c>
      <c r="AA290" s="201"/>
      <c r="AB290" s="201"/>
      <c r="AC290" s="201"/>
    </row>
    <row r="291" spans="1:32" ht="13.5" customHeight="1" thickBot="1" x14ac:dyDescent="0.25"/>
    <row r="292" spans="1:32" ht="27" customHeight="1" thickTop="1" thickBot="1" x14ac:dyDescent="0.25">
      <c r="A292" s="40" t="s">
        <v>412</v>
      </c>
      <c r="B292" s="195" t="s">
        <v>62</v>
      </c>
      <c r="C292" s="233" t="s">
        <v>73</v>
      </c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3"/>
      <c r="T292" s="233" t="s">
        <v>222</v>
      </c>
      <c r="U292" s="243"/>
      <c r="V292" s="233" t="s">
        <v>245</v>
      </c>
      <c r="W292" s="243"/>
      <c r="X292" s="233" t="s">
        <v>263</v>
      </c>
      <c r="Y292" s="242"/>
      <c r="Z292" s="242"/>
      <c r="AA292" s="242"/>
      <c r="AB292" s="243"/>
      <c r="AC292" s="195" t="s">
        <v>302</v>
      </c>
      <c r="AD292" s="195" t="s">
        <v>307</v>
      </c>
      <c r="AE292" s="195" t="s">
        <v>313</v>
      </c>
      <c r="AF292" s="195" t="s">
        <v>223</v>
      </c>
    </row>
    <row r="293" spans="1:32" ht="14.25" customHeight="1" thickTop="1" x14ac:dyDescent="0.2">
      <c r="A293" s="288" t="s">
        <v>413</v>
      </c>
      <c r="B293" s="233" t="s">
        <v>62</v>
      </c>
      <c r="C293" s="233" t="s">
        <v>74</v>
      </c>
      <c r="D293" s="233" t="s">
        <v>88</v>
      </c>
      <c r="E293" s="233" t="s">
        <v>98</v>
      </c>
      <c r="F293" s="233" t="s">
        <v>109</v>
      </c>
      <c r="G293" s="233" t="s">
        <v>135</v>
      </c>
      <c r="H293" s="233" t="s">
        <v>141</v>
      </c>
      <c r="I293" s="233" t="s">
        <v>145</v>
      </c>
      <c r="J293" s="233" t="s">
        <v>151</v>
      </c>
      <c r="K293" s="233" t="s">
        <v>164</v>
      </c>
      <c r="L293" s="233" t="s">
        <v>172</v>
      </c>
      <c r="M293" s="233" t="s">
        <v>191</v>
      </c>
      <c r="N293" s="196"/>
      <c r="O293" s="233" t="s">
        <v>196</v>
      </c>
      <c r="P293" s="233" t="s">
        <v>201</v>
      </c>
      <c r="Q293" s="233" t="s">
        <v>208</v>
      </c>
      <c r="R293" s="233" t="s">
        <v>211</v>
      </c>
      <c r="S293" s="233" t="s">
        <v>219</v>
      </c>
      <c r="T293" s="233" t="s">
        <v>223</v>
      </c>
      <c r="U293" s="233" t="s">
        <v>227</v>
      </c>
      <c r="V293" s="233" t="s">
        <v>246</v>
      </c>
      <c r="W293" s="233" t="s">
        <v>260</v>
      </c>
      <c r="X293" s="233" t="s">
        <v>264</v>
      </c>
      <c r="Y293" s="233" t="s">
        <v>271</v>
      </c>
      <c r="Z293" s="233" t="s">
        <v>284</v>
      </c>
      <c r="AA293" s="233" t="s">
        <v>293</v>
      </c>
      <c r="AB293" s="233" t="s">
        <v>296</v>
      </c>
      <c r="AC293" s="233" t="s">
        <v>303</v>
      </c>
      <c r="AD293" s="233" t="s">
        <v>308</v>
      </c>
      <c r="AE293" s="233" t="s">
        <v>314</v>
      </c>
      <c r="AF293" s="233" t="s">
        <v>223</v>
      </c>
    </row>
    <row r="294" spans="1:32" ht="13.5" customHeight="1" thickBot="1" x14ac:dyDescent="0.25">
      <c r="A294" s="289"/>
      <c r="B294" s="234"/>
      <c r="C294" s="234"/>
      <c r="D294" s="234"/>
      <c r="E294" s="234"/>
      <c r="F294" s="234"/>
      <c r="G294" s="234"/>
      <c r="H294" s="234"/>
      <c r="I294" s="234"/>
      <c r="J294" s="234"/>
      <c r="K294" s="234"/>
      <c r="L294" s="234"/>
      <c r="M294" s="234"/>
      <c r="N294" s="196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  <c r="AA294" s="234"/>
      <c r="AB294" s="234"/>
      <c r="AC294" s="234"/>
      <c r="AD294" s="234"/>
      <c r="AE294" s="234"/>
      <c r="AF294" s="234"/>
    </row>
    <row r="295" spans="1:32" ht="18" customHeight="1" thickTop="1" thickBot="1" x14ac:dyDescent="0.25">
      <c r="A295" s="40" t="s">
        <v>414</v>
      </c>
      <c r="B295" s="46">
        <f>IFERROR(X22*H22,"0")</f>
        <v>0</v>
      </c>
      <c r="C295" s="46">
        <f>IFERROR(X28*H28,"0")+IFERROR(X29*H29,"0")+IFERROR(X30*H30,"0")+IFERROR(X31*H31,"0")</f>
        <v>189</v>
      </c>
      <c r="D295" s="46">
        <f>IFERROR(X36*H36,"0")+IFERROR(X37*H37,"0")+IFERROR(X38*H38,"0")</f>
        <v>288</v>
      </c>
      <c r="E295" s="46">
        <f>IFERROR(X43*H43,"0")+IFERROR(X44*H44,"0")+IFERROR(X45*H45,"0")+IFERROR(X46*H46,"0")</f>
        <v>60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1276.8</v>
      </c>
      <c r="G295" s="46">
        <f>IFERROR(X67*H67,"0")+IFERROR(X68*H68,"0")</f>
        <v>445.8</v>
      </c>
      <c r="H295" s="46">
        <f>IFERROR(X73*H73,"0")</f>
        <v>0</v>
      </c>
      <c r="I295" s="46">
        <f>IFERROR(X78*H78,"0")+IFERROR(X79*H79,"0")</f>
        <v>151.19999999999999</v>
      </c>
      <c r="J295" s="46">
        <f>IFERROR(X84*H84,"0")+IFERROR(X85*H85,"0")+IFERROR(X86*H86,"0")+IFERROR(X87*H87,"0")+IFERROR(X88*H88,"0")+IFERROR(X89*H89,"0")</f>
        <v>814.8</v>
      </c>
      <c r="K295" s="46">
        <f>IFERROR(X94*H94,"0")+IFERROR(X95*H95,"0")+IFERROR(X96*H96,"0")</f>
        <v>30.240000000000002</v>
      </c>
      <c r="L295" s="46">
        <f>IFERROR(X101*H101,"0")+IFERROR(X102*H102,"0")+IFERROR(X103*H103,"0")+IFERROR(X104*H104,"0")+IFERROR(X105*H105,"0")+IFERROR(X106*H106,"0")+IFERROR(X107*H107,"0")+IFERROR(X108*H108,"0")+IFERROR(X109*H109,"0")</f>
        <v>3782.4</v>
      </c>
      <c r="M295" s="46">
        <f>IFERROR(X114*H114,"0")+IFERROR(X115*H115,"0")</f>
        <v>1470</v>
      </c>
      <c r="N295" s="196"/>
      <c r="O295" s="46">
        <f>IFERROR(X120*H120,"0")+IFERROR(X121*H121,"0")</f>
        <v>294</v>
      </c>
      <c r="P295" s="46">
        <f>IFERROR(X126*H126,"0")+IFERROR(X127*H127,"0")+IFERROR(X128*H128,"0")</f>
        <v>714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300</v>
      </c>
      <c r="V295" s="46">
        <f>IFERROR(X169*H169,"0")+IFERROR(X170*H170,"0")+IFERROR(X171*H171,"0")+IFERROR(X175*H175,"0")</f>
        <v>546</v>
      </c>
      <c r="W295" s="46">
        <f>IFERROR(X180*H180,"0")</f>
        <v>0</v>
      </c>
      <c r="X295" s="46">
        <f>IFERROR(X186*H186,"0")+IFERROR(X187*H187,"0")+IFERROR(X188*H188,"0")</f>
        <v>470.4</v>
      </c>
      <c r="Y295" s="46">
        <f>IFERROR(X193*H193,"0")+IFERROR(X194*H194,"0")+IFERROR(X195*H195,"0")+IFERROR(X196*H196,"0")+IFERROR(X197*H197,"0")+IFERROR(X198*H198,"0")</f>
        <v>201.6</v>
      </c>
      <c r="Z295" s="46">
        <f>IFERROR(X203*H203,"0")+IFERROR(X204*H204,"0")+IFERROR(X205*H205,"0")+IFERROR(X206*H206,"0")</f>
        <v>259.2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1927.16</v>
      </c>
    </row>
    <row r="296" spans="1:32" ht="13.5" customHeight="1" thickTop="1" x14ac:dyDescent="0.2">
      <c r="C296" s="196"/>
    </row>
    <row r="297" spans="1:32" ht="19.5" customHeight="1" x14ac:dyDescent="0.2">
      <c r="A297" s="58" t="s">
        <v>415</v>
      </c>
      <c r="B297" s="58" t="s">
        <v>416</v>
      </c>
      <c r="C297" s="58" t="s">
        <v>417</v>
      </c>
    </row>
    <row r="298" spans="1:32" x14ac:dyDescent="0.2">
      <c r="A298" s="59">
        <f>SUMPRODUCT(--(BB:BB="ЗПФ"),--(W:W="кор"),H:H,Y:Y)+SUMPRODUCT(--(BB:BB="ЗПФ"),--(W:W="кг"),Y:Y)</f>
        <v>7024.2</v>
      </c>
      <c r="B298" s="60">
        <f>SUMPRODUCT(--(BB:BB="ПГП"),--(W:W="кор"),H:H,Y:Y)+SUMPRODUCT(--(BB:BB="ПГП"),--(W:W="кг"),Y:Y)</f>
        <v>6196.4</v>
      </c>
      <c r="C298" s="60">
        <f>SUMPRODUCT(--(BB:BB="КИЗ"),--(W:W="кор"),H:H,Y:Y)+SUMPRODUCT(--(BB:BB="КИЗ"),--(W:W="кг"),Y:Y)</f>
        <v>0</v>
      </c>
    </row>
  </sheetData>
  <sheetProtection algorithmName="SHA-512" hashValue="JPCVbmhceY/YdlDx0e+1/VtlgEvkbx2DfIyBkDWeT7IkuzPTK/jjox4cUqdg8gMe5O7OyKjpNGN8IwMkMTgurg==" saltValue="YjWtqmqazz7AEWJeQeaOAw==" spinCount="100000" sheet="1" objects="1" scenarios="1" sort="0" autoFilter="0" pivotTables="0"/>
  <autoFilter ref="B18:Z29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76,80"/>
        <filter val="1 470,00"/>
        <filter val="10,00"/>
        <filter val="114,00"/>
        <filter val="12,00"/>
        <filter val="120,00"/>
        <filter val="126,00"/>
        <filter val="13 220,60"/>
        <filter val="14 436,30"/>
        <filter val="14,00"/>
        <filter val="15 361,30"/>
        <filter val="151,20"/>
        <filter val="152,00"/>
        <filter val="180,00"/>
        <filter val="182,00"/>
        <filter val="189,00"/>
        <filter val="196,00"/>
        <filter val="201,60"/>
        <filter val="216,00"/>
        <filter val="218,00"/>
        <filter val="224,00"/>
        <filter val="238,00"/>
        <filter val="24,00"/>
        <filter val="252,00"/>
        <filter val="259,20"/>
        <filter val="28,00"/>
        <filter val="288,00"/>
        <filter val="294,00"/>
        <filter val="3 016,00"/>
        <filter val="3 782,40"/>
        <filter val="30,24"/>
        <filter val="300,00"/>
        <filter val="36,00"/>
        <filter val="37"/>
        <filter val="40,00"/>
        <filter val="42,00"/>
        <filter val="445,80"/>
        <filter val="470,40"/>
        <filter val="48,00"/>
        <filter val="490,00"/>
        <filter val="50,00"/>
        <filter val="525,20"/>
        <filter val="528,00"/>
        <filter val="54,00"/>
        <filter val="546,00"/>
        <filter val="56,00"/>
        <filter val="576,00"/>
        <filter val="60,00"/>
        <filter val="70,00"/>
        <filter val="714,00"/>
        <filter val="814,80"/>
        <filter val="825,96"/>
        <filter val="84,00"/>
        <filter val="96,00"/>
        <filter val="98,00"/>
      </filters>
    </filterColumn>
  </autoFilter>
  <mergeCells count="531">
    <mergeCell ref="V292:W292"/>
    <mergeCell ref="D17:E18"/>
    <mergeCell ref="A151:O152"/>
    <mergeCell ref="A131:Z131"/>
    <mergeCell ref="X17:X18"/>
    <mergeCell ref="P58:T58"/>
    <mergeCell ref="D44:E44"/>
    <mergeCell ref="AA293:AA294"/>
    <mergeCell ref="P133:T133"/>
    <mergeCell ref="D243:E243"/>
    <mergeCell ref="D270:E270"/>
    <mergeCell ref="A245:O246"/>
    <mergeCell ref="P253:T253"/>
    <mergeCell ref="D223:E223"/>
    <mergeCell ref="D279:E279"/>
    <mergeCell ref="P243:T243"/>
    <mergeCell ref="P219:V219"/>
    <mergeCell ref="A235:Z235"/>
    <mergeCell ref="A247:Z247"/>
    <mergeCell ref="A8:C8"/>
    <mergeCell ref="A260:O261"/>
    <mergeCell ref="A153:Z153"/>
    <mergeCell ref="D268:E268"/>
    <mergeCell ref="A10:C10"/>
    <mergeCell ref="P126:T126"/>
    <mergeCell ref="P69:V69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D265:E26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D278:E278"/>
    <mergeCell ref="D163:E163"/>
    <mergeCell ref="D107:E107"/>
    <mergeCell ref="P263:T263"/>
    <mergeCell ref="D244:E244"/>
    <mergeCell ref="P62:T62"/>
    <mergeCell ref="A136:Z136"/>
    <mergeCell ref="A21:Z21"/>
    <mergeCell ref="D121:E121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P208:V208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A201:Z201"/>
    <mergeCell ref="P128:T128"/>
    <mergeCell ref="D196:E196"/>
    <mergeCell ref="P145:V145"/>
    <mergeCell ref="M17:M18"/>
    <mergeCell ref="O17:O18"/>
    <mergeCell ref="P102:T102"/>
    <mergeCell ref="P189:V189"/>
    <mergeCell ref="A185:Z185"/>
    <mergeCell ref="P196:T196"/>
    <mergeCell ref="Y17:Y18"/>
    <mergeCell ref="H5:M5"/>
    <mergeCell ref="Z17:Z18"/>
    <mergeCell ref="J9:M9"/>
    <mergeCell ref="H10:M10"/>
    <mergeCell ref="P36:T36"/>
    <mergeCell ref="A49:Z49"/>
    <mergeCell ref="A65:Z65"/>
    <mergeCell ref="D78:E78"/>
    <mergeCell ref="P170:T170"/>
    <mergeCell ref="D126:E126"/>
    <mergeCell ref="D197:E197"/>
    <mergeCell ref="D253:E253"/>
    <mergeCell ref="D53:E53"/>
    <mergeCell ref="D216:E216"/>
    <mergeCell ref="A134:O135"/>
    <mergeCell ref="A125:Z125"/>
    <mergeCell ref="D6:M6"/>
    <mergeCell ref="P175:T175"/>
    <mergeCell ref="P162:T162"/>
    <mergeCell ref="P106:T106"/>
    <mergeCell ref="D85:E85"/>
    <mergeCell ref="P269:T269"/>
    <mergeCell ref="A231:O232"/>
    <mergeCell ref="G17:G18"/>
    <mergeCell ref="A143:Z143"/>
    <mergeCell ref="A167:Z167"/>
    <mergeCell ref="P188:T188"/>
    <mergeCell ref="P123:V123"/>
    <mergeCell ref="P59:T59"/>
    <mergeCell ref="A176:O177"/>
    <mergeCell ref="P46:T46"/>
    <mergeCell ref="A227:Z227"/>
    <mergeCell ref="P61:T61"/>
    <mergeCell ref="A9:C9"/>
    <mergeCell ref="V6:W9"/>
    <mergeCell ref="P23:V23"/>
    <mergeCell ref="D133:E133"/>
    <mergeCell ref="A35:Z35"/>
    <mergeCell ref="A262:Z262"/>
    <mergeCell ref="D54:E54"/>
    <mergeCell ref="P22:T22"/>
    <mergeCell ref="P257:T257"/>
    <mergeCell ref="D194:E194"/>
    <mergeCell ref="P173:V173"/>
    <mergeCell ref="A172:O173"/>
    <mergeCell ref="A283:O284"/>
    <mergeCell ref="P248:T248"/>
    <mergeCell ref="P249:V249"/>
    <mergeCell ref="D203:E203"/>
    <mergeCell ref="P165:V165"/>
    <mergeCell ref="D269:E269"/>
    <mergeCell ref="D273:E273"/>
    <mergeCell ref="D274:E274"/>
    <mergeCell ref="P103:T103"/>
    <mergeCell ref="A26:Z26"/>
    <mergeCell ref="A27:Z27"/>
    <mergeCell ref="A154:Z154"/>
    <mergeCell ref="A214:Z214"/>
    <mergeCell ref="P282:T282"/>
    <mergeCell ref="P160:V160"/>
    <mergeCell ref="P283:V283"/>
    <mergeCell ref="D271:E271"/>
    <mergeCell ref="P268:T268"/>
    <mergeCell ref="P230:T230"/>
    <mergeCell ref="A147:Z147"/>
    <mergeCell ref="P172:V172"/>
    <mergeCell ref="D138:E138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P293:P294"/>
    <mergeCell ref="T293:T294"/>
    <mergeCell ref="P287:V287"/>
    <mergeCell ref="D211:E211"/>
    <mergeCell ref="P130:V130"/>
    <mergeCell ref="P190:V190"/>
    <mergeCell ref="P258:T258"/>
    <mergeCell ref="AC293:AC294"/>
    <mergeCell ref="P290:V290"/>
    <mergeCell ref="H293:H294"/>
    <mergeCell ref="R293:R294"/>
    <mergeCell ref="AB293:AB294"/>
    <mergeCell ref="T292:U292"/>
    <mergeCell ref="P134:V134"/>
    <mergeCell ref="P97:V97"/>
    <mergeCell ref="A93:Z93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90:O91"/>
    <mergeCell ref="D62:E62"/>
    <mergeCell ref="D56:E56"/>
    <mergeCell ref="D193:E193"/>
    <mergeCell ref="P206:T206"/>
    <mergeCell ref="D127:E127"/>
    <mergeCell ref="P37:T37"/>
    <mergeCell ref="D114:E114"/>
    <mergeCell ref="A129:O130"/>
    <mergeCell ref="D51:E51"/>
    <mergeCell ref="P213:V213"/>
    <mergeCell ref="A209:Z209"/>
    <mergeCell ref="J293:J294"/>
    <mergeCell ref="L293:L294"/>
    <mergeCell ref="K293:K294"/>
    <mergeCell ref="P279:T279"/>
    <mergeCell ref="BD17:BD18"/>
    <mergeCell ref="P152:V152"/>
    <mergeCell ref="A82:Z82"/>
    <mergeCell ref="D267:E267"/>
    <mergeCell ref="P96:T96"/>
    <mergeCell ref="H17:H18"/>
    <mergeCell ref="D204:E204"/>
    <mergeCell ref="P217:T217"/>
    <mergeCell ref="A207:O208"/>
    <mergeCell ref="D198:E198"/>
    <mergeCell ref="D206:E206"/>
    <mergeCell ref="A66:Z66"/>
    <mergeCell ref="P156:T156"/>
    <mergeCell ref="A80:O81"/>
    <mergeCell ref="AA17:AA18"/>
    <mergeCell ref="AC17:AC18"/>
    <mergeCell ref="P108:T108"/>
    <mergeCell ref="D89:E89"/>
    <mergeCell ref="A72:Z72"/>
    <mergeCell ref="P45:T45"/>
    <mergeCell ref="T5:U5"/>
    <mergeCell ref="V5:W5"/>
    <mergeCell ref="P203:T203"/>
    <mergeCell ref="D46:E46"/>
    <mergeCell ref="A224:O225"/>
    <mergeCell ref="D282:E282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D43:E43"/>
    <mergeCell ref="P216:T216"/>
    <mergeCell ref="A210:Z210"/>
    <mergeCell ref="P80:V80"/>
    <mergeCell ref="P151:V151"/>
    <mergeCell ref="P87:T87"/>
    <mergeCell ref="A13:M13"/>
    <mergeCell ref="A15:M15"/>
    <mergeCell ref="Q13:R13"/>
    <mergeCell ref="A220:Z220"/>
    <mergeCell ref="P139:T139"/>
    <mergeCell ref="P47:V47"/>
    <mergeCell ref="P114:T114"/>
    <mergeCell ref="D84:E84"/>
    <mergeCell ref="D155:E155"/>
    <mergeCell ref="D22:E22"/>
    <mergeCell ref="D68:E68"/>
    <mergeCell ref="D188:E188"/>
    <mergeCell ref="P89:T89"/>
    <mergeCell ref="P211:T211"/>
    <mergeCell ref="D59:E59"/>
    <mergeCell ref="P88:T88"/>
    <mergeCell ref="A199:O200"/>
    <mergeCell ref="A92:Z92"/>
    <mergeCell ref="A119:Z119"/>
    <mergeCell ref="D61:E61"/>
    <mergeCell ref="P115:T115"/>
    <mergeCell ref="A183:Z183"/>
    <mergeCell ref="P204:T204"/>
    <mergeCell ref="D128:E128"/>
    <mergeCell ref="A5:C5"/>
    <mergeCell ref="P64:V64"/>
    <mergeCell ref="P135:V135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P181:V181"/>
    <mergeCell ref="D96:E96"/>
    <mergeCell ref="D52:E52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P272:T272"/>
    <mergeCell ref="D156:E156"/>
    <mergeCell ref="Q9:R9"/>
    <mergeCell ref="A113:Z113"/>
    <mergeCell ref="P78:T78"/>
    <mergeCell ref="Q11:R11"/>
    <mergeCell ref="P205:T205"/>
    <mergeCell ref="A69:O70"/>
    <mergeCell ref="D106:E106"/>
    <mergeCell ref="D264:E264"/>
    <mergeCell ref="P277:T277"/>
    <mergeCell ref="P199:V199"/>
    <mergeCell ref="A251:Z251"/>
    <mergeCell ref="A42:Z42"/>
    <mergeCell ref="P43:T43"/>
    <mergeCell ref="D157:E157"/>
    <mergeCell ref="A12:M12"/>
    <mergeCell ref="A240:Z240"/>
    <mergeCell ref="P200:V200"/>
    <mergeCell ref="A19:Z19"/>
    <mergeCell ref="A14:M14"/>
    <mergeCell ref="P163:T163"/>
    <mergeCell ref="D109:E109"/>
    <mergeCell ref="P138:T138"/>
    <mergeCell ref="P51:T51"/>
    <mergeCell ref="D36:E36"/>
    <mergeCell ref="P223:T223"/>
    <mergeCell ref="P52:T52"/>
    <mergeCell ref="A168:Z168"/>
    <mergeCell ref="AG17:AG18"/>
    <mergeCell ref="I17:I18"/>
    <mergeCell ref="P176:V176"/>
    <mergeCell ref="P281:T281"/>
    <mergeCell ref="A293:A294"/>
    <mergeCell ref="C293:C294"/>
    <mergeCell ref="A239:Z239"/>
    <mergeCell ref="P288:V288"/>
    <mergeCell ref="W293:W294"/>
    <mergeCell ref="Y293:Y294"/>
    <mergeCell ref="D280:E280"/>
    <mergeCell ref="A222:Z222"/>
    <mergeCell ref="P255:V255"/>
    <mergeCell ref="P276:T276"/>
    <mergeCell ref="AF293:AF294"/>
    <mergeCell ref="C292:S292"/>
    <mergeCell ref="P225:V225"/>
    <mergeCell ref="AE293:AE294"/>
    <mergeCell ref="A256:Z256"/>
    <mergeCell ref="P231:V231"/>
    <mergeCell ref="P229:T229"/>
    <mergeCell ref="D263:E263"/>
    <mergeCell ref="P86:T86"/>
    <mergeCell ref="P157:T157"/>
    <mergeCell ref="D205:E205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P259:T259"/>
    <mergeCell ref="A47:O48"/>
    <mergeCell ref="P177:V177"/>
    <mergeCell ref="P33:V33"/>
    <mergeCell ref="P164:V164"/>
    <mergeCell ref="M293:M294"/>
    <mergeCell ref="P105:T105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P129:V129"/>
    <mergeCell ref="P107:T107"/>
    <mergeCell ref="O293:O294"/>
    <mergeCell ref="Q293:Q294"/>
    <mergeCell ref="A215:Z215"/>
    <mergeCell ref="P224:V224"/>
    <mergeCell ref="D281:E281"/>
    <mergeCell ref="P260:V260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H9:I9"/>
    <mergeCell ref="D45:E45"/>
    <mergeCell ref="P24:V24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D258:E258"/>
    <mergeCell ref="P207:V207"/>
    <mergeCell ref="P252:T252"/>
    <mergeCell ref="P56:T56"/>
    <mergeCell ref="D195:E195"/>
    <mergeCell ref="A124:Z124"/>
    <mergeCell ref="X292:AB292"/>
    <mergeCell ref="P91:V91"/>
    <mergeCell ref="P236:T236"/>
    <mergeCell ref="D79:E79"/>
    <mergeCell ref="D144:E144"/>
    <mergeCell ref="A159:O160"/>
    <mergeCell ref="A97:O98"/>
    <mergeCell ref="P271:T271"/>
    <mergeCell ref="P265:T265"/>
    <mergeCell ref="D87:E87"/>
    <mergeCell ref="P101:T101"/>
    <mergeCell ref="P63:V63"/>
    <mergeCell ref="R1:T1"/>
    <mergeCell ref="P150:T150"/>
    <mergeCell ref="A218:O219"/>
    <mergeCell ref="P28:T28"/>
    <mergeCell ref="A74:O75"/>
    <mergeCell ref="A145:O146"/>
    <mergeCell ref="B17:B18"/>
    <mergeCell ref="V10:W10"/>
    <mergeCell ref="D7:M7"/>
    <mergeCell ref="P29:T29"/>
    <mergeCell ref="P94:T94"/>
    <mergeCell ref="D8:M8"/>
    <mergeCell ref="P44:T44"/>
    <mergeCell ref="H1:Q1"/>
    <mergeCell ref="D67:E67"/>
    <mergeCell ref="D5:E5"/>
    <mergeCell ref="A32:O33"/>
    <mergeCell ref="D94:E94"/>
    <mergeCell ref="P98:V98"/>
    <mergeCell ref="P155:T155"/>
    <mergeCell ref="D108:E108"/>
    <mergeCell ref="P250:V250"/>
    <mergeCell ref="P286:V286"/>
    <mergeCell ref="A233:Z233"/>
    <mergeCell ref="P232:V232"/>
    <mergeCell ref="P159:V159"/>
    <mergeCell ref="A149:Z149"/>
    <mergeCell ref="A50:Z50"/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2 X54 X56 X58 X60 X62 X73 X87 X89 X95:X96 X102 X104 X106 X108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38 X43 X45:X46 X51 X53 X55 X57 X59 X61 X67:X68 X78:X79 X84:X86 X88 X94 X101 X103 X105 X107 X109 X114:X115 X120:X121 X127:X128 X150 X157 X169:X171 X186 X188 X194 X198 X206 X217 X229:X230 X242:X244 X248 X252:X253 X257:X259 X265:X266 X268 X271:X278" xr:uid="{00000000-0002-0000-0000-000012000000}">
      <formula1>OR(IF(AK30&gt;0,AND(IF(X30/AK30=ROUND(X30/AK30,0),TRUE,FALSE),X30&gt;=0),FALSE),IF(AK30=0,TRUE,FALSE))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418</v>
      </c>
      <c r="H1" s="52"/>
    </row>
    <row r="3" spans="2:8" x14ac:dyDescent="0.2">
      <c r="B3" s="47" t="s">
        <v>419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420</v>
      </c>
      <c r="D6" s="47" t="s">
        <v>421</v>
      </c>
      <c r="E6" s="47"/>
    </row>
    <row r="8" spans="2:8" x14ac:dyDescent="0.2">
      <c r="B8" s="47" t="s">
        <v>18</v>
      </c>
      <c r="C8" s="47" t="s">
        <v>420</v>
      </c>
      <c r="D8" s="47"/>
      <c r="E8" s="47"/>
    </row>
    <row r="10" spans="2:8" x14ac:dyDescent="0.2">
      <c r="B10" s="47" t="s">
        <v>422</v>
      </c>
      <c r="C10" s="47"/>
      <c r="D10" s="47"/>
      <c r="E10" s="47"/>
    </row>
    <row r="11" spans="2:8" x14ac:dyDescent="0.2">
      <c r="B11" s="47" t="s">
        <v>423</v>
      </c>
      <c r="C11" s="47"/>
      <c r="D11" s="47"/>
      <c r="E11" s="47"/>
    </row>
    <row r="12" spans="2:8" x14ac:dyDescent="0.2">
      <c r="B12" s="47" t="s">
        <v>424</v>
      </c>
      <c r="C12" s="47"/>
      <c r="D12" s="47"/>
      <c r="E12" s="47"/>
    </row>
    <row r="13" spans="2:8" x14ac:dyDescent="0.2">
      <c r="B13" s="47" t="s">
        <v>425</v>
      </c>
      <c r="C13" s="47"/>
      <c r="D13" s="47"/>
      <c r="E13" s="47"/>
    </row>
    <row r="14" spans="2:8" x14ac:dyDescent="0.2">
      <c r="B14" s="47" t="s">
        <v>426</v>
      </c>
      <c r="C14" s="47"/>
      <c r="D14" s="47"/>
      <c r="E14" s="47"/>
    </row>
    <row r="15" spans="2:8" x14ac:dyDescent="0.2">
      <c r="B15" s="47" t="s">
        <v>427</v>
      </c>
      <c r="C15" s="47"/>
      <c r="D15" s="47"/>
      <c r="E15" s="47"/>
    </row>
    <row r="16" spans="2:8" x14ac:dyDescent="0.2">
      <c r="B16" s="47" t="s">
        <v>428</v>
      </c>
      <c r="C16" s="47"/>
      <c r="D16" s="47"/>
      <c r="E16" s="47"/>
    </row>
    <row r="17" spans="2:5" x14ac:dyDescent="0.2">
      <c r="B17" s="47" t="s">
        <v>429</v>
      </c>
      <c r="C17" s="47"/>
      <c r="D17" s="47"/>
      <c r="E17" s="47"/>
    </row>
    <row r="18" spans="2:5" x14ac:dyDescent="0.2">
      <c r="B18" s="47" t="s">
        <v>430</v>
      </c>
      <c r="C18" s="47"/>
      <c r="D18" s="47"/>
      <c r="E18" s="47"/>
    </row>
    <row r="19" spans="2:5" x14ac:dyDescent="0.2">
      <c r="B19" s="47" t="s">
        <v>431</v>
      </c>
      <c r="C19" s="47"/>
      <c r="D19" s="47"/>
      <c r="E19" s="47"/>
    </row>
    <row r="20" spans="2:5" x14ac:dyDescent="0.2">
      <c r="B20" s="47" t="s">
        <v>432</v>
      </c>
      <c r="C20" s="47"/>
      <c r="D20" s="47"/>
      <c r="E20" s="47"/>
    </row>
  </sheetData>
  <sheetProtection algorithmName="SHA-512" hashValue="E6OTVpqTSDkjeSFPWm5UTReQ4NVnQBm6NiwGRlxj5TO3MlDx2czOM33Znr5mnJKdYZXvaJf+eDIqXXB2Yakilw==" saltValue="SBu+UzjXDjdscUnTBzJZ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