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F315A4-E904-473B-8393-62EA86042C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W440" i="1"/>
  <c r="V440" i="1"/>
  <c r="X439" i="1"/>
  <c r="W439" i="1"/>
  <c r="X438" i="1"/>
  <c r="X440" i="1" s="1"/>
  <c r="W438" i="1"/>
  <c r="W441" i="1" s="1"/>
  <c r="V434" i="1"/>
  <c r="V433" i="1"/>
  <c r="W432" i="1"/>
  <c r="X432" i="1" s="1"/>
  <c r="N432" i="1"/>
  <c r="X431" i="1"/>
  <c r="X433" i="1" s="1"/>
  <c r="W431" i="1"/>
  <c r="N431" i="1"/>
  <c r="V429" i="1"/>
  <c r="W428" i="1"/>
  <c r="V428" i="1"/>
  <c r="X427" i="1"/>
  <c r="W427" i="1"/>
  <c r="X426" i="1"/>
  <c r="W426" i="1"/>
  <c r="X425" i="1"/>
  <c r="W425" i="1"/>
  <c r="X424" i="1"/>
  <c r="W424" i="1"/>
  <c r="N424" i="1"/>
  <c r="W423" i="1"/>
  <c r="X423" i="1" s="1"/>
  <c r="N423" i="1"/>
  <c r="X422" i="1"/>
  <c r="W422" i="1"/>
  <c r="W429" i="1" s="1"/>
  <c r="N422" i="1"/>
  <c r="V420" i="1"/>
  <c r="V419" i="1"/>
  <c r="X418" i="1"/>
  <c r="W418" i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X392" i="1"/>
  <c r="W392" i="1"/>
  <c r="X391" i="1"/>
  <c r="W391" i="1"/>
  <c r="N391" i="1"/>
  <c r="W390" i="1"/>
  <c r="X390" i="1" s="1"/>
  <c r="N390" i="1"/>
  <c r="X389" i="1"/>
  <c r="X396" i="1" s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X364" i="1" s="1"/>
  <c r="W362" i="1"/>
  <c r="N362" i="1"/>
  <c r="W361" i="1"/>
  <c r="X361" i="1" s="1"/>
  <c r="N361" i="1"/>
  <c r="X360" i="1"/>
  <c r="W360" i="1"/>
  <c r="W364" i="1" s="1"/>
  <c r="N360" i="1"/>
  <c r="V358" i="1"/>
  <c r="V357" i="1"/>
  <c r="X356" i="1"/>
  <c r="W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X329" i="1"/>
  <c r="W329" i="1"/>
  <c r="N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X323" i="1" s="1"/>
  <c r="W321" i="1"/>
  <c r="W323" i="1" s="1"/>
  <c r="N321" i="1"/>
  <c r="V319" i="1"/>
  <c r="V318" i="1"/>
  <c r="X317" i="1"/>
  <c r="W317" i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X300" i="1"/>
  <c r="W300" i="1"/>
  <c r="X299" i="1"/>
  <c r="X302" i="1" s="1"/>
  <c r="W299" i="1"/>
  <c r="N299" i="1"/>
  <c r="V297" i="1"/>
  <c r="V296" i="1"/>
  <c r="X295" i="1"/>
  <c r="W295" i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V275" i="1"/>
  <c r="X274" i="1"/>
  <c r="W274" i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N253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X241" i="1"/>
  <c r="W241" i="1"/>
  <c r="X240" i="1"/>
  <c r="X243" i="1" s="1"/>
  <c r="W240" i="1"/>
  <c r="V238" i="1"/>
  <c r="V237" i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W225" i="1"/>
  <c r="X225" i="1" s="1"/>
  <c r="W224" i="1"/>
  <c r="X224" i="1" s="1"/>
  <c r="N224" i="1"/>
  <c r="X223" i="1"/>
  <c r="W223" i="1"/>
  <c r="N223" i="1"/>
  <c r="W222" i="1"/>
  <c r="N222" i="1"/>
  <c r="V220" i="1"/>
  <c r="V219" i="1"/>
  <c r="W218" i="1"/>
  <c r="X218" i="1" s="1"/>
  <c r="N218" i="1"/>
  <c r="X217" i="1"/>
  <c r="X219" i="1" s="1"/>
  <c r="W217" i="1"/>
  <c r="N217" i="1"/>
  <c r="W216" i="1"/>
  <c r="X216" i="1" s="1"/>
  <c r="N216" i="1"/>
  <c r="X215" i="1"/>
  <c r="W215" i="1"/>
  <c r="W219" i="1" s="1"/>
  <c r="N215" i="1"/>
  <c r="V213" i="1"/>
  <c r="W212" i="1"/>
  <c r="V212" i="1"/>
  <c r="X211" i="1"/>
  <c r="X212" i="1" s="1"/>
  <c r="W211" i="1"/>
  <c r="W213" i="1" s="1"/>
  <c r="N211" i="1"/>
  <c r="V209" i="1"/>
  <c r="V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X196" i="1" s="1"/>
  <c r="N196" i="1"/>
  <c r="X195" i="1"/>
  <c r="W195" i="1"/>
  <c r="N195" i="1"/>
  <c r="W194" i="1"/>
  <c r="N194" i="1"/>
  <c r="V191" i="1"/>
  <c r="V190" i="1"/>
  <c r="X189" i="1"/>
  <c r="W189" i="1"/>
  <c r="N189" i="1"/>
  <c r="W188" i="1"/>
  <c r="W190" i="1" s="1"/>
  <c r="N188" i="1"/>
  <c r="V186" i="1"/>
  <c r="V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X174" i="1"/>
  <c r="W174" i="1"/>
  <c r="X173" i="1"/>
  <c r="W173" i="1"/>
  <c r="N173" i="1"/>
  <c r="W172" i="1"/>
  <c r="X172" i="1" s="1"/>
  <c r="N172" i="1"/>
  <c r="X171" i="1"/>
  <c r="W171" i="1"/>
  <c r="X170" i="1"/>
  <c r="W170" i="1"/>
  <c r="N170" i="1"/>
  <c r="W169" i="1"/>
  <c r="X169" i="1" s="1"/>
  <c r="W168" i="1"/>
  <c r="W185" i="1" s="1"/>
  <c r="N168" i="1"/>
  <c r="V166" i="1"/>
  <c r="V165" i="1"/>
  <c r="W164" i="1"/>
  <c r="X164" i="1" s="1"/>
  <c r="N164" i="1"/>
  <c r="X163" i="1"/>
  <c r="W163" i="1"/>
  <c r="N163" i="1"/>
  <c r="W162" i="1"/>
  <c r="X162" i="1" s="1"/>
  <c r="N162" i="1"/>
  <c r="X161" i="1"/>
  <c r="W161" i="1"/>
  <c r="W165" i="1" s="1"/>
  <c r="N161" i="1"/>
  <c r="V159" i="1"/>
  <c r="V158" i="1"/>
  <c r="X157" i="1"/>
  <c r="W157" i="1"/>
  <c r="N157" i="1"/>
  <c r="W156" i="1"/>
  <c r="W159" i="1" s="1"/>
  <c r="V154" i="1"/>
  <c r="V153" i="1"/>
  <c r="X152" i="1"/>
  <c r="W152" i="1"/>
  <c r="N152" i="1"/>
  <c r="W151" i="1"/>
  <c r="I472" i="1" s="1"/>
  <c r="N151" i="1"/>
  <c r="V148" i="1"/>
  <c r="V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X147" i="1" s="1"/>
  <c r="W139" i="1"/>
  <c r="N139" i="1"/>
  <c r="V136" i="1"/>
  <c r="V135" i="1"/>
  <c r="X134" i="1"/>
  <c r="W134" i="1"/>
  <c r="N134" i="1"/>
  <c r="W133" i="1"/>
  <c r="X133" i="1" s="1"/>
  <c r="N133" i="1"/>
  <c r="X132" i="1"/>
  <c r="X135" i="1" s="1"/>
  <c r="W132" i="1"/>
  <c r="N132" i="1"/>
  <c r="V128" i="1"/>
  <c r="V127" i="1"/>
  <c r="X126" i="1"/>
  <c r="W126" i="1"/>
  <c r="N126" i="1"/>
  <c r="W125" i="1"/>
  <c r="X125" i="1" s="1"/>
  <c r="N125" i="1"/>
  <c r="X124" i="1"/>
  <c r="X127" i="1" s="1"/>
  <c r="W124" i="1"/>
  <c r="W128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W120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2" i="1" s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66" i="1" s="1"/>
  <c r="W22" i="1"/>
  <c r="N22" i="1"/>
  <c r="H10" i="1"/>
  <c r="A9" i="1"/>
  <c r="F10" i="1" s="1"/>
  <c r="D7" i="1"/>
  <c r="O6" i="1"/>
  <c r="N2" i="1"/>
  <c r="X89" i="1" l="1"/>
  <c r="X165" i="1"/>
  <c r="W464" i="1"/>
  <c r="W463" i="1"/>
  <c r="W127" i="1"/>
  <c r="W135" i="1"/>
  <c r="W153" i="1"/>
  <c r="W158" i="1"/>
  <c r="W166" i="1"/>
  <c r="W186" i="1"/>
  <c r="W191" i="1"/>
  <c r="W209" i="1"/>
  <c r="X194" i="1"/>
  <c r="X208" i="1" s="1"/>
  <c r="W220" i="1"/>
  <c r="W231" i="1"/>
  <c r="X222" i="1"/>
  <c r="X231" i="1" s="1"/>
  <c r="W238" i="1"/>
  <c r="W244" i="1"/>
  <c r="W249" i="1"/>
  <c r="X246" i="1"/>
  <c r="X249" i="1" s="1"/>
  <c r="W260" i="1"/>
  <c r="W266" i="1"/>
  <c r="M472" i="1"/>
  <c r="W270" i="1"/>
  <c r="X269" i="1"/>
  <c r="X270" i="1" s="1"/>
  <c r="W271" i="1"/>
  <c r="W276" i="1"/>
  <c r="X273" i="1"/>
  <c r="X275" i="1" s="1"/>
  <c r="W296" i="1"/>
  <c r="W365" i="1"/>
  <c r="W368" i="1"/>
  <c r="X367" i="1"/>
  <c r="X368" i="1" s="1"/>
  <c r="W369" i="1"/>
  <c r="W380" i="1"/>
  <c r="X378" i="1"/>
  <c r="X380" i="1" s="1"/>
  <c r="W381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H9" i="1"/>
  <c r="A10" i="1"/>
  <c r="W24" i="1"/>
  <c r="W32" i="1"/>
  <c r="W52" i="1"/>
  <c r="W59" i="1"/>
  <c r="W80" i="1"/>
  <c r="W90" i="1"/>
  <c r="W100" i="1"/>
  <c r="W113" i="1"/>
  <c r="W121" i="1"/>
  <c r="W148" i="1"/>
  <c r="F9" i="1"/>
  <c r="J9" i="1"/>
  <c r="X22" i="1"/>
  <c r="X23" i="1" s="1"/>
  <c r="W23" i="1"/>
  <c r="V462" i="1"/>
  <c r="X26" i="1"/>
  <c r="X32" i="1" s="1"/>
  <c r="C472" i="1"/>
  <c r="W51" i="1"/>
  <c r="D472" i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H472" i="1"/>
  <c r="W147" i="1"/>
  <c r="X151" i="1"/>
  <c r="X153" i="1" s="1"/>
  <c r="W154" i="1"/>
  <c r="X156" i="1"/>
  <c r="X158" i="1" s="1"/>
  <c r="X168" i="1"/>
  <c r="X185" i="1" s="1"/>
  <c r="X188" i="1"/>
  <c r="X190" i="1" s="1"/>
  <c r="W208" i="1"/>
  <c r="W232" i="1"/>
  <c r="W237" i="1"/>
  <c r="X234" i="1"/>
  <c r="X237" i="1" s="1"/>
  <c r="W243" i="1"/>
  <c r="W250" i="1"/>
  <c r="L472" i="1"/>
  <c r="W261" i="1"/>
  <c r="X253" i="1"/>
  <c r="X260" i="1" s="1"/>
  <c r="W265" i="1"/>
  <c r="W275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6" i="1" l="1"/>
  <c r="X467" i="1"/>
  <c r="W462" i="1"/>
  <c r="W465" i="1"/>
</calcChain>
</file>

<file path=xl/sharedStrings.xml><?xml version="1.0" encoding="utf-8"?>
<sst xmlns="http://schemas.openxmlformats.org/spreadsheetml/2006/main" count="1948" uniqueCount="664">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</sst>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8" t="s">
        <v>8</v>
      </c>
      <c r="B5" s="349"/>
      <c r="C5" s="350"/>
      <c r="D5" s="341"/>
      <c r="E5" s="343"/>
      <c r="F5" s="596" t="s">
        <v>9</v>
      </c>
      <c r="G5" s="350"/>
      <c r="H5" s="341"/>
      <c r="I5" s="342"/>
      <c r="J5" s="342"/>
      <c r="K5" s="342"/>
      <c r="L5" s="343"/>
      <c r="N5" s="24" t="s">
        <v>10</v>
      </c>
      <c r="O5" s="536">
        <v>45255</v>
      </c>
      <c r="P5" s="397"/>
      <c r="R5" s="621" t="s">
        <v>11</v>
      </c>
      <c r="S5" s="369"/>
      <c r="T5" s="480" t="s">
        <v>12</v>
      </c>
      <c r="U5" s="397"/>
      <c r="Z5" s="51"/>
      <c r="AA5" s="51"/>
      <c r="AB5" s="51"/>
    </row>
    <row r="6" spans="1:29" s="300" customFormat="1" ht="24" customHeight="1" x14ac:dyDescent="0.2">
      <c r="A6" s="438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7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3"/>
      <c r="R6" s="368" t="s">
        <v>16</v>
      </c>
      <c r="S6" s="369"/>
      <c r="T6" s="486" t="s">
        <v>17</v>
      </c>
      <c r="U6" s="35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7" t="str">
        <f>IFERROR(VLOOKUP(DeliveryAddress,Table,3,0),1)</f>
        <v>1</v>
      </c>
      <c r="E7" s="508"/>
      <c r="F7" s="508"/>
      <c r="G7" s="508"/>
      <c r="H7" s="508"/>
      <c r="I7" s="508"/>
      <c r="J7" s="508"/>
      <c r="K7" s="508"/>
      <c r="L7" s="509"/>
      <c r="N7" s="24"/>
      <c r="O7" s="42"/>
      <c r="P7" s="42"/>
      <c r="R7" s="323"/>
      <c r="S7" s="369"/>
      <c r="T7" s="487"/>
      <c r="U7" s="488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6">
        <v>0.33333333333333331</v>
      </c>
      <c r="P8" s="397"/>
      <c r="R8" s="323"/>
      <c r="S8" s="369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8"/>
      <c r="E9" s="327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36"/>
      <c r="P9" s="397"/>
      <c r="R9" s="323"/>
      <c r="S9" s="369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8"/>
      <c r="E10" s="327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4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6"/>
      <c r="P10" s="397"/>
      <c r="S10" s="24" t="s">
        <v>22</v>
      </c>
      <c r="T10" s="357" t="s">
        <v>23</v>
      </c>
      <c r="U10" s="35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4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59"/>
      <c r="P12" s="509"/>
      <c r="Q12" s="23"/>
      <c r="S12" s="24"/>
      <c r="T12" s="410"/>
      <c r="U12" s="323"/>
      <c r="Z12" s="51"/>
      <c r="AA12" s="51"/>
      <c r="AB12" s="51"/>
    </row>
    <row r="13" spans="1:29" s="300" customFormat="1" ht="23.25" customHeight="1" x14ac:dyDescent="0.2">
      <c r="A13" s="594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4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9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68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35</v>
      </c>
      <c r="B17" s="352" t="s">
        <v>36</v>
      </c>
      <c r="C17" s="455" t="s">
        <v>37</v>
      </c>
      <c r="D17" s="352" t="s">
        <v>38</v>
      </c>
      <c r="E17" s="417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416"/>
      <c r="P17" s="416"/>
      <c r="Q17" s="416"/>
      <c r="R17" s="417"/>
      <c r="S17" s="630" t="s">
        <v>48</v>
      </c>
      <c r="T17" s="350"/>
      <c r="U17" s="352" t="s">
        <v>49</v>
      </c>
      <c r="V17" s="352" t="s">
        <v>50</v>
      </c>
      <c r="W17" s="361" t="s">
        <v>51</v>
      </c>
      <c r="X17" s="352" t="s">
        <v>52</v>
      </c>
      <c r="Y17" s="376" t="s">
        <v>53</v>
      </c>
      <c r="Z17" s="376" t="s">
        <v>54</v>
      </c>
      <c r="AA17" s="376" t="s">
        <v>55</v>
      </c>
      <c r="AB17" s="377"/>
      <c r="AC17" s="378"/>
      <c r="AD17" s="439"/>
      <c r="BA17" s="373" t="s">
        <v>56</v>
      </c>
    </row>
    <row r="18" spans="1:53" ht="14.25" customHeight="1" x14ac:dyDescent="0.2">
      <c r="A18" s="353"/>
      <c r="B18" s="353"/>
      <c r="C18" s="353"/>
      <c r="D18" s="418"/>
      <c r="E18" s="420"/>
      <c r="F18" s="353"/>
      <c r="G18" s="353"/>
      <c r="H18" s="353"/>
      <c r="I18" s="353"/>
      <c r="J18" s="353"/>
      <c r="K18" s="353"/>
      <c r="L18" s="353"/>
      <c r="M18" s="353"/>
      <c r="N18" s="418"/>
      <c r="O18" s="419"/>
      <c r="P18" s="419"/>
      <c r="Q18" s="419"/>
      <c r="R18" s="420"/>
      <c r="S18" s="301" t="s">
        <v>57</v>
      </c>
      <c r="T18" s="301" t="s">
        <v>58</v>
      </c>
      <c r="U18" s="353"/>
      <c r="V18" s="353"/>
      <c r="W18" s="362"/>
      <c r="X18" s="353"/>
      <c r="Y18" s="537"/>
      <c r="Z18" s="537"/>
      <c r="AA18" s="379"/>
      <c r="AB18" s="380"/>
      <c r="AC18" s="381"/>
      <c r="AD18" s="440"/>
      <c r="BA18" s="323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60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2"/>
      <c r="Z20" s="302"/>
    </row>
    <row r="21" spans="1:53" ht="14.25" customHeight="1" x14ac:dyDescent="0.25">
      <c r="A21" s="335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3"/>
      <c r="Z21" s="30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3"/>
      <c r="Z25" s="30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3"/>
      <c r="Z34" s="303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3"/>
      <c r="Z38" s="303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3"/>
      <c r="Z42" s="303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60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2"/>
      <c r="Z47" s="302"/>
    </row>
    <row r="48" spans="1:53" ht="14.25" customHeight="1" x14ac:dyDescent="0.25">
      <c r="A48" s="335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3"/>
      <c r="Z48" s="303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9">
        <f>IFERROR(V49/H49,"0")+IFERROR(V50/H50,"0")</f>
        <v>33.333333333333329</v>
      </c>
      <c r="W51" s="309">
        <f>IFERROR(W49/H49,"0")+IFERROR(W50/H50,"0")</f>
        <v>34</v>
      </c>
      <c r="X51" s="309">
        <f>IFERROR(IF(X49="",0,X49),"0")+IFERROR(IF(X50="",0,X50),"0")</f>
        <v>0.25602000000000003</v>
      </c>
      <c r="Y51" s="310"/>
      <c r="Z51" s="310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9">
        <f>IFERROR(SUM(V49:V50),"0")</f>
        <v>90</v>
      </c>
      <c r="W52" s="309">
        <f>IFERROR(SUM(W49:W50),"0")</f>
        <v>91.800000000000011</v>
      </c>
      <c r="X52" s="37"/>
      <c r="Y52" s="310"/>
      <c r="Z52" s="310"/>
    </row>
    <row r="53" spans="1:53" ht="16.5" customHeight="1" x14ac:dyDescent="0.25">
      <c r="A53" s="360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2"/>
      <c r="Z53" s="302"/>
    </row>
    <row r="54" spans="1:53" ht="14.25" customHeight="1" x14ac:dyDescent="0.25">
      <c r="A54" s="335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3"/>
      <c r="Z54" s="303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3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200</v>
      </c>
      <c r="W56" s="308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405</v>
      </c>
      <c r="W57" s="308">
        <f>IFERROR(IF(V57="",0,CEILING((V57/$H57),1)*$H57),"")</f>
        <v>405</v>
      </c>
      <c r="X57" s="36">
        <f>IFERROR(IF(W57=0,"",ROUNDUP(W57/H57,0)*0.00937),"")</f>
        <v>0.84329999999999994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0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9">
        <f>IFERROR(V55/H55,"0")+IFERROR(V56/H56,"0")+IFERROR(V57/H57,"0")+IFERROR(V58/H58,"0")</f>
        <v>108.51851851851852</v>
      </c>
      <c r="W59" s="309">
        <f>IFERROR(W55/H55,"0")+IFERROR(W56/H56,"0")+IFERROR(W57/H57,"0")+IFERROR(W58/H58,"0")</f>
        <v>109</v>
      </c>
      <c r="X59" s="309">
        <f>IFERROR(IF(X55="",0,X55),"0")+IFERROR(IF(X56="",0,X56),"0")+IFERROR(IF(X57="",0,X57),"0")+IFERROR(IF(X58="",0,X58),"0")</f>
        <v>1.2565499999999998</v>
      </c>
      <c r="Y59" s="310"/>
      <c r="Z59" s="310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9">
        <f>IFERROR(SUM(V55:V58),"0")</f>
        <v>605</v>
      </c>
      <c r="W60" s="309">
        <f>IFERROR(SUM(W55:W58),"0")</f>
        <v>610.20000000000005</v>
      </c>
      <c r="X60" s="37"/>
      <c r="Y60" s="310"/>
      <c r="Z60" s="310"/>
    </row>
    <row r="61" spans="1:53" ht="16.5" customHeight="1" x14ac:dyDescent="0.25">
      <c r="A61" s="360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2"/>
      <c r="Z61" s="302"/>
    </row>
    <row r="62" spans="1:53" ht="14.25" customHeight="1" x14ac:dyDescent="0.25">
      <c r="A62" s="335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3"/>
      <c r="Z62" s="303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1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86" t="s">
        <v>120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100</v>
      </c>
      <c r="W65" s="308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48" t="s">
        <v>126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5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4301011382</v>
      </c>
      <c r="D69" s="315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80</v>
      </c>
      <c r="W69" s="308">
        <f t="shared" si="2"/>
        <v>80</v>
      </c>
      <c r="X69" s="36">
        <f t="shared" si="3"/>
        <v>0.18740000000000001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3" t="s">
        <v>143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3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90</v>
      </c>
      <c r="W77" s="308">
        <f t="shared" si="2"/>
        <v>90</v>
      </c>
      <c r="X77" s="36">
        <f>IFERROR(IF(W77=0,"",ROUNDUP(W77/H77,0)*0.00937),"")</f>
        <v>0.18740000000000001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4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149.25925925925927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150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1.5292999999999999</v>
      </c>
      <c r="Y79" s="310"/>
      <c r="Z79" s="310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4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9">
        <f>IFERROR(SUM(V63:V78),"0")</f>
        <v>720</v>
      </c>
      <c r="W80" s="309">
        <f>IFERROR(SUM(W63:W78),"0")</f>
        <v>728</v>
      </c>
      <c r="X80" s="37"/>
      <c r="Y80" s="310"/>
      <c r="Z80" s="310"/>
    </row>
    <row r="81" spans="1:53" ht="14.25" customHeight="1" x14ac:dyDescent="0.25">
      <c r="A81" s="335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03"/>
      <c r="Z81" s="303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2" t="s">
        <v>154</v>
      </c>
      <c r="O82" s="312"/>
      <c r="P82" s="312"/>
      <c r="Q82" s="312"/>
      <c r="R82" s="313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8" t="s">
        <v>159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8" t="s">
        <v>162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1" t="s">
        <v>166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4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4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03"/>
      <c r="Z91" s="303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4"/>
      <c r="N100" s="316" t="s">
        <v>66</v>
      </c>
      <c r="O100" s="317"/>
      <c r="P100" s="317"/>
      <c r="Q100" s="317"/>
      <c r="R100" s="317"/>
      <c r="S100" s="317"/>
      <c r="T100" s="318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4"/>
      <c r="N101" s="316" t="s">
        <v>66</v>
      </c>
      <c r="O101" s="317"/>
      <c r="P101" s="317"/>
      <c r="Q101" s="317"/>
      <c r="R101" s="317"/>
      <c r="S101" s="317"/>
      <c r="T101" s="318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03"/>
      <c r="Z102" s="303"/>
    </row>
    <row r="103" spans="1:53" ht="27" customHeight="1" x14ac:dyDescent="0.25">
      <c r="A103" s="54" t="s">
        <v>187</v>
      </c>
      <c r="B103" s="54" t="s">
        <v>188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407" t="s">
        <v>189</v>
      </c>
      <c r="O103" s="312"/>
      <c r="P103" s="312"/>
      <c r="Q103" s="312"/>
      <c r="R103" s="313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46" t="s">
        <v>191</v>
      </c>
      <c r="O104" s="312"/>
      <c r="P104" s="312"/>
      <c r="Q104" s="312"/>
      <c r="R104" s="313"/>
      <c r="S104" s="34"/>
      <c r="T104" s="34"/>
      <c r="U104" s="35" t="s">
        <v>65</v>
      </c>
      <c r="V104" s="307">
        <v>100</v>
      </c>
      <c r="W104" s="308">
        <f t="shared" si="6"/>
        <v>100.80000000000001</v>
      </c>
      <c r="X104" s="36">
        <f>IFERROR(IF(W104=0,"",ROUNDUP(W104/H104,0)*0.02175),"")</f>
        <v>0.26100000000000001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192</v>
      </c>
      <c r="B105" s="54" t="s">
        <v>193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72" t="s">
        <v>194</v>
      </c>
      <c r="O105" s="312"/>
      <c r="P105" s="312"/>
      <c r="Q105" s="312"/>
      <c r="R105" s="313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195</v>
      </c>
      <c r="B106" s="54" t="s">
        <v>196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197</v>
      </c>
      <c r="B107" s="54" t="s">
        <v>198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199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135</v>
      </c>
      <c r="W107" s="308">
        <f t="shared" si="6"/>
        <v>135</v>
      </c>
      <c r="X107" s="36">
        <f>IFERROR(IF(W107=0,"",ROUNDUP(W107/H107,0)*0.00753),"")</f>
        <v>0.3765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200</v>
      </c>
      <c r="B108" s="54" t="s">
        <v>201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516" t="s">
        <v>202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203</v>
      </c>
      <c r="B109" s="54" t="s">
        <v>204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533" t="s">
        <v>205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15</v>
      </c>
      <c r="W110" s="308">
        <f t="shared" si="6"/>
        <v>15</v>
      </c>
      <c r="X110" s="36">
        <f>IFERROR(IF(W110=0,"",ROUNDUP(W110/H110,0)*0.00753),"")</f>
        <v>3.7650000000000003E-2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208</v>
      </c>
      <c r="B111" s="54" t="s">
        <v>209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38" t="s">
        <v>210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4"/>
      <c r="N112" s="316" t="s">
        <v>66</v>
      </c>
      <c r="O112" s="317"/>
      <c r="P112" s="317"/>
      <c r="Q112" s="317"/>
      <c r="R112" s="317"/>
      <c r="S112" s="317"/>
      <c r="T112" s="318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66.904761904761898</v>
      </c>
      <c r="W112" s="309">
        <f>IFERROR(W103/H103,"0")+IFERROR(W104/H104,"0")+IFERROR(W105/H105,"0")+IFERROR(W106/H106,"0")+IFERROR(W107/H107,"0")+IFERROR(W108/H108,"0")+IFERROR(W109/H109,"0")+IFERROR(W110/H110,"0")+IFERROR(W111/H111,"0")</f>
        <v>67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0.67514999999999992</v>
      </c>
      <c r="Y112" s="310"/>
      <c r="Z112" s="310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4"/>
      <c r="N113" s="316" t="s">
        <v>66</v>
      </c>
      <c r="O113" s="317"/>
      <c r="P113" s="317"/>
      <c r="Q113" s="317"/>
      <c r="R113" s="317"/>
      <c r="S113" s="317"/>
      <c r="T113" s="318"/>
      <c r="U113" s="37" t="s">
        <v>65</v>
      </c>
      <c r="V113" s="309">
        <f>IFERROR(SUM(V103:V111),"0")</f>
        <v>250</v>
      </c>
      <c r="W113" s="309">
        <f>IFERROR(SUM(W103:W111),"0")</f>
        <v>250.8</v>
      </c>
      <c r="X113" s="37"/>
      <c r="Y113" s="310"/>
      <c r="Z113" s="310"/>
    </row>
    <row r="114" spans="1:53" ht="14.25" customHeight="1" x14ac:dyDescent="0.25">
      <c r="A114" s="335" t="s">
        <v>211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03"/>
      <c r="Z114" s="303"/>
    </row>
    <row r="115" spans="1:53" ht="27" customHeight="1" x14ac:dyDescent="0.25">
      <c r="A115" s="54" t="s">
        <v>212</v>
      </c>
      <c r="B115" s="54" t="s">
        <v>213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214</v>
      </c>
      <c r="B116" s="54" t="s">
        <v>215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65</v>
      </c>
      <c r="V116" s="307">
        <v>20</v>
      </c>
      <c r="W116" s="308">
        <f>IFERROR(IF(V116="",0,CEILING((V116/$H116),1)*$H116),"")</f>
        <v>24.299999999999997</v>
      </c>
      <c r="X116" s="36">
        <f>IFERROR(IF(W116=0,"",ROUNDUP(W116/H116,0)*0.02175),"")</f>
        <v>6.5250000000000002E-2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553" t="s">
        <v>218</v>
      </c>
      <c r="O117" s="312"/>
      <c r="P117" s="312"/>
      <c r="Q117" s="312"/>
      <c r="R117" s="313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219</v>
      </c>
      <c r="B118" s="54" t="s">
        <v>220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4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221</v>
      </c>
      <c r="B119" s="54" t="s">
        <v>222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539" t="s">
        <v>223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4"/>
      <c r="N120" s="316" t="s">
        <v>66</v>
      </c>
      <c r="O120" s="317"/>
      <c r="P120" s="317"/>
      <c r="Q120" s="317"/>
      <c r="R120" s="317"/>
      <c r="S120" s="317"/>
      <c r="T120" s="318"/>
      <c r="U120" s="37" t="s">
        <v>67</v>
      </c>
      <c r="V120" s="309">
        <f>IFERROR(V115/H115,"0")+IFERROR(V116/H116,"0")+IFERROR(V117/H117,"0")+IFERROR(V118/H118,"0")+IFERROR(V119/H119,"0")</f>
        <v>2.4691358024691361</v>
      </c>
      <c r="W120" s="309">
        <f>IFERROR(W115/H115,"0")+IFERROR(W116/H116,"0")+IFERROR(W117/H117,"0")+IFERROR(W118/H118,"0")+IFERROR(W119/H119,"0")</f>
        <v>3</v>
      </c>
      <c r="X120" s="309">
        <f>IFERROR(IF(X115="",0,X115),"0")+IFERROR(IF(X116="",0,X116),"0")+IFERROR(IF(X117="",0,X117),"0")+IFERROR(IF(X118="",0,X118),"0")+IFERROR(IF(X119="",0,X119),"0")</f>
        <v>6.5250000000000002E-2</v>
      </c>
      <c r="Y120" s="310"/>
      <c r="Z120" s="310"/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4"/>
      <c r="N121" s="316" t="s">
        <v>66</v>
      </c>
      <c r="O121" s="317"/>
      <c r="P121" s="317"/>
      <c r="Q121" s="317"/>
      <c r="R121" s="317"/>
      <c r="S121" s="317"/>
      <c r="T121" s="318"/>
      <c r="U121" s="37" t="s">
        <v>65</v>
      </c>
      <c r="V121" s="309">
        <f>IFERROR(SUM(V115:V119),"0")</f>
        <v>20</v>
      </c>
      <c r="W121" s="309">
        <f>IFERROR(SUM(W115:W119),"0")</f>
        <v>24.299999999999997</v>
      </c>
      <c r="X121" s="37"/>
      <c r="Y121" s="310"/>
      <c r="Z121" s="310"/>
    </row>
    <row r="122" spans="1:53" ht="16.5" customHeight="1" x14ac:dyDescent="0.25">
      <c r="A122" s="360" t="s">
        <v>224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2"/>
      <c r="Z122" s="302"/>
    </row>
    <row r="123" spans="1:53" ht="14.25" customHeight="1" x14ac:dyDescent="0.25">
      <c r="A123" s="335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03"/>
      <c r="Z123" s="303"/>
    </row>
    <row r="124" spans="1:53" ht="27" customHeight="1" x14ac:dyDescent="0.25">
      <c r="A124" s="54" t="s">
        <v>225</v>
      </c>
      <c r="B124" s="54" t="s">
        <v>226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34" t="s">
        <v>227</v>
      </c>
      <c r="O124" s="312"/>
      <c r="P124" s="312"/>
      <c r="Q124" s="312"/>
      <c r="R124" s="313"/>
      <c r="S124" s="34"/>
      <c r="T124" s="34"/>
      <c r="U124" s="35" t="s">
        <v>65</v>
      </c>
      <c r="V124" s="307">
        <v>200</v>
      </c>
      <c r="W124" s="308">
        <f>IFERROR(IF(V124="",0,CEILING((V124/$H124),1)*$H124),"")</f>
        <v>201.60000000000002</v>
      </c>
      <c r="X124" s="36">
        <f>IFERROR(IF(W124=0,"",ROUNDUP(W124/H124,0)*0.02175),"")</f>
        <v>0.52200000000000002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228</v>
      </c>
      <c r="B125" s="54" t="s">
        <v>229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230</v>
      </c>
      <c r="B126" s="54" t="s">
        <v>231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65</v>
      </c>
      <c r="V126" s="307">
        <v>225</v>
      </c>
      <c r="W126" s="308">
        <f>IFERROR(IF(V126="",0,CEILING((V126/$H126),1)*$H126),"")</f>
        <v>226.8</v>
      </c>
      <c r="X126" s="36">
        <f>IFERROR(IF(W126=0,"",ROUNDUP(W126/H126,0)*0.00753),"")</f>
        <v>0.63251999999999997</v>
      </c>
      <c r="Y126" s="56"/>
      <c r="Z126" s="57"/>
      <c r="AD126" s="58"/>
      <c r="BA126" s="122" t="s">
        <v>1</v>
      </c>
    </row>
    <row r="127" spans="1:53" x14ac:dyDescent="0.2">
      <c r="A127" s="322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16" t="s">
        <v>66</v>
      </c>
      <c r="O127" s="317"/>
      <c r="P127" s="317"/>
      <c r="Q127" s="317"/>
      <c r="R127" s="317"/>
      <c r="S127" s="317"/>
      <c r="T127" s="318"/>
      <c r="U127" s="37" t="s">
        <v>67</v>
      </c>
      <c r="V127" s="309">
        <f>IFERROR(V124/H124,"0")+IFERROR(V125/H125,"0")+IFERROR(V126/H126,"0")</f>
        <v>107.14285714285714</v>
      </c>
      <c r="W127" s="309">
        <f>IFERROR(W124/H124,"0")+IFERROR(W125/H125,"0")+IFERROR(W126/H126,"0")</f>
        <v>108</v>
      </c>
      <c r="X127" s="309">
        <f>IFERROR(IF(X124="",0,X124),"0")+IFERROR(IF(X125="",0,X125),"0")+IFERROR(IF(X126="",0,X126),"0")</f>
        <v>1.15452</v>
      </c>
      <c r="Y127" s="310"/>
      <c r="Z127" s="310"/>
    </row>
    <row r="128" spans="1:53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4"/>
      <c r="N128" s="316" t="s">
        <v>66</v>
      </c>
      <c r="O128" s="317"/>
      <c r="P128" s="317"/>
      <c r="Q128" s="317"/>
      <c r="R128" s="317"/>
      <c r="S128" s="317"/>
      <c r="T128" s="318"/>
      <c r="U128" s="37" t="s">
        <v>65</v>
      </c>
      <c r="V128" s="309">
        <f>IFERROR(SUM(V124:V126),"0")</f>
        <v>425</v>
      </c>
      <c r="W128" s="309">
        <f>IFERROR(SUM(W124:W126),"0")</f>
        <v>428.40000000000003</v>
      </c>
      <c r="X128" s="37"/>
      <c r="Y128" s="310"/>
      <c r="Z128" s="310"/>
    </row>
    <row r="129" spans="1:53" ht="27.75" customHeight="1" x14ac:dyDescent="0.2">
      <c r="A129" s="363" t="s">
        <v>232</v>
      </c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48"/>
      <c r="Z129" s="48"/>
    </row>
    <row r="130" spans="1:53" ht="16.5" customHeight="1" x14ac:dyDescent="0.25">
      <c r="A130" s="360" t="s">
        <v>233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2"/>
      <c r="Z130" s="302"/>
    </row>
    <row r="131" spans="1:53" ht="14.25" customHeight="1" x14ac:dyDescent="0.25">
      <c r="A131" s="335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03"/>
      <c r="Z131" s="303"/>
    </row>
    <row r="132" spans="1:53" ht="27" customHeight="1" x14ac:dyDescent="0.25">
      <c r="A132" s="54" t="s">
        <v>234</v>
      </c>
      <c r="B132" s="54" t="s">
        <v>235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236</v>
      </c>
      <c r="B133" s="54" t="s">
        <v>237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238</v>
      </c>
      <c r="B134" s="54" t="s">
        <v>239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4"/>
      <c r="N135" s="316" t="s">
        <v>66</v>
      </c>
      <c r="O135" s="317"/>
      <c r="P135" s="317"/>
      <c r="Q135" s="317"/>
      <c r="R135" s="317"/>
      <c r="S135" s="317"/>
      <c r="T135" s="318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4"/>
      <c r="N136" s="316" t="s">
        <v>66</v>
      </c>
      <c r="O136" s="317"/>
      <c r="P136" s="317"/>
      <c r="Q136" s="317"/>
      <c r="R136" s="317"/>
      <c r="S136" s="317"/>
      <c r="T136" s="318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60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2"/>
      <c r="Z137" s="302"/>
    </row>
    <row r="138" spans="1:53" ht="14.25" customHeight="1" x14ac:dyDescent="0.25">
      <c r="A138" s="335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03"/>
      <c r="Z138" s="303"/>
    </row>
    <row r="139" spans="1:53" ht="27" customHeight="1" x14ac:dyDescent="0.25">
      <c r="A139" s="54" t="s">
        <v>241</v>
      </c>
      <c r="B139" s="54" t="s">
        <v>242</v>
      </c>
      <c r="C139" s="31">
        <v>4301031191</v>
      </c>
      <c r="D139" s="315">
        <v>4680115880993</v>
      </c>
      <c r="E139" s="313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2"/>
      <c r="P139" s="312"/>
      <c r="Q139" s="312"/>
      <c r="R139" s="313"/>
      <c r="S139" s="34"/>
      <c r="T139" s="34"/>
      <c r="U139" s="35" t="s">
        <v>65</v>
      </c>
      <c r="V139" s="307">
        <v>0</v>
      </c>
      <c r="W139" s="308">
        <f t="shared" ref="W139:W146" si="7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4301031204</v>
      </c>
      <c r="D140" s="315">
        <v>4680115881761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2"/>
      <c r="P140" s="312"/>
      <c r="Q140" s="312"/>
      <c r="R140" s="313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4301031201</v>
      </c>
      <c r="D141" s="315">
        <v>4680115881563</v>
      </c>
      <c r="E141" s="313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4301031199</v>
      </c>
      <c r="D142" s="315">
        <v>4680115880986</v>
      </c>
      <c r="E142" s="313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2"/>
      <c r="P142" s="312"/>
      <c r="Q142" s="312"/>
      <c r="R142" s="313"/>
      <c r="S142" s="34"/>
      <c r="T142" s="34"/>
      <c r="U142" s="35" t="s">
        <v>65</v>
      </c>
      <c r="V142" s="307">
        <v>52.5</v>
      </c>
      <c r="W142" s="308">
        <f t="shared" si="7"/>
        <v>52.5</v>
      </c>
      <c r="X142" s="36">
        <f>IFERROR(IF(W142=0,"",ROUNDUP(W142/H142,0)*0.00502),"")</f>
        <v>0.1255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4301031190</v>
      </c>
      <c r="D143" s="315">
        <v>4680115880207</v>
      </c>
      <c r="E143" s="313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4301031205</v>
      </c>
      <c r="D144" s="315">
        <v>4680115881785</v>
      </c>
      <c r="E144" s="313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52.5</v>
      </c>
      <c r="W144" s="308">
        <f t="shared" si="7"/>
        <v>52.5</v>
      </c>
      <c r="X144" s="36">
        <f>IFERROR(IF(W144=0,"",ROUNDUP(W144/H144,0)*0.00502),"")</f>
        <v>0.1255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4301031202</v>
      </c>
      <c r="D145" s="315">
        <v>4680115881679</v>
      </c>
      <c r="E145" s="313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35</v>
      </c>
      <c r="W145" s="308">
        <f t="shared" si="7"/>
        <v>35.700000000000003</v>
      </c>
      <c r="X145" s="36">
        <f>IFERROR(IF(W145=0,"",ROUNDUP(W145/H145,0)*0.00502),"")</f>
        <v>8.5339999999999999E-2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4301031158</v>
      </c>
      <c r="D146" s="315">
        <v>4680115880191</v>
      </c>
      <c r="E146" s="313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22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4"/>
      <c r="N147" s="316" t="s">
        <v>66</v>
      </c>
      <c r="O147" s="317"/>
      <c r="P147" s="317"/>
      <c r="Q147" s="317"/>
      <c r="R147" s="317"/>
      <c r="S147" s="317"/>
      <c r="T147" s="318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66.666666666666657</v>
      </c>
      <c r="W147" s="309">
        <f>IFERROR(W139/H139,"0")+IFERROR(W140/H140,"0")+IFERROR(W141/H141,"0")+IFERROR(W142/H142,"0")+IFERROR(W143/H143,"0")+IFERROR(W144/H144,"0")+IFERROR(W145/H145,"0")+IFERROR(W146/H146,"0")</f>
        <v>67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0.33633999999999997</v>
      </c>
      <c r="Y147" s="310"/>
      <c r="Z147" s="310"/>
    </row>
    <row r="148" spans="1:53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4"/>
      <c r="N148" s="316" t="s">
        <v>66</v>
      </c>
      <c r="O148" s="317"/>
      <c r="P148" s="317"/>
      <c r="Q148" s="317"/>
      <c r="R148" s="317"/>
      <c r="S148" s="317"/>
      <c r="T148" s="318"/>
      <c r="U148" s="37" t="s">
        <v>65</v>
      </c>
      <c r="V148" s="309">
        <f>IFERROR(SUM(V139:V146),"0")</f>
        <v>140</v>
      </c>
      <c r="W148" s="309">
        <f>IFERROR(SUM(W139:W146),"0")</f>
        <v>140.69999999999999</v>
      </c>
      <c r="X148" s="37"/>
      <c r="Y148" s="310"/>
      <c r="Z148" s="310"/>
    </row>
    <row r="149" spans="1:53" ht="16.5" customHeight="1" x14ac:dyDescent="0.25">
      <c r="A149" s="360" t="s">
        <v>257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02"/>
      <c r="Z149" s="302"/>
    </row>
    <row r="150" spans="1:53" ht="14.25" customHeight="1" x14ac:dyDescent="0.25">
      <c r="A150" s="335" t="s">
        <v>103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3"/>
      <c r="Z150" s="303"/>
    </row>
    <row r="151" spans="1:53" ht="16.5" customHeight="1" x14ac:dyDescent="0.25">
      <c r="A151" s="54" t="s">
        <v>258</v>
      </c>
      <c r="B151" s="54" t="s">
        <v>259</v>
      </c>
      <c r="C151" s="31">
        <v>4301011450</v>
      </c>
      <c r="D151" s="315">
        <v>4680115881402</v>
      </c>
      <c r="E151" s="313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12"/>
      <c r="P151" s="312"/>
      <c r="Q151" s="312"/>
      <c r="R151" s="313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260</v>
      </c>
      <c r="B152" s="54" t="s">
        <v>261</v>
      </c>
      <c r="C152" s="31">
        <v>4301011454</v>
      </c>
      <c r="D152" s="315">
        <v>4680115881396</v>
      </c>
      <c r="E152" s="313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12"/>
      <c r="P152" s="312"/>
      <c r="Q152" s="312"/>
      <c r="R152" s="313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4"/>
      <c r="N153" s="316" t="s">
        <v>66</v>
      </c>
      <c r="O153" s="317"/>
      <c r="P153" s="317"/>
      <c r="Q153" s="317"/>
      <c r="R153" s="317"/>
      <c r="S153" s="317"/>
      <c r="T153" s="318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16" t="s">
        <v>66</v>
      </c>
      <c r="O154" s="317"/>
      <c r="P154" s="317"/>
      <c r="Q154" s="317"/>
      <c r="R154" s="317"/>
      <c r="S154" s="317"/>
      <c r="T154" s="318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35" t="s">
        <v>95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23"/>
      <c r="Y155" s="303"/>
      <c r="Z155" s="303"/>
    </row>
    <row r="156" spans="1:53" ht="16.5" customHeight="1" x14ac:dyDescent="0.25">
      <c r="A156" s="54" t="s">
        <v>262</v>
      </c>
      <c r="B156" s="54" t="s">
        <v>263</v>
      </c>
      <c r="C156" s="31">
        <v>4301020262</v>
      </c>
      <c r="D156" s="315">
        <v>4680115882935</v>
      </c>
      <c r="E156" s="313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627" t="s">
        <v>264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265</v>
      </c>
      <c r="B157" s="54" t="s">
        <v>266</v>
      </c>
      <c r="C157" s="31">
        <v>4301020220</v>
      </c>
      <c r="D157" s="315">
        <v>4680115880764</v>
      </c>
      <c r="E157" s="313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12"/>
      <c r="P157" s="312"/>
      <c r="Q157" s="312"/>
      <c r="R157" s="313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22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16" t="s">
        <v>66</v>
      </c>
      <c r="O158" s="317"/>
      <c r="P158" s="317"/>
      <c r="Q158" s="317"/>
      <c r="R158" s="317"/>
      <c r="S158" s="317"/>
      <c r="T158" s="318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x14ac:dyDescent="0.2">
      <c r="A159" s="323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4"/>
      <c r="N159" s="316" t="s">
        <v>66</v>
      </c>
      <c r="O159" s="317"/>
      <c r="P159" s="317"/>
      <c r="Q159" s="317"/>
      <c r="R159" s="317"/>
      <c r="S159" s="317"/>
      <c r="T159" s="318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customHeight="1" x14ac:dyDescent="0.25">
      <c r="A160" s="335" t="s">
        <v>60</v>
      </c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03"/>
      <c r="Z160" s="303"/>
    </row>
    <row r="161" spans="1:53" ht="27" customHeight="1" x14ac:dyDescent="0.25">
      <c r="A161" s="54" t="s">
        <v>267</v>
      </c>
      <c r="B161" s="54" t="s">
        <v>268</v>
      </c>
      <c r="C161" s="31">
        <v>4301031224</v>
      </c>
      <c r="D161" s="315">
        <v>4680115882683</v>
      </c>
      <c r="E161" s="313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100</v>
      </c>
      <c r="W161" s="308">
        <f>IFERROR(IF(V161="",0,CEILING((V161/$H161),1)*$H161),"")</f>
        <v>102.60000000000001</v>
      </c>
      <c r="X161" s="36">
        <f>IFERROR(IF(W161=0,"",ROUNDUP(W161/H161,0)*0.00937),"")</f>
        <v>0.17802999999999999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4301031230</v>
      </c>
      <c r="D162" s="315">
        <v>4680115882690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65</v>
      </c>
      <c r="V162" s="307">
        <v>100</v>
      </c>
      <c r="W162" s="308">
        <f>IFERROR(IF(V162="",0,CEILING((V162/$H162),1)*$H162),"")</f>
        <v>102.60000000000001</v>
      </c>
      <c r="X162" s="36">
        <f>IFERROR(IF(W162=0,"",ROUNDUP(W162/H162,0)*0.00937),"")</f>
        <v>0.17802999999999999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271</v>
      </c>
      <c r="B163" s="54" t="s">
        <v>272</v>
      </c>
      <c r="C163" s="31">
        <v>4301031220</v>
      </c>
      <c r="D163" s="315">
        <v>4680115882669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65</v>
      </c>
      <c r="V163" s="307">
        <v>100</v>
      </c>
      <c r="W163" s="308">
        <f>IFERROR(IF(V163="",0,CEILING((V163/$H163),1)*$H163),"")</f>
        <v>102.60000000000001</v>
      </c>
      <c r="X163" s="36">
        <f>IFERROR(IF(W163=0,"",ROUNDUP(W163/H163,0)*0.00937),"")</f>
        <v>0.17802999999999999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4301031221</v>
      </c>
      <c r="D164" s="315">
        <v>4680115882676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65</v>
      </c>
      <c r="V164" s="307">
        <v>100</v>
      </c>
      <c r="W164" s="308">
        <f>IFERROR(IF(V164="",0,CEILING((V164/$H164),1)*$H164),"")</f>
        <v>102.60000000000001</v>
      </c>
      <c r="X164" s="36">
        <f>IFERROR(IF(W164=0,"",ROUNDUP(W164/H164,0)*0.00937),"")</f>
        <v>0.17802999999999999</v>
      </c>
      <c r="Y164" s="56"/>
      <c r="Z164" s="57"/>
      <c r="AD164" s="58"/>
      <c r="BA164" s="141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16" t="s">
        <v>66</v>
      </c>
      <c r="O165" s="317"/>
      <c r="P165" s="317"/>
      <c r="Q165" s="317"/>
      <c r="R165" s="317"/>
      <c r="S165" s="317"/>
      <c r="T165" s="318"/>
      <c r="U165" s="37" t="s">
        <v>67</v>
      </c>
      <c r="V165" s="309">
        <f>IFERROR(V161/H161,"0")+IFERROR(V162/H162,"0")+IFERROR(V163/H163,"0")+IFERROR(V164/H164,"0")</f>
        <v>74.074074074074076</v>
      </c>
      <c r="W165" s="309">
        <f>IFERROR(W161/H161,"0")+IFERROR(W162/H162,"0")+IFERROR(W163/H163,"0")+IFERROR(W164/H164,"0")</f>
        <v>76</v>
      </c>
      <c r="X165" s="309">
        <f>IFERROR(IF(X161="",0,X161),"0")+IFERROR(IF(X162="",0,X162),"0")+IFERROR(IF(X163="",0,X163),"0")+IFERROR(IF(X164="",0,X164),"0")</f>
        <v>0.71211999999999998</v>
      </c>
      <c r="Y165" s="310"/>
      <c r="Z165" s="310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16" t="s">
        <v>66</v>
      </c>
      <c r="O166" s="317"/>
      <c r="P166" s="317"/>
      <c r="Q166" s="317"/>
      <c r="R166" s="317"/>
      <c r="S166" s="317"/>
      <c r="T166" s="318"/>
      <c r="U166" s="37" t="s">
        <v>65</v>
      </c>
      <c r="V166" s="309">
        <f>IFERROR(SUM(V161:V164),"0")</f>
        <v>400</v>
      </c>
      <c r="W166" s="309">
        <f>IFERROR(SUM(W161:W164),"0")</f>
        <v>410.40000000000003</v>
      </c>
      <c r="X166" s="37"/>
      <c r="Y166" s="310"/>
      <c r="Z166" s="310"/>
    </row>
    <row r="167" spans="1:53" ht="14.25" customHeight="1" x14ac:dyDescent="0.25">
      <c r="A167" s="335" t="s">
        <v>68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03"/>
      <c r="Z167" s="303"/>
    </row>
    <row r="168" spans="1:53" ht="27" customHeight="1" x14ac:dyDescent="0.25">
      <c r="A168" s="54" t="s">
        <v>275</v>
      </c>
      <c r="B168" s="54" t="s">
        <v>276</v>
      </c>
      <c r="C168" s="31">
        <v>4301051409</v>
      </c>
      <c r="D168" s="315">
        <v>4680115881556</v>
      </c>
      <c r="E168" s="313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277</v>
      </c>
      <c r="B169" s="54" t="s">
        <v>278</v>
      </c>
      <c r="C169" s="31">
        <v>4301051538</v>
      </c>
      <c r="D169" s="315">
        <v>4680115880573</v>
      </c>
      <c r="E169" s="313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491" t="s">
        <v>279</v>
      </c>
      <c r="O169" s="312"/>
      <c r="P169" s="312"/>
      <c r="Q169" s="312"/>
      <c r="R169" s="313"/>
      <c r="S169" s="34"/>
      <c r="T169" s="34"/>
      <c r="U169" s="35" t="s">
        <v>65</v>
      </c>
      <c r="V169" s="307">
        <v>50</v>
      </c>
      <c r="W169" s="308">
        <f t="shared" si="8"/>
        <v>52.199999999999996</v>
      </c>
      <c r="X169" s="36">
        <f>IFERROR(IF(W169=0,"",ROUNDUP(W169/H169,0)*0.02175),"")</f>
        <v>0.1305</v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280</v>
      </c>
      <c r="B170" s="54" t="s">
        <v>281</v>
      </c>
      <c r="C170" s="31">
        <v>4301051408</v>
      </c>
      <c r="D170" s="315">
        <v>4680115881594</v>
      </c>
      <c r="E170" s="313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3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12"/>
      <c r="P170" s="312"/>
      <c r="Q170" s="312"/>
      <c r="R170" s="313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282</v>
      </c>
      <c r="B171" s="54" t="s">
        <v>283</v>
      </c>
      <c r="C171" s="31">
        <v>4301051505</v>
      </c>
      <c r="D171" s="315">
        <v>4680115881587</v>
      </c>
      <c r="E171" s="313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510" t="s">
        <v>284</v>
      </c>
      <c r="O171" s="312"/>
      <c r="P171" s="312"/>
      <c r="Q171" s="312"/>
      <c r="R171" s="313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285</v>
      </c>
      <c r="B172" s="54" t="s">
        <v>286</v>
      </c>
      <c r="C172" s="31">
        <v>4301051380</v>
      </c>
      <c r="D172" s="315">
        <v>4680115880962</v>
      </c>
      <c r="E172" s="313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3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287</v>
      </c>
      <c r="B173" s="54" t="s">
        <v>288</v>
      </c>
      <c r="C173" s="31">
        <v>4301051411</v>
      </c>
      <c r="D173" s="315">
        <v>4680115881617</v>
      </c>
      <c r="E173" s="313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3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289</v>
      </c>
      <c r="B174" s="54" t="s">
        <v>290</v>
      </c>
      <c r="C174" s="31">
        <v>4301051487</v>
      </c>
      <c r="D174" s="315">
        <v>4680115881228</v>
      </c>
      <c r="E174" s="313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82" t="s">
        <v>291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120</v>
      </c>
      <c r="W174" s="308">
        <f t="shared" si="8"/>
        <v>120</v>
      </c>
      <c r="X174" s="36">
        <f>IFERROR(IF(W174=0,"",ROUNDUP(W174/H174,0)*0.00753),"")</f>
        <v>0.3765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4301051506</v>
      </c>
      <c r="D175" s="315">
        <v>4680115881037</v>
      </c>
      <c r="E175" s="313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351" t="s">
        <v>294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4301051384</v>
      </c>
      <c r="D176" s="315">
        <v>4680115881211</v>
      </c>
      <c r="E176" s="313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3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280</v>
      </c>
      <c r="W176" s="308">
        <f t="shared" si="8"/>
        <v>280.8</v>
      </c>
      <c r="X176" s="36">
        <f>IFERROR(IF(W176=0,"",ROUNDUP(W176/H176,0)*0.00753),"")</f>
        <v>0.88101000000000007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4301051378</v>
      </c>
      <c r="D177" s="315">
        <v>4680115881020</v>
      </c>
      <c r="E177" s="313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4301051407</v>
      </c>
      <c r="D178" s="315">
        <v>4680115882195</v>
      </c>
      <c r="E178" s="313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3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160</v>
      </c>
      <c r="W178" s="308">
        <f t="shared" si="8"/>
        <v>160.79999999999998</v>
      </c>
      <c r="X178" s="36">
        <f t="shared" ref="X178:X184" si="9">IFERROR(IF(W178=0,"",ROUNDUP(W178/H178,0)*0.00753),"")</f>
        <v>0.50451000000000001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4301051479</v>
      </c>
      <c r="D179" s="315">
        <v>4680115882607</v>
      </c>
      <c r="E179" s="313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4301051468</v>
      </c>
      <c r="D180" s="315">
        <v>4680115880092</v>
      </c>
      <c r="E180" s="313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6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280</v>
      </c>
      <c r="W180" s="308">
        <f t="shared" si="8"/>
        <v>280.8</v>
      </c>
      <c r="X180" s="36">
        <f t="shared" si="9"/>
        <v>0.88101000000000007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4301051469</v>
      </c>
      <c r="D181" s="315">
        <v>4680115880221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3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307</v>
      </c>
      <c r="B182" s="54" t="s">
        <v>308</v>
      </c>
      <c r="C182" s="31">
        <v>4301051523</v>
      </c>
      <c r="D182" s="315">
        <v>4680115882942</v>
      </c>
      <c r="E182" s="313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309</v>
      </c>
      <c r="B183" s="54" t="s">
        <v>310</v>
      </c>
      <c r="C183" s="31">
        <v>4301051326</v>
      </c>
      <c r="D183" s="315">
        <v>4680115880504</v>
      </c>
      <c r="E183" s="313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240</v>
      </c>
      <c r="W183" s="308">
        <f t="shared" si="8"/>
        <v>240</v>
      </c>
      <c r="X183" s="36">
        <f t="shared" si="9"/>
        <v>0.753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311</v>
      </c>
      <c r="B184" s="54" t="s">
        <v>312</v>
      </c>
      <c r="C184" s="31">
        <v>4301051410</v>
      </c>
      <c r="D184" s="315">
        <v>4680115882164</v>
      </c>
      <c r="E184" s="313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5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160</v>
      </c>
      <c r="W184" s="308">
        <f t="shared" si="8"/>
        <v>160.79999999999998</v>
      </c>
      <c r="X184" s="36">
        <f t="shared" si="9"/>
        <v>0.50451000000000001</v>
      </c>
      <c r="Y184" s="56"/>
      <c r="Z184" s="57"/>
      <c r="AD184" s="58"/>
      <c r="BA184" s="158" t="s">
        <v>1</v>
      </c>
    </row>
    <row r="185" spans="1:53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4"/>
      <c r="N185" s="316" t="s">
        <v>66</v>
      </c>
      <c r="O185" s="317"/>
      <c r="P185" s="317"/>
      <c r="Q185" s="317"/>
      <c r="R185" s="317"/>
      <c r="S185" s="317"/>
      <c r="T185" s="318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522.41379310344826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524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4.03104</v>
      </c>
      <c r="Y185" s="310"/>
      <c r="Z185" s="310"/>
    </row>
    <row r="186" spans="1:53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4"/>
      <c r="N186" s="316" t="s">
        <v>66</v>
      </c>
      <c r="O186" s="317"/>
      <c r="P186" s="317"/>
      <c r="Q186" s="317"/>
      <c r="R186" s="317"/>
      <c r="S186" s="317"/>
      <c r="T186" s="318"/>
      <c r="U186" s="37" t="s">
        <v>65</v>
      </c>
      <c r="V186" s="309">
        <f>IFERROR(SUM(V168:V184),"0")</f>
        <v>1290</v>
      </c>
      <c r="W186" s="309">
        <f>IFERROR(SUM(W168:W184),"0")</f>
        <v>1295.3999999999999</v>
      </c>
      <c r="X186" s="37"/>
      <c r="Y186" s="310"/>
      <c r="Z186" s="310"/>
    </row>
    <row r="187" spans="1:53" ht="14.25" customHeight="1" x14ac:dyDescent="0.25">
      <c r="A187" s="335" t="s">
        <v>211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03"/>
      <c r="Z187" s="303"/>
    </row>
    <row r="188" spans="1:53" ht="16.5" customHeight="1" x14ac:dyDescent="0.25">
      <c r="A188" s="54" t="s">
        <v>313</v>
      </c>
      <c r="B188" s="54" t="s">
        <v>314</v>
      </c>
      <c r="C188" s="31">
        <v>4301060338</v>
      </c>
      <c r="D188" s="315">
        <v>4680115880801</v>
      </c>
      <c r="E188" s="313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8</v>
      </c>
      <c r="W188" s="308">
        <f>IFERROR(IF(V188="",0,CEILING((V188/$H188),1)*$H188),"")</f>
        <v>9.6</v>
      </c>
      <c r="X188" s="36">
        <f>IFERROR(IF(W188=0,"",ROUNDUP(W188/H188,0)*0.00753),"")</f>
        <v>3.0120000000000001E-2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315</v>
      </c>
      <c r="B189" s="54" t="s">
        <v>316</v>
      </c>
      <c r="C189" s="31">
        <v>4301060339</v>
      </c>
      <c r="D189" s="315">
        <v>4680115880818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2"/>
      <c r="P189" s="312"/>
      <c r="Q189" s="312"/>
      <c r="R189" s="313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2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16" t="s">
        <v>66</v>
      </c>
      <c r="O190" s="317"/>
      <c r="P190" s="317"/>
      <c r="Q190" s="317"/>
      <c r="R190" s="317"/>
      <c r="S190" s="317"/>
      <c r="T190" s="318"/>
      <c r="U190" s="37" t="s">
        <v>67</v>
      </c>
      <c r="V190" s="309">
        <f>IFERROR(V188/H188,"0")+IFERROR(V189/H189,"0")</f>
        <v>3.3333333333333335</v>
      </c>
      <c r="W190" s="309">
        <f>IFERROR(W188/H188,"0")+IFERROR(W189/H189,"0")</f>
        <v>4</v>
      </c>
      <c r="X190" s="309">
        <f>IFERROR(IF(X188="",0,X188),"0")+IFERROR(IF(X189="",0,X189),"0")</f>
        <v>3.0120000000000001E-2</v>
      </c>
      <c r="Y190" s="310"/>
      <c r="Z190" s="310"/>
    </row>
    <row r="191" spans="1:53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4"/>
      <c r="N191" s="316" t="s">
        <v>66</v>
      </c>
      <c r="O191" s="317"/>
      <c r="P191" s="317"/>
      <c r="Q191" s="317"/>
      <c r="R191" s="317"/>
      <c r="S191" s="317"/>
      <c r="T191" s="318"/>
      <c r="U191" s="37" t="s">
        <v>65</v>
      </c>
      <c r="V191" s="309">
        <f>IFERROR(SUM(V188:V189),"0")</f>
        <v>8</v>
      </c>
      <c r="W191" s="309">
        <f>IFERROR(SUM(W188:W189),"0")</f>
        <v>9.6</v>
      </c>
      <c r="X191" s="37"/>
      <c r="Y191" s="310"/>
      <c r="Z191" s="310"/>
    </row>
    <row r="192" spans="1:53" ht="16.5" customHeight="1" x14ac:dyDescent="0.25">
      <c r="A192" s="360" t="s">
        <v>317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02"/>
      <c r="Z192" s="302"/>
    </row>
    <row r="193" spans="1:53" ht="14.25" customHeight="1" x14ac:dyDescent="0.25">
      <c r="A193" s="335" t="s">
        <v>103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03"/>
      <c r="Z193" s="303"/>
    </row>
    <row r="194" spans="1:53" ht="27" customHeight="1" x14ac:dyDescent="0.25">
      <c r="A194" s="54" t="s">
        <v>318</v>
      </c>
      <c r="B194" s="54" t="s">
        <v>319</v>
      </c>
      <c r="C194" s="31">
        <v>4301011346</v>
      </c>
      <c r="D194" s="315">
        <v>4607091387445</v>
      </c>
      <c r="E194" s="313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12"/>
      <c r="P194" s="312"/>
      <c r="Q194" s="312"/>
      <c r="R194" s="313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321</v>
      </c>
      <c r="C195" s="31">
        <v>4301011362</v>
      </c>
      <c r="D195" s="315">
        <v>4607091386004</v>
      </c>
      <c r="E195" s="313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2"/>
      <c r="P195" s="312"/>
      <c r="Q195" s="312"/>
      <c r="R195" s="313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320</v>
      </c>
      <c r="B196" s="54" t="s">
        <v>322</v>
      </c>
      <c r="C196" s="31">
        <v>4301011308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323</v>
      </c>
      <c r="B197" s="54" t="s">
        <v>324</v>
      </c>
      <c r="C197" s="31">
        <v>4301011347</v>
      </c>
      <c r="D197" s="315">
        <v>4607091386073</v>
      </c>
      <c r="E197" s="313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12"/>
      <c r="P197" s="312"/>
      <c r="Q197" s="312"/>
      <c r="R197" s="313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4301011395</v>
      </c>
      <c r="D198" s="315">
        <v>4607091387322</v>
      </c>
      <c r="E198" s="313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4301010928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4301011311</v>
      </c>
      <c r="D200" s="315">
        <v>4607091387377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4301010945</v>
      </c>
      <c r="D201" s="315">
        <v>4607091387353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4301011328</v>
      </c>
      <c r="D202" s="315">
        <v>4607091386011</v>
      </c>
      <c r="E202" s="313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4301011329</v>
      </c>
      <c r="D203" s="315">
        <v>4607091387308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4301011049</v>
      </c>
      <c r="D204" s="315">
        <v>4607091387339</v>
      </c>
      <c r="E204" s="313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4301011433</v>
      </c>
      <c r="D205" s="315">
        <v>4680115882638</v>
      </c>
      <c r="E205" s="313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4301011573</v>
      </c>
      <c r="D206" s="315">
        <v>4680115881938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4301010944</v>
      </c>
      <c r="D207" s="315">
        <v>4607091387346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3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4"/>
      <c r="N208" s="316" t="s">
        <v>66</v>
      </c>
      <c r="O208" s="317"/>
      <c r="P208" s="317"/>
      <c r="Q208" s="317"/>
      <c r="R208" s="317"/>
      <c r="S208" s="317"/>
      <c r="T208" s="318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4"/>
      <c r="N209" s="316" t="s">
        <v>66</v>
      </c>
      <c r="O209" s="317"/>
      <c r="P209" s="317"/>
      <c r="Q209" s="317"/>
      <c r="R209" s="317"/>
      <c r="S209" s="317"/>
      <c r="T209" s="318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35" t="s">
        <v>95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03"/>
      <c r="Z210" s="303"/>
    </row>
    <row r="211" spans="1:53" ht="27" customHeight="1" x14ac:dyDescent="0.25">
      <c r="A211" s="54" t="s">
        <v>344</v>
      </c>
      <c r="B211" s="54" t="s">
        <v>345</v>
      </c>
      <c r="C211" s="31">
        <v>4301020254</v>
      </c>
      <c r="D211" s="315">
        <v>4680115881914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22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4"/>
      <c r="N212" s="316" t="s">
        <v>66</v>
      </c>
      <c r="O212" s="317"/>
      <c r="P212" s="317"/>
      <c r="Q212" s="317"/>
      <c r="R212" s="317"/>
      <c r="S212" s="317"/>
      <c r="T212" s="318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4"/>
      <c r="N213" s="316" t="s">
        <v>66</v>
      </c>
      <c r="O213" s="317"/>
      <c r="P213" s="317"/>
      <c r="Q213" s="317"/>
      <c r="R213" s="317"/>
      <c r="S213" s="317"/>
      <c r="T213" s="318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35" t="s">
        <v>60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03"/>
      <c r="Z214" s="303"/>
    </row>
    <row r="215" spans="1:53" ht="27" customHeight="1" x14ac:dyDescent="0.25">
      <c r="A215" s="54" t="s">
        <v>346</v>
      </c>
      <c r="B215" s="54" t="s">
        <v>347</v>
      </c>
      <c r="C215" s="31">
        <v>4301030878</v>
      </c>
      <c r="D215" s="315">
        <v>4607091387193</v>
      </c>
      <c r="E215" s="313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12"/>
      <c r="P215" s="312"/>
      <c r="Q215" s="312"/>
      <c r="R215" s="313"/>
      <c r="S215" s="34"/>
      <c r="T215" s="34"/>
      <c r="U215" s="35" t="s">
        <v>65</v>
      </c>
      <c r="V215" s="307">
        <v>10</v>
      </c>
      <c r="W215" s="308">
        <f>IFERROR(IF(V215="",0,CEILING((V215/$H215),1)*$H215),"")</f>
        <v>12.600000000000001</v>
      </c>
      <c r="X215" s="36">
        <f>IFERROR(IF(W215=0,"",ROUNDUP(W215/H215,0)*0.00753),"")</f>
        <v>2.2589999999999999E-2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4301031153</v>
      </c>
      <c r="D216" s="315">
        <v>4607091387230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350</v>
      </c>
      <c r="B217" s="54" t="s">
        <v>351</v>
      </c>
      <c r="C217" s="31">
        <v>4301031152</v>
      </c>
      <c r="D217" s="315">
        <v>4607091387285</v>
      </c>
      <c r="E217" s="313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12"/>
      <c r="P217" s="312"/>
      <c r="Q217" s="312"/>
      <c r="R217" s="313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352</v>
      </c>
      <c r="B218" s="54" t="s">
        <v>353</v>
      </c>
      <c r="C218" s="31">
        <v>4301031151</v>
      </c>
      <c r="D218" s="315">
        <v>4607091389845</v>
      </c>
      <c r="E218" s="313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65</v>
      </c>
      <c r="V218" s="307">
        <v>105</v>
      </c>
      <c r="W218" s="308">
        <f>IFERROR(IF(V218="",0,CEILING((V218/$H218),1)*$H218),"")</f>
        <v>105</v>
      </c>
      <c r="X218" s="36">
        <f>IFERROR(IF(W218=0,"",ROUNDUP(W218/H218,0)*0.00502),"")</f>
        <v>0.251</v>
      </c>
      <c r="Y218" s="56"/>
      <c r="Z218" s="57"/>
      <c r="AD218" s="58"/>
      <c r="BA218" s="179" t="s">
        <v>1</v>
      </c>
    </row>
    <row r="219" spans="1:53" x14ac:dyDescent="0.2">
      <c r="A219" s="322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4"/>
      <c r="N219" s="316" t="s">
        <v>66</v>
      </c>
      <c r="O219" s="317"/>
      <c r="P219" s="317"/>
      <c r="Q219" s="317"/>
      <c r="R219" s="317"/>
      <c r="S219" s="317"/>
      <c r="T219" s="318"/>
      <c r="U219" s="37" t="s">
        <v>67</v>
      </c>
      <c r="V219" s="309">
        <f>IFERROR(V215/H215,"0")+IFERROR(V216/H216,"0")+IFERROR(V217/H217,"0")+IFERROR(V218/H218,"0")</f>
        <v>52.38095238095238</v>
      </c>
      <c r="W219" s="309">
        <f>IFERROR(W215/H215,"0")+IFERROR(W216/H216,"0")+IFERROR(W217/H217,"0")+IFERROR(W218/H218,"0")</f>
        <v>53</v>
      </c>
      <c r="X219" s="309">
        <f>IFERROR(IF(X215="",0,X215),"0")+IFERROR(IF(X216="",0,X216),"0")+IFERROR(IF(X217="",0,X217),"0")+IFERROR(IF(X218="",0,X218),"0")</f>
        <v>0.27359</v>
      </c>
      <c r="Y219" s="310"/>
      <c r="Z219" s="310"/>
    </row>
    <row r="220" spans="1:53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16" t="s">
        <v>66</v>
      </c>
      <c r="O220" s="317"/>
      <c r="P220" s="317"/>
      <c r="Q220" s="317"/>
      <c r="R220" s="317"/>
      <c r="S220" s="317"/>
      <c r="T220" s="318"/>
      <c r="U220" s="37" t="s">
        <v>65</v>
      </c>
      <c r="V220" s="309">
        <f>IFERROR(SUM(V215:V218),"0")</f>
        <v>115</v>
      </c>
      <c r="W220" s="309">
        <f>IFERROR(SUM(W215:W218),"0")</f>
        <v>117.6</v>
      </c>
      <c r="X220" s="37"/>
      <c r="Y220" s="310"/>
      <c r="Z220" s="310"/>
    </row>
    <row r="221" spans="1:53" ht="14.25" customHeight="1" x14ac:dyDescent="0.25">
      <c r="A221" s="335" t="s">
        <v>68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03"/>
      <c r="Z221" s="303"/>
    </row>
    <row r="222" spans="1:53" ht="16.5" customHeight="1" x14ac:dyDescent="0.25">
      <c r="A222" s="54" t="s">
        <v>354</v>
      </c>
      <c r="B222" s="54" t="s">
        <v>355</v>
      </c>
      <c r="C222" s="31">
        <v>4301051100</v>
      </c>
      <c r="D222" s="315">
        <v>4607091387766</v>
      </c>
      <c r="E222" s="313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4301051116</v>
      </c>
      <c r="D223" s="315">
        <v>4607091387957</v>
      </c>
      <c r="E223" s="313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358</v>
      </c>
      <c r="B224" s="54" t="s">
        <v>359</v>
      </c>
      <c r="C224" s="31">
        <v>4301051115</v>
      </c>
      <c r="D224" s="315">
        <v>4607091387964</v>
      </c>
      <c r="E224" s="313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360</v>
      </c>
      <c r="B225" s="54" t="s">
        <v>361</v>
      </c>
      <c r="C225" s="31">
        <v>4301051461</v>
      </c>
      <c r="D225" s="315">
        <v>4680115883604</v>
      </c>
      <c r="E225" s="313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589" t="s">
        <v>362</v>
      </c>
      <c r="O225" s="312"/>
      <c r="P225" s="312"/>
      <c r="Q225" s="312"/>
      <c r="R225" s="313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4301051485</v>
      </c>
      <c r="D226" s="315">
        <v>4680115883567</v>
      </c>
      <c r="E226" s="313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411" t="s">
        <v>365</v>
      </c>
      <c r="O226" s="312"/>
      <c r="P226" s="312"/>
      <c r="Q226" s="312"/>
      <c r="R226" s="313"/>
      <c r="S226" s="34"/>
      <c r="T226" s="34"/>
      <c r="U226" s="35" t="s">
        <v>65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366</v>
      </c>
      <c r="B227" s="54" t="s">
        <v>367</v>
      </c>
      <c r="C227" s="31">
        <v>4301051134</v>
      </c>
      <c r="D227" s="315">
        <v>4607091381672</v>
      </c>
      <c r="E227" s="313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4301051130</v>
      </c>
      <c r="D228" s="315">
        <v>4607091387537</v>
      </c>
      <c r="E228" s="313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4301051132</v>
      </c>
      <c r="D229" s="315">
        <v>4607091387513</v>
      </c>
      <c r="E229" s="313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4301051277</v>
      </c>
      <c r="D230" s="315">
        <v>4680115880511</v>
      </c>
      <c r="E230" s="313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16" t="s">
        <v>66</v>
      </c>
      <c r="O231" s="317"/>
      <c r="P231" s="317"/>
      <c r="Q231" s="317"/>
      <c r="R231" s="317"/>
      <c r="S231" s="317"/>
      <c r="T231" s="318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16" t="s">
        <v>66</v>
      </c>
      <c r="O232" s="317"/>
      <c r="P232" s="317"/>
      <c r="Q232" s="317"/>
      <c r="R232" s="317"/>
      <c r="S232" s="317"/>
      <c r="T232" s="318"/>
      <c r="U232" s="37" t="s">
        <v>65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customHeight="1" x14ac:dyDescent="0.25">
      <c r="A233" s="335" t="s">
        <v>211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03"/>
      <c r="Z233" s="303"/>
    </row>
    <row r="234" spans="1:53" ht="16.5" customHeight="1" x14ac:dyDescent="0.25">
      <c r="A234" s="54" t="s">
        <v>374</v>
      </c>
      <c r="B234" s="54" t="s">
        <v>375</v>
      </c>
      <c r="C234" s="31">
        <v>4301060326</v>
      </c>
      <c r="D234" s="315">
        <v>4607091380880</v>
      </c>
      <c r="E234" s="313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12"/>
      <c r="P234" s="312"/>
      <c r="Q234" s="312"/>
      <c r="R234" s="313"/>
      <c r="S234" s="34"/>
      <c r="T234" s="34"/>
      <c r="U234" s="35" t="s">
        <v>65</v>
      </c>
      <c r="V234" s="307">
        <v>30</v>
      </c>
      <c r="W234" s="308">
        <f>IFERROR(IF(V234="",0,CEILING((V234/$H234),1)*$H234),"")</f>
        <v>33.6</v>
      </c>
      <c r="X234" s="36">
        <f>IFERROR(IF(W234=0,"",ROUNDUP(W234/H234,0)*0.02175),"")</f>
        <v>8.6999999999999994E-2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376</v>
      </c>
      <c r="B235" s="54" t="s">
        <v>377</v>
      </c>
      <c r="C235" s="31">
        <v>4301060308</v>
      </c>
      <c r="D235" s="315">
        <v>4607091384482</v>
      </c>
      <c r="E235" s="313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12"/>
      <c r="P235" s="312"/>
      <c r="Q235" s="312"/>
      <c r="R235" s="313"/>
      <c r="S235" s="34"/>
      <c r="T235" s="34"/>
      <c r="U235" s="35" t="s">
        <v>65</v>
      </c>
      <c r="V235" s="307">
        <v>100</v>
      </c>
      <c r="W235" s="308">
        <f>IFERROR(IF(V235="",0,CEILING((V235/$H235),1)*$H235),"")</f>
        <v>101.39999999999999</v>
      </c>
      <c r="X235" s="36">
        <f>IFERROR(IF(W235=0,"",ROUNDUP(W235/H235,0)*0.02175),"")</f>
        <v>0.28275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378</v>
      </c>
      <c r="B236" s="54" t="s">
        <v>379</v>
      </c>
      <c r="C236" s="31">
        <v>4301060325</v>
      </c>
      <c r="D236" s="315">
        <v>4607091380897</v>
      </c>
      <c r="E236" s="313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65</v>
      </c>
      <c r="V236" s="307">
        <v>10</v>
      </c>
      <c r="W236" s="308">
        <f>IFERROR(IF(V236="",0,CEILING((V236/$H236),1)*$H236),"")</f>
        <v>16.8</v>
      </c>
      <c r="X236" s="36">
        <f>IFERROR(IF(W236=0,"",ROUNDUP(W236/H236,0)*0.02175),"")</f>
        <v>4.3499999999999997E-2</v>
      </c>
      <c r="Y236" s="56"/>
      <c r="Z236" s="57"/>
      <c r="AD236" s="58"/>
      <c r="BA236" s="191" t="s">
        <v>1</v>
      </c>
    </row>
    <row r="237" spans="1:53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4"/>
      <c r="N237" s="316" t="s">
        <v>66</v>
      </c>
      <c r="O237" s="317"/>
      <c r="P237" s="317"/>
      <c r="Q237" s="317"/>
      <c r="R237" s="317"/>
      <c r="S237" s="317"/>
      <c r="T237" s="318"/>
      <c r="U237" s="37" t="s">
        <v>67</v>
      </c>
      <c r="V237" s="309">
        <f>IFERROR(V234/H234,"0")+IFERROR(V235/H235,"0")+IFERROR(V236/H236,"0")</f>
        <v>17.582417582417584</v>
      </c>
      <c r="W237" s="309">
        <f>IFERROR(W234/H234,"0")+IFERROR(W235/H235,"0")+IFERROR(W236/H236,"0")</f>
        <v>19</v>
      </c>
      <c r="X237" s="309">
        <f>IFERROR(IF(X234="",0,X234),"0")+IFERROR(IF(X235="",0,X235),"0")+IFERROR(IF(X236="",0,X236),"0")</f>
        <v>0.41325000000000001</v>
      </c>
      <c r="Y237" s="310"/>
      <c r="Z237" s="310"/>
    </row>
    <row r="238" spans="1:53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4"/>
      <c r="N238" s="316" t="s">
        <v>66</v>
      </c>
      <c r="O238" s="317"/>
      <c r="P238" s="317"/>
      <c r="Q238" s="317"/>
      <c r="R238" s="317"/>
      <c r="S238" s="317"/>
      <c r="T238" s="318"/>
      <c r="U238" s="37" t="s">
        <v>65</v>
      </c>
      <c r="V238" s="309">
        <f>IFERROR(SUM(V234:V236),"0")</f>
        <v>140</v>
      </c>
      <c r="W238" s="309">
        <f>IFERROR(SUM(W234:W236),"0")</f>
        <v>151.80000000000001</v>
      </c>
      <c r="X238" s="37"/>
      <c r="Y238" s="310"/>
      <c r="Z238" s="310"/>
    </row>
    <row r="239" spans="1:53" ht="14.25" customHeight="1" x14ac:dyDescent="0.25">
      <c r="A239" s="335" t="s">
        <v>81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03"/>
      <c r="Z239" s="303"/>
    </row>
    <row r="240" spans="1:53" ht="16.5" customHeight="1" x14ac:dyDescent="0.25">
      <c r="A240" s="54" t="s">
        <v>380</v>
      </c>
      <c r="B240" s="54" t="s">
        <v>381</v>
      </c>
      <c r="C240" s="31">
        <v>4301030232</v>
      </c>
      <c r="D240" s="315">
        <v>4607091388374</v>
      </c>
      <c r="E240" s="313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3" t="s">
        <v>382</v>
      </c>
      <c r="O240" s="312"/>
      <c r="P240" s="312"/>
      <c r="Q240" s="312"/>
      <c r="R240" s="313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383</v>
      </c>
      <c r="B241" s="54" t="s">
        <v>384</v>
      </c>
      <c r="C241" s="31">
        <v>4301030235</v>
      </c>
      <c r="D241" s="315">
        <v>4607091388381</v>
      </c>
      <c r="E241" s="313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33" t="s">
        <v>385</v>
      </c>
      <c r="O241" s="312"/>
      <c r="P241" s="312"/>
      <c r="Q241" s="312"/>
      <c r="R241" s="313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386</v>
      </c>
      <c r="B242" s="54" t="s">
        <v>387</v>
      </c>
      <c r="C242" s="31">
        <v>4301030233</v>
      </c>
      <c r="D242" s="315">
        <v>4607091388404</v>
      </c>
      <c r="E242" s="313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12"/>
      <c r="P242" s="312"/>
      <c r="Q242" s="312"/>
      <c r="R242" s="313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16" t="s">
        <v>66</v>
      </c>
      <c r="O243" s="317"/>
      <c r="P243" s="317"/>
      <c r="Q243" s="317"/>
      <c r="R243" s="317"/>
      <c r="S243" s="317"/>
      <c r="T243" s="318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16" t="s">
        <v>66</v>
      </c>
      <c r="O244" s="317"/>
      <c r="P244" s="317"/>
      <c r="Q244" s="317"/>
      <c r="R244" s="317"/>
      <c r="S244" s="317"/>
      <c r="T244" s="318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35" t="s">
        <v>388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03"/>
      <c r="Z245" s="303"/>
    </row>
    <row r="246" spans="1:53" ht="16.5" customHeight="1" x14ac:dyDescent="0.25">
      <c r="A246" s="54" t="s">
        <v>389</v>
      </c>
      <c r="B246" s="54" t="s">
        <v>390</v>
      </c>
      <c r="C246" s="31">
        <v>4301180007</v>
      </c>
      <c r="D246" s="315">
        <v>4680115881808</v>
      </c>
      <c r="E246" s="313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12"/>
      <c r="P246" s="312"/>
      <c r="Q246" s="312"/>
      <c r="R246" s="313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393</v>
      </c>
      <c r="B247" s="54" t="s">
        <v>394</v>
      </c>
      <c r="C247" s="31">
        <v>4301180006</v>
      </c>
      <c r="D247" s="315">
        <v>4680115881822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395</v>
      </c>
      <c r="B248" s="54" t="s">
        <v>396</v>
      </c>
      <c r="C248" s="31">
        <v>4301180001</v>
      </c>
      <c r="D248" s="315">
        <v>4680115880016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6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12"/>
      <c r="P248" s="312"/>
      <c r="Q248" s="312"/>
      <c r="R248" s="313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22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16" t="s">
        <v>66</v>
      </c>
      <c r="O249" s="317"/>
      <c r="P249" s="317"/>
      <c r="Q249" s="317"/>
      <c r="R249" s="317"/>
      <c r="S249" s="317"/>
      <c r="T249" s="318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16" t="s">
        <v>66</v>
      </c>
      <c r="O250" s="317"/>
      <c r="P250" s="317"/>
      <c r="Q250" s="317"/>
      <c r="R250" s="317"/>
      <c r="S250" s="317"/>
      <c r="T250" s="318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60" t="s">
        <v>397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02"/>
      <c r="Z251" s="302"/>
    </row>
    <row r="252" spans="1:53" ht="14.25" customHeight="1" x14ac:dyDescent="0.25">
      <c r="A252" s="335" t="s">
        <v>103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03"/>
      <c r="Z252" s="303"/>
    </row>
    <row r="253" spans="1:53" ht="27" customHeight="1" x14ac:dyDescent="0.25">
      <c r="A253" s="54" t="s">
        <v>398</v>
      </c>
      <c r="B253" s="54" t="s">
        <v>399</v>
      </c>
      <c r="C253" s="31">
        <v>4301011315</v>
      </c>
      <c r="D253" s="315">
        <v>4607091387421</v>
      </c>
      <c r="E253" s="313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6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2"/>
      <c r="P253" s="312"/>
      <c r="Q253" s="312"/>
      <c r="R253" s="313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398</v>
      </c>
      <c r="B254" s="54" t="s">
        <v>400</v>
      </c>
      <c r="C254" s="31">
        <v>4301011121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4301011619</v>
      </c>
      <c r="D255" s="315">
        <v>4607091387452</v>
      </c>
      <c r="E255" s="313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64" t="s">
        <v>403</v>
      </c>
      <c r="O255" s="312"/>
      <c r="P255" s="312"/>
      <c r="Q255" s="312"/>
      <c r="R255" s="313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401</v>
      </c>
      <c r="B256" s="54" t="s">
        <v>404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4301011313</v>
      </c>
      <c r="D257" s="315">
        <v>4607091385984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4301011316</v>
      </c>
      <c r="D258" s="315">
        <v>4607091387438</v>
      </c>
      <c r="E258" s="313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409</v>
      </c>
      <c r="B259" s="54" t="s">
        <v>410</v>
      </c>
      <c r="C259" s="31">
        <v>4301011318</v>
      </c>
      <c r="D259" s="315">
        <v>4607091387469</v>
      </c>
      <c r="E259" s="313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16" t="s">
        <v>66</v>
      </c>
      <c r="O260" s="317"/>
      <c r="P260" s="317"/>
      <c r="Q260" s="317"/>
      <c r="R260" s="317"/>
      <c r="S260" s="317"/>
      <c r="T260" s="318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16" t="s">
        <v>66</v>
      </c>
      <c r="O261" s="317"/>
      <c r="P261" s="317"/>
      <c r="Q261" s="317"/>
      <c r="R261" s="317"/>
      <c r="S261" s="317"/>
      <c r="T261" s="318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35" t="s">
        <v>60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3"/>
      <c r="Z262" s="303"/>
    </row>
    <row r="263" spans="1:53" ht="27" customHeight="1" x14ac:dyDescent="0.25">
      <c r="A263" s="54" t="s">
        <v>411</v>
      </c>
      <c r="B263" s="54" t="s">
        <v>412</v>
      </c>
      <c r="C263" s="31">
        <v>4301031154</v>
      </c>
      <c r="D263" s="315">
        <v>4607091387292</v>
      </c>
      <c r="E263" s="313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413</v>
      </c>
      <c r="B264" s="54" t="s">
        <v>414</v>
      </c>
      <c r="C264" s="31">
        <v>4301031155</v>
      </c>
      <c r="D264" s="315">
        <v>4607091387315</v>
      </c>
      <c r="E264" s="313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12"/>
      <c r="P264" s="312"/>
      <c r="Q264" s="312"/>
      <c r="R264" s="313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4"/>
      <c r="N265" s="316" t="s">
        <v>66</v>
      </c>
      <c r="O265" s="317"/>
      <c r="P265" s="317"/>
      <c r="Q265" s="317"/>
      <c r="R265" s="317"/>
      <c r="S265" s="317"/>
      <c r="T265" s="318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4"/>
      <c r="N266" s="316" t="s">
        <v>66</v>
      </c>
      <c r="O266" s="317"/>
      <c r="P266" s="317"/>
      <c r="Q266" s="317"/>
      <c r="R266" s="317"/>
      <c r="S266" s="317"/>
      <c r="T266" s="318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60" t="s">
        <v>415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02"/>
      <c r="Z267" s="302"/>
    </row>
    <row r="268" spans="1:53" ht="14.25" customHeight="1" x14ac:dyDescent="0.25">
      <c r="A268" s="335" t="s">
        <v>60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303"/>
      <c r="Z268" s="303"/>
    </row>
    <row r="269" spans="1:53" ht="27" customHeight="1" x14ac:dyDescent="0.25">
      <c r="A269" s="54" t="s">
        <v>416</v>
      </c>
      <c r="B269" s="54" t="s">
        <v>417</v>
      </c>
      <c r="C269" s="31">
        <v>4301031066</v>
      </c>
      <c r="D269" s="315">
        <v>4607091383836</v>
      </c>
      <c r="E269" s="313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12"/>
      <c r="P269" s="312"/>
      <c r="Q269" s="312"/>
      <c r="R269" s="313"/>
      <c r="S269" s="34"/>
      <c r="T269" s="34"/>
      <c r="U269" s="35" t="s">
        <v>65</v>
      </c>
      <c r="V269" s="307">
        <v>9</v>
      </c>
      <c r="W269" s="308">
        <f>IFERROR(IF(V269="",0,CEILING((V269/$H269),1)*$H269),"")</f>
        <v>9</v>
      </c>
      <c r="X269" s="36">
        <f>IFERROR(IF(W269=0,"",ROUNDUP(W269/H269,0)*0.00753),"")</f>
        <v>3.7650000000000003E-2</v>
      </c>
      <c r="Y269" s="56"/>
      <c r="Z269" s="57"/>
      <c r="AD269" s="58"/>
      <c r="BA269" s="207" t="s">
        <v>1</v>
      </c>
    </row>
    <row r="270" spans="1:53" x14ac:dyDescent="0.2">
      <c r="A270" s="322"/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4"/>
      <c r="N270" s="316" t="s">
        <v>66</v>
      </c>
      <c r="O270" s="317"/>
      <c r="P270" s="317"/>
      <c r="Q270" s="317"/>
      <c r="R270" s="317"/>
      <c r="S270" s="317"/>
      <c r="T270" s="318"/>
      <c r="U270" s="37" t="s">
        <v>67</v>
      </c>
      <c r="V270" s="309">
        <f>IFERROR(V269/H269,"0")</f>
        <v>5</v>
      </c>
      <c r="W270" s="309">
        <f>IFERROR(W269/H269,"0")</f>
        <v>5</v>
      </c>
      <c r="X270" s="309">
        <f>IFERROR(IF(X269="",0,X269),"0")</f>
        <v>3.7650000000000003E-2</v>
      </c>
      <c r="Y270" s="310"/>
      <c r="Z270" s="310"/>
    </row>
    <row r="271" spans="1:53" x14ac:dyDescent="0.2">
      <c r="A271" s="323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16" t="s">
        <v>66</v>
      </c>
      <c r="O271" s="317"/>
      <c r="P271" s="317"/>
      <c r="Q271" s="317"/>
      <c r="R271" s="317"/>
      <c r="S271" s="317"/>
      <c r="T271" s="318"/>
      <c r="U271" s="37" t="s">
        <v>65</v>
      </c>
      <c r="V271" s="309">
        <f>IFERROR(SUM(V269:V269),"0")</f>
        <v>9</v>
      </c>
      <c r="W271" s="309">
        <f>IFERROR(SUM(W269:W269),"0")</f>
        <v>9</v>
      </c>
      <c r="X271" s="37"/>
      <c r="Y271" s="310"/>
      <c r="Z271" s="310"/>
    </row>
    <row r="272" spans="1:53" ht="14.25" customHeight="1" x14ac:dyDescent="0.25">
      <c r="A272" s="335" t="s">
        <v>68</v>
      </c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23"/>
      <c r="P272" s="323"/>
      <c r="Q272" s="323"/>
      <c r="R272" s="323"/>
      <c r="S272" s="323"/>
      <c r="T272" s="323"/>
      <c r="U272" s="323"/>
      <c r="V272" s="323"/>
      <c r="W272" s="323"/>
      <c r="X272" s="323"/>
      <c r="Y272" s="303"/>
      <c r="Z272" s="303"/>
    </row>
    <row r="273" spans="1:53" ht="27" customHeight="1" x14ac:dyDescent="0.25">
      <c r="A273" s="54" t="s">
        <v>418</v>
      </c>
      <c r="B273" s="54" t="s">
        <v>419</v>
      </c>
      <c r="C273" s="31">
        <v>4301051142</v>
      </c>
      <c r="D273" s="315">
        <v>4607091387919</v>
      </c>
      <c r="E273" s="313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4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420</v>
      </c>
      <c r="B274" s="54" t="s">
        <v>421</v>
      </c>
      <c r="C274" s="31">
        <v>4301051109</v>
      </c>
      <c r="D274" s="315">
        <v>4607091383942</v>
      </c>
      <c r="E274" s="313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6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12"/>
      <c r="P274" s="312"/>
      <c r="Q274" s="312"/>
      <c r="R274" s="313"/>
      <c r="S274" s="34"/>
      <c r="T274" s="34"/>
      <c r="U274" s="35" t="s">
        <v>65</v>
      </c>
      <c r="V274" s="307">
        <v>210</v>
      </c>
      <c r="W274" s="308">
        <f>IFERROR(IF(V274="",0,CEILING((V274/$H274),1)*$H274),"")</f>
        <v>211.68</v>
      </c>
      <c r="X274" s="36">
        <f>IFERROR(IF(W274=0,"",ROUNDUP(W274/H274,0)*0.00753),"")</f>
        <v>0.63251999999999997</v>
      </c>
      <c r="Y274" s="56"/>
      <c r="Z274" s="57"/>
      <c r="AD274" s="58"/>
      <c r="BA274" s="209" t="s">
        <v>1</v>
      </c>
    </row>
    <row r="275" spans="1:53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4"/>
      <c r="N275" s="316" t="s">
        <v>66</v>
      </c>
      <c r="O275" s="317"/>
      <c r="P275" s="317"/>
      <c r="Q275" s="317"/>
      <c r="R275" s="317"/>
      <c r="S275" s="317"/>
      <c r="T275" s="318"/>
      <c r="U275" s="37" t="s">
        <v>67</v>
      </c>
      <c r="V275" s="309">
        <f>IFERROR(V273/H273,"0")+IFERROR(V274/H274,"0")</f>
        <v>83.333333333333329</v>
      </c>
      <c r="W275" s="309">
        <f>IFERROR(W273/H273,"0")+IFERROR(W274/H274,"0")</f>
        <v>84</v>
      </c>
      <c r="X275" s="309">
        <f>IFERROR(IF(X273="",0,X273),"0")+IFERROR(IF(X274="",0,X274),"0")</f>
        <v>0.63251999999999997</v>
      </c>
      <c r="Y275" s="310"/>
      <c r="Z275" s="310"/>
    </row>
    <row r="276" spans="1:53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16" t="s">
        <v>66</v>
      </c>
      <c r="O276" s="317"/>
      <c r="P276" s="317"/>
      <c r="Q276" s="317"/>
      <c r="R276" s="317"/>
      <c r="S276" s="317"/>
      <c r="T276" s="318"/>
      <c r="U276" s="37" t="s">
        <v>65</v>
      </c>
      <c r="V276" s="309">
        <f>IFERROR(SUM(V273:V274),"0")</f>
        <v>210</v>
      </c>
      <c r="W276" s="309">
        <f>IFERROR(SUM(W273:W274),"0")</f>
        <v>211.68</v>
      </c>
      <c r="X276" s="37"/>
      <c r="Y276" s="310"/>
      <c r="Z276" s="310"/>
    </row>
    <row r="277" spans="1:53" ht="14.25" customHeight="1" x14ac:dyDescent="0.25">
      <c r="A277" s="335" t="s">
        <v>211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3"/>
      <c r="Z277" s="303"/>
    </row>
    <row r="278" spans="1:53" ht="27" customHeight="1" x14ac:dyDescent="0.25">
      <c r="A278" s="54" t="s">
        <v>422</v>
      </c>
      <c r="B278" s="54" t="s">
        <v>423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4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81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03"/>
      <c r="Z281" s="303"/>
    </row>
    <row r="282" spans="1:53" ht="27" customHeight="1" x14ac:dyDescent="0.25">
      <c r="A282" s="54" t="s">
        <v>424</v>
      </c>
      <c r="B282" s="54" t="s">
        <v>425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5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3" t="s">
        <v>426</v>
      </c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48"/>
      <c r="Z285" s="48"/>
    </row>
    <row r="286" spans="1:53" ht="16.5" customHeight="1" x14ac:dyDescent="0.25">
      <c r="A286" s="360" t="s">
        <v>427</v>
      </c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3"/>
      <c r="P286" s="323"/>
      <c r="Q286" s="323"/>
      <c r="R286" s="323"/>
      <c r="S286" s="323"/>
      <c r="T286" s="323"/>
      <c r="U286" s="323"/>
      <c r="V286" s="323"/>
      <c r="W286" s="323"/>
      <c r="X286" s="323"/>
      <c r="Y286" s="302"/>
      <c r="Z286" s="302"/>
    </row>
    <row r="287" spans="1:53" ht="14.25" customHeight="1" x14ac:dyDescent="0.25">
      <c r="A287" s="335" t="s">
        <v>103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3"/>
      <c r="Z287" s="303"/>
    </row>
    <row r="288" spans="1:53" ht="27" customHeight="1" x14ac:dyDescent="0.25">
      <c r="A288" s="54" t="s">
        <v>428</v>
      </c>
      <c r="B288" s="54" t="s">
        <v>429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65</v>
      </c>
      <c r="V288" s="307">
        <v>1000</v>
      </c>
      <c r="W288" s="308">
        <f t="shared" ref="W288:W295" si="14">IFERROR(IF(V288="",0,CEILING((V288/$H288),1)*$H288),"")</f>
        <v>1005</v>
      </c>
      <c r="X288" s="36">
        <f>IFERROR(IF(W288=0,"",ROUNDUP(W288/H288,0)*0.02175),"")</f>
        <v>1.4572499999999999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428</v>
      </c>
      <c r="B289" s="54" t="s">
        <v>430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46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431</v>
      </c>
      <c r="B290" s="54" t="s">
        <v>432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65</v>
      </c>
      <c r="V290" s="307">
        <v>1100</v>
      </c>
      <c r="W290" s="308">
        <f t="shared" si="14"/>
        <v>1110</v>
      </c>
      <c r="X290" s="36">
        <f>IFERROR(IF(W290=0,"",ROUNDUP(W290/H290,0)*0.02175),"")</f>
        <v>1.6094999999999999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431</v>
      </c>
      <c r="B291" s="54" t="s">
        <v>433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434</v>
      </c>
      <c r="B292" s="54" t="s">
        <v>435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65</v>
      </c>
      <c r="V292" s="307">
        <v>1500</v>
      </c>
      <c r="W292" s="308">
        <f t="shared" si="14"/>
        <v>1500</v>
      </c>
      <c r="X292" s="36">
        <f>IFERROR(IF(W292=0,"",ROUNDUP(W292/H292,0)*0.02175),"")</f>
        <v>2.1749999999999998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604" t="s">
        <v>437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100</v>
      </c>
      <c r="W294" s="308">
        <f t="shared" si="14"/>
        <v>100</v>
      </c>
      <c r="X294" s="36">
        <f>IFERROR(IF(W294=0,"",ROUNDUP(W294/H294,0)*0.00937),"")</f>
        <v>0.18740000000000001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440</v>
      </c>
      <c r="B295" s="54" t="s">
        <v>441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16" t="s">
        <v>66</v>
      </c>
      <c r="O296" s="317"/>
      <c r="P296" s="317"/>
      <c r="Q296" s="317"/>
      <c r="R296" s="317"/>
      <c r="S296" s="317"/>
      <c r="T296" s="318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260</v>
      </c>
      <c r="W296" s="309">
        <f>IFERROR(W288/H288,"0")+IFERROR(W289/H289,"0")+IFERROR(W290/H290,"0")+IFERROR(W291/H291,"0")+IFERROR(W292/H292,"0")+IFERROR(W293/H293,"0")+IFERROR(W294/H294,"0")+IFERROR(W295/H295,"0")</f>
        <v>261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5.4291499999999999</v>
      </c>
      <c r="Y296" s="310"/>
      <c r="Z296" s="310"/>
    </row>
    <row r="297" spans="1:53" x14ac:dyDescent="0.2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4"/>
      <c r="N297" s="316" t="s">
        <v>66</v>
      </c>
      <c r="O297" s="317"/>
      <c r="P297" s="317"/>
      <c r="Q297" s="317"/>
      <c r="R297" s="317"/>
      <c r="S297" s="317"/>
      <c r="T297" s="318"/>
      <c r="U297" s="37" t="s">
        <v>65</v>
      </c>
      <c r="V297" s="309">
        <f>IFERROR(SUM(V288:V295),"0")</f>
        <v>3700</v>
      </c>
      <c r="W297" s="309">
        <f>IFERROR(SUM(W288:W295),"0")</f>
        <v>3715</v>
      </c>
      <c r="X297" s="37"/>
      <c r="Y297" s="310"/>
      <c r="Z297" s="310"/>
    </row>
    <row r="298" spans="1:53" ht="14.25" customHeight="1" x14ac:dyDescent="0.25">
      <c r="A298" s="335" t="s">
        <v>95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3"/>
      <c r="Z298" s="303"/>
    </row>
    <row r="299" spans="1:53" ht="27" customHeight="1" x14ac:dyDescent="0.25">
      <c r="A299" s="54" t="s">
        <v>442</v>
      </c>
      <c r="B299" s="54" t="s">
        <v>443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1000</v>
      </c>
      <c r="W299" s="308">
        <f>IFERROR(IF(V299="",0,CEILING((V299/$H299),1)*$H299),"")</f>
        <v>1005</v>
      </c>
      <c r="X299" s="36">
        <f>IFERROR(IF(W299=0,"",ROUNDUP(W299/H299,0)*0.02175),"")</f>
        <v>1.4572499999999999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444</v>
      </c>
      <c r="B300" s="54" t="s">
        <v>445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561" t="s">
        <v>446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4"/>
      <c r="N302" s="316" t="s">
        <v>66</v>
      </c>
      <c r="O302" s="317"/>
      <c r="P302" s="317"/>
      <c r="Q302" s="317"/>
      <c r="R302" s="317"/>
      <c r="S302" s="317"/>
      <c r="T302" s="318"/>
      <c r="U302" s="37" t="s">
        <v>67</v>
      </c>
      <c r="V302" s="309">
        <f>IFERROR(V299/H299,"0")+IFERROR(V300/H300,"0")+IFERROR(V301/H301,"0")</f>
        <v>66.666666666666671</v>
      </c>
      <c r="W302" s="309">
        <f>IFERROR(W299/H299,"0")+IFERROR(W300/H300,"0")+IFERROR(W301/H301,"0")</f>
        <v>67</v>
      </c>
      <c r="X302" s="309">
        <f>IFERROR(IF(X299="",0,X299),"0")+IFERROR(IF(X300="",0,X300),"0")+IFERROR(IF(X301="",0,X301),"0")</f>
        <v>1.4572499999999999</v>
      </c>
      <c r="Y302" s="310"/>
      <c r="Z302" s="310"/>
    </row>
    <row r="303" spans="1:53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4"/>
      <c r="N303" s="316" t="s">
        <v>66</v>
      </c>
      <c r="O303" s="317"/>
      <c r="P303" s="317"/>
      <c r="Q303" s="317"/>
      <c r="R303" s="317"/>
      <c r="S303" s="317"/>
      <c r="T303" s="318"/>
      <c r="U303" s="37" t="s">
        <v>65</v>
      </c>
      <c r="V303" s="309">
        <f>IFERROR(SUM(V299:V301),"0")</f>
        <v>1000</v>
      </c>
      <c r="W303" s="309">
        <f>IFERROR(SUM(W299:W301),"0")</f>
        <v>1005</v>
      </c>
      <c r="X303" s="37"/>
      <c r="Y303" s="310"/>
      <c r="Z303" s="310"/>
    </row>
    <row r="304" spans="1:53" ht="14.25" customHeight="1" x14ac:dyDescent="0.25">
      <c r="A304" s="335" t="s">
        <v>68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23"/>
      <c r="Y304" s="303"/>
      <c r="Z304" s="303"/>
    </row>
    <row r="305" spans="1:53" ht="27" customHeight="1" x14ac:dyDescent="0.25">
      <c r="A305" s="54" t="s">
        <v>449</v>
      </c>
      <c r="B305" s="54" t="s">
        <v>450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16" t="s">
        <v>66</v>
      </c>
      <c r="O306" s="317"/>
      <c r="P306" s="317"/>
      <c r="Q306" s="317"/>
      <c r="R306" s="317"/>
      <c r="S306" s="317"/>
      <c r="T306" s="318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16" t="s">
        <v>66</v>
      </c>
      <c r="O307" s="317"/>
      <c r="P307" s="317"/>
      <c r="Q307" s="317"/>
      <c r="R307" s="317"/>
      <c r="S307" s="317"/>
      <c r="T307" s="318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211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3"/>
      <c r="Z308" s="303"/>
    </row>
    <row r="309" spans="1:53" ht="16.5" customHeight="1" x14ac:dyDescent="0.25">
      <c r="A309" s="54" t="s">
        <v>451</v>
      </c>
      <c r="B309" s="54" t="s">
        <v>452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4"/>
      <c r="N310" s="316" t="s">
        <v>66</v>
      </c>
      <c r="O310" s="317"/>
      <c r="P310" s="317"/>
      <c r="Q310" s="317"/>
      <c r="R310" s="317"/>
      <c r="S310" s="317"/>
      <c r="T310" s="31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3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4"/>
      <c r="N311" s="316" t="s">
        <v>66</v>
      </c>
      <c r="O311" s="317"/>
      <c r="P311" s="317"/>
      <c r="Q311" s="317"/>
      <c r="R311" s="317"/>
      <c r="S311" s="317"/>
      <c r="T311" s="31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60" t="s">
        <v>453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23"/>
      <c r="Y312" s="302"/>
      <c r="Z312" s="302"/>
    </row>
    <row r="313" spans="1:53" ht="14.25" customHeight="1" x14ac:dyDescent="0.25">
      <c r="A313" s="335" t="s">
        <v>103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03"/>
      <c r="Z313" s="303"/>
    </row>
    <row r="314" spans="1:53" ht="27" customHeight="1" x14ac:dyDescent="0.25">
      <c r="A314" s="54" t="s">
        <v>454</v>
      </c>
      <c r="B314" s="54" t="s">
        <v>455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458</v>
      </c>
      <c r="B316" s="54" t="s">
        <v>459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460</v>
      </c>
      <c r="B317" s="54" t="s">
        <v>461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16" t="s">
        <v>66</v>
      </c>
      <c r="O318" s="317"/>
      <c r="P318" s="317"/>
      <c r="Q318" s="317"/>
      <c r="R318" s="317"/>
      <c r="S318" s="317"/>
      <c r="T318" s="318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16" t="s">
        <v>66</v>
      </c>
      <c r="O319" s="317"/>
      <c r="P319" s="317"/>
      <c r="Q319" s="317"/>
      <c r="R319" s="317"/>
      <c r="S319" s="317"/>
      <c r="T319" s="318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35" t="s">
        <v>60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3"/>
      <c r="Z320" s="303"/>
    </row>
    <row r="321" spans="1:53" ht="27" customHeight="1" x14ac:dyDescent="0.25">
      <c r="A321" s="54" t="s">
        <v>462</v>
      </c>
      <c r="B321" s="54" t="s">
        <v>463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464</v>
      </c>
      <c r="B322" s="54" t="s">
        <v>465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5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16" t="s">
        <v>66</v>
      </c>
      <c r="O323" s="317"/>
      <c r="P323" s="317"/>
      <c r="Q323" s="317"/>
      <c r="R323" s="317"/>
      <c r="S323" s="317"/>
      <c r="T323" s="318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3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4"/>
      <c r="N324" s="316" t="s">
        <v>66</v>
      </c>
      <c r="O324" s="317"/>
      <c r="P324" s="317"/>
      <c r="Q324" s="317"/>
      <c r="R324" s="317"/>
      <c r="S324" s="317"/>
      <c r="T324" s="318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68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03"/>
      <c r="Z325" s="303"/>
    </row>
    <row r="326" spans="1:53" ht="27" customHeight="1" x14ac:dyDescent="0.25">
      <c r="A326" s="54" t="s">
        <v>466</v>
      </c>
      <c r="B326" s="54" t="s">
        <v>467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470</v>
      </c>
      <c r="B328" s="54" t="s">
        <v>471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472</v>
      </c>
      <c r="B329" s="54" t="s">
        <v>473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16" t="s">
        <v>66</v>
      </c>
      <c r="O330" s="317"/>
      <c r="P330" s="317"/>
      <c r="Q330" s="317"/>
      <c r="R330" s="317"/>
      <c r="S330" s="317"/>
      <c r="T330" s="318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16" t="s">
        <v>66</v>
      </c>
      <c r="O331" s="317"/>
      <c r="P331" s="317"/>
      <c r="Q331" s="317"/>
      <c r="R331" s="317"/>
      <c r="S331" s="317"/>
      <c r="T331" s="318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211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03"/>
      <c r="Z332" s="303"/>
    </row>
    <row r="333" spans="1:53" ht="27" customHeight="1" x14ac:dyDescent="0.25">
      <c r="A333" s="54" t="s">
        <v>474</v>
      </c>
      <c r="B333" s="54" t="s">
        <v>475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16" t="s">
        <v>66</v>
      </c>
      <c r="O334" s="317"/>
      <c r="P334" s="317"/>
      <c r="Q334" s="317"/>
      <c r="R334" s="317"/>
      <c r="S334" s="317"/>
      <c r="T334" s="318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3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16" t="s">
        <v>66</v>
      </c>
      <c r="O335" s="317"/>
      <c r="P335" s="317"/>
      <c r="Q335" s="317"/>
      <c r="R335" s="317"/>
      <c r="S335" s="317"/>
      <c r="T335" s="318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3" t="s">
        <v>476</v>
      </c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48"/>
      <c r="Z336" s="48"/>
    </row>
    <row r="337" spans="1:53" ht="16.5" customHeight="1" x14ac:dyDescent="0.25">
      <c r="A337" s="360" t="s">
        <v>477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02"/>
      <c r="Z337" s="302"/>
    </row>
    <row r="338" spans="1:53" ht="14.25" customHeight="1" x14ac:dyDescent="0.25">
      <c r="A338" s="335" t="s">
        <v>103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303"/>
      <c r="Z338" s="303"/>
    </row>
    <row r="339" spans="1:53" ht="27" customHeight="1" x14ac:dyDescent="0.25">
      <c r="A339" s="54" t="s">
        <v>478</v>
      </c>
      <c r="B339" s="54" t="s">
        <v>479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480</v>
      </c>
      <c r="B340" s="54" t="s">
        <v>481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16" t="s">
        <v>66</v>
      </c>
      <c r="O341" s="317"/>
      <c r="P341" s="317"/>
      <c r="Q341" s="317"/>
      <c r="R341" s="317"/>
      <c r="S341" s="317"/>
      <c r="T341" s="318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16" t="s">
        <v>66</v>
      </c>
      <c r="O342" s="317"/>
      <c r="P342" s="317"/>
      <c r="Q342" s="317"/>
      <c r="R342" s="317"/>
      <c r="S342" s="317"/>
      <c r="T342" s="318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60</v>
      </c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323"/>
      <c r="W343" s="323"/>
      <c r="X343" s="323"/>
      <c r="Y343" s="303"/>
      <c r="Z343" s="303"/>
    </row>
    <row r="344" spans="1:53" ht="27" customHeight="1" x14ac:dyDescent="0.25">
      <c r="A344" s="54" t="s">
        <v>482</v>
      </c>
      <c r="B344" s="54" t="s">
        <v>483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40</v>
      </c>
      <c r="W344" s="308">
        <f t="shared" ref="W344:W356" si="15">IFERROR(IF(V344="",0,CEILING((V344/$H344),1)*$H344),"")</f>
        <v>42</v>
      </c>
      <c r="X344" s="36">
        <f>IFERROR(IF(W344=0,"",ROUNDUP(W344/H344,0)*0.00753),"")</f>
        <v>7.5300000000000006E-2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65</v>
      </c>
      <c r="V346" s="307">
        <v>70</v>
      </c>
      <c r="W346" s="308">
        <f t="shared" si="15"/>
        <v>71.400000000000006</v>
      </c>
      <c r="X346" s="36">
        <f>IFERROR(IF(W346=0,"",ROUNDUP(W346/H346,0)*0.00753),"")</f>
        <v>0.12801000000000001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488</v>
      </c>
      <c r="B347" s="54" t="s">
        <v>489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65</v>
      </c>
      <c r="V347" s="307">
        <v>56.000000000000007</v>
      </c>
      <c r="W347" s="308">
        <f t="shared" si="15"/>
        <v>57.12</v>
      </c>
      <c r="X347" s="36">
        <f>IFERROR(IF(W347=0,"",ROUNDUP(W347/H347,0)*0.00753),"")</f>
        <v>0.25602000000000003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52.5</v>
      </c>
      <c r="W349" s="308">
        <f t="shared" si="15"/>
        <v>52.5</v>
      </c>
      <c r="X349" s="36">
        <f t="shared" si="16"/>
        <v>0.1255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4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496</v>
      </c>
      <c r="B351" s="54" t="s">
        <v>497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5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590" t="s">
        <v>508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3"/>
      <c r="M357" s="324"/>
      <c r="N357" s="316" t="s">
        <v>66</v>
      </c>
      <c r="O357" s="317"/>
      <c r="P357" s="317"/>
      <c r="Q357" s="317"/>
      <c r="R357" s="317"/>
      <c r="S357" s="317"/>
      <c r="T357" s="318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84.523809523809518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86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0.58482999999999996</v>
      </c>
      <c r="Y357" s="310"/>
      <c r="Z357" s="310"/>
    </row>
    <row r="358" spans="1:53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4"/>
      <c r="N358" s="316" t="s">
        <v>66</v>
      </c>
      <c r="O358" s="317"/>
      <c r="P358" s="317"/>
      <c r="Q358" s="317"/>
      <c r="R358" s="317"/>
      <c r="S358" s="317"/>
      <c r="T358" s="318"/>
      <c r="U358" s="37" t="s">
        <v>65</v>
      </c>
      <c r="V358" s="309">
        <f>IFERROR(SUM(V344:V356),"0")</f>
        <v>218.5</v>
      </c>
      <c r="W358" s="309">
        <f>IFERROR(SUM(W344:W356),"0")</f>
        <v>223.02</v>
      </c>
      <c r="X358" s="37"/>
      <c r="Y358" s="310"/>
      <c r="Z358" s="310"/>
    </row>
    <row r="359" spans="1:53" ht="14.25" customHeight="1" x14ac:dyDescent="0.25">
      <c r="A359" s="335" t="s">
        <v>68</v>
      </c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3"/>
      <c r="N359" s="323"/>
      <c r="O359" s="323"/>
      <c r="P359" s="323"/>
      <c r="Q359" s="323"/>
      <c r="R359" s="323"/>
      <c r="S359" s="323"/>
      <c r="T359" s="323"/>
      <c r="U359" s="323"/>
      <c r="V359" s="323"/>
      <c r="W359" s="323"/>
      <c r="X359" s="323"/>
      <c r="Y359" s="303"/>
      <c r="Z359" s="303"/>
    </row>
    <row r="360" spans="1:53" ht="27" customHeight="1" x14ac:dyDescent="0.25">
      <c r="A360" s="54" t="s">
        <v>509</v>
      </c>
      <c r="B360" s="54" t="s">
        <v>510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4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3"/>
      <c r="M364" s="324"/>
      <c r="N364" s="316" t="s">
        <v>66</v>
      </c>
      <c r="O364" s="317"/>
      <c r="P364" s="317"/>
      <c r="Q364" s="317"/>
      <c r="R364" s="317"/>
      <c r="S364" s="317"/>
      <c r="T364" s="318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4"/>
      <c r="N365" s="316" t="s">
        <v>66</v>
      </c>
      <c r="O365" s="317"/>
      <c r="P365" s="317"/>
      <c r="Q365" s="317"/>
      <c r="R365" s="317"/>
      <c r="S365" s="317"/>
      <c r="T365" s="318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211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23"/>
      <c r="Y366" s="303"/>
      <c r="Z366" s="303"/>
    </row>
    <row r="367" spans="1:53" ht="27" customHeight="1" x14ac:dyDescent="0.25">
      <c r="A367" s="54" t="s">
        <v>517</v>
      </c>
      <c r="B367" s="54" t="s">
        <v>518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16" t="s">
        <v>66</v>
      </c>
      <c r="O368" s="317"/>
      <c r="P368" s="317"/>
      <c r="Q368" s="317"/>
      <c r="R368" s="317"/>
      <c r="S368" s="317"/>
      <c r="T368" s="318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16" t="s">
        <v>66</v>
      </c>
      <c r="O369" s="317"/>
      <c r="P369" s="317"/>
      <c r="Q369" s="317"/>
      <c r="R369" s="317"/>
      <c r="S369" s="317"/>
      <c r="T369" s="318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81</v>
      </c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3"/>
      <c r="N370" s="323"/>
      <c r="O370" s="323"/>
      <c r="P370" s="323"/>
      <c r="Q370" s="323"/>
      <c r="R370" s="323"/>
      <c r="S370" s="323"/>
      <c r="T370" s="323"/>
      <c r="U370" s="323"/>
      <c r="V370" s="323"/>
      <c r="W370" s="323"/>
      <c r="X370" s="323"/>
      <c r="Y370" s="303"/>
      <c r="Z370" s="303"/>
    </row>
    <row r="371" spans="1:53" ht="27" customHeight="1" x14ac:dyDescent="0.25">
      <c r="A371" s="54" t="s">
        <v>519</v>
      </c>
      <c r="B371" s="54" t="s">
        <v>520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453" t="s">
        <v>523</v>
      </c>
      <c r="O371" s="312"/>
      <c r="P371" s="312"/>
      <c r="Q371" s="312"/>
      <c r="R371" s="313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customHeight="1" x14ac:dyDescent="0.25">
      <c r="A372" s="54" t="s">
        <v>526</v>
      </c>
      <c r="B372" s="54" t="s">
        <v>527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475" t="s">
        <v>528</v>
      </c>
      <c r="O372" s="312"/>
      <c r="P372" s="312"/>
      <c r="Q372" s="312"/>
      <c r="R372" s="313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customHeight="1" x14ac:dyDescent="0.25">
      <c r="A373" s="54" t="s">
        <v>529</v>
      </c>
      <c r="B373" s="54" t="s">
        <v>530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449" t="s">
        <v>531</v>
      </c>
      <c r="O373" s="312"/>
      <c r="P373" s="312"/>
      <c r="Q373" s="312"/>
      <c r="R373" s="313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customHeight="1" x14ac:dyDescent="0.25">
      <c r="A374" s="54" t="s">
        <v>532</v>
      </c>
      <c r="B374" s="54" t="s">
        <v>533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81" t="s">
        <v>534</v>
      </c>
      <c r="O374" s="312"/>
      <c r="P374" s="312"/>
      <c r="Q374" s="312"/>
      <c r="R374" s="313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90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3"/>
      <c r="Z377" s="303"/>
    </row>
    <row r="378" spans="1:53" ht="27" customHeight="1" x14ac:dyDescent="0.25">
      <c r="A378" s="54" t="s">
        <v>535</v>
      </c>
      <c r="B378" s="54" t="s">
        <v>536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442" t="s">
        <v>537</v>
      </c>
      <c r="O378" s="312"/>
      <c r="P378" s="312"/>
      <c r="Q378" s="312"/>
      <c r="R378" s="313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customHeight="1" x14ac:dyDescent="0.25">
      <c r="A379" s="54" t="s">
        <v>538</v>
      </c>
      <c r="B379" s="54" t="s">
        <v>539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560" t="s">
        <v>540</v>
      </c>
      <c r="O379" s="312"/>
      <c r="P379" s="312"/>
      <c r="Q379" s="312"/>
      <c r="R379" s="313"/>
      <c r="S379" s="34"/>
      <c r="T379" s="34"/>
      <c r="U379" s="35" t="s">
        <v>65</v>
      </c>
      <c r="V379" s="307">
        <v>52</v>
      </c>
      <c r="W379" s="308">
        <f>IFERROR(IF(V379="",0,CEILING((V379/$H379),1)*$H379),"")</f>
        <v>52</v>
      </c>
      <c r="X379" s="36">
        <f>IFERROR(IF(W379=0,"",ROUNDUP(W379/H379,0)*0.00673),"")</f>
        <v>0.26919999999999999</v>
      </c>
      <c r="Y379" s="56"/>
      <c r="Z379" s="57"/>
      <c r="AD379" s="58"/>
      <c r="BA379" s="261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9">
        <f>IFERROR(V378/H378,"0")+IFERROR(V379/H379,"0")</f>
        <v>40</v>
      </c>
      <c r="W380" s="309">
        <f>IFERROR(W378/H378,"0")+IFERROR(W379/H379,"0")</f>
        <v>40</v>
      </c>
      <c r="X380" s="309">
        <f>IFERROR(IF(X378="",0,X378),"0")+IFERROR(IF(X379="",0,X379),"0")</f>
        <v>0.26919999999999999</v>
      </c>
      <c r="Y380" s="310"/>
      <c r="Z380" s="310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9">
        <f>IFERROR(SUM(V378:V379),"0")</f>
        <v>52</v>
      </c>
      <c r="W381" s="309">
        <f>IFERROR(SUM(W378:W379),"0")</f>
        <v>52</v>
      </c>
      <c r="X381" s="37"/>
      <c r="Y381" s="310"/>
      <c r="Z381" s="310"/>
    </row>
    <row r="382" spans="1:53" ht="16.5" customHeight="1" x14ac:dyDescent="0.25">
      <c r="A382" s="360" t="s">
        <v>541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2"/>
      <c r="Z382" s="302"/>
    </row>
    <row r="383" spans="1:53" ht="14.25" customHeight="1" x14ac:dyDescent="0.25">
      <c r="A383" s="335" t="s">
        <v>95</v>
      </c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23"/>
      <c r="N383" s="323"/>
      <c r="O383" s="323"/>
      <c r="P383" s="323"/>
      <c r="Q383" s="323"/>
      <c r="R383" s="323"/>
      <c r="S383" s="323"/>
      <c r="T383" s="323"/>
      <c r="U383" s="323"/>
      <c r="V383" s="323"/>
      <c r="W383" s="323"/>
      <c r="X383" s="323"/>
      <c r="Y383" s="303"/>
      <c r="Z383" s="303"/>
    </row>
    <row r="384" spans="1:53" ht="27" customHeight="1" x14ac:dyDescent="0.25">
      <c r="A384" s="54" t="s">
        <v>542</v>
      </c>
      <c r="B384" s="54" t="s">
        <v>543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544</v>
      </c>
      <c r="B385" s="54" t="s">
        <v>545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16" t="s">
        <v>66</v>
      </c>
      <c r="O386" s="317"/>
      <c r="P386" s="317"/>
      <c r="Q386" s="317"/>
      <c r="R386" s="317"/>
      <c r="S386" s="317"/>
      <c r="T386" s="318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3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16" t="s">
        <v>66</v>
      </c>
      <c r="O387" s="317"/>
      <c r="P387" s="317"/>
      <c r="Q387" s="317"/>
      <c r="R387" s="317"/>
      <c r="S387" s="317"/>
      <c r="T387" s="318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60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3"/>
      <c r="Z388" s="303"/>
    </row>
    <row r="389" spans="1:53" ht="27" customHeight="1" x14ac:dyDescent="0.25">
      <c r="A389" s="54" t="s">
        <v>546</v>
      </c>
      <c r="B389" s="54" t="s">
        <v>547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50</v>
      </c>
      <c r="W389" s="308">
        <f t="shared" ref="W389:W395" si="17">IFERROR(IF(V389="",0,CEILING((V389/$H389),1)*$H389),"")</f>
        <v>50.400000000000006</v>
      </c>
      <c r="X389" s="36">
        <f>IFERROR(IF(W389=0,"",ROUNDUP(W389/H389,0)*0.00753),"")</f>
        <v>9.0359999999999996E-2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6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550</v>
      </c>
      <c r="B391" s="54" t="s">
        <v>551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552</v>
      </c>
      <c r="B392" s="54" t="s">
        <v>553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339" t="s">
        <v>554</v>
      </c>
      <c r="O392" s="312"/>
      <c r="P392" s="312"/>
      <c r="Q392" s="312"/>
      <c r="R392" s="313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65</v>
      </c>
      <c r="V394" s="307">
        <v>35</v>
      </c>
      <c r="W394" s="308">
        <f t="shared" si="17"/>
        <v>35.700000000000003</v>
      </c>
      <c r="X394" s="36">
        <f>IFERROR(IF(W394=0,"",ROUNDUP(W394/H394,0)*0.00502),"")</f>
        <v>8.5339999999999999E-2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5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4"/>
      <c r="N396" s="316" t="s">
        <v>66</v>
      </c>
      <c r="O396" s="317"/>
      <c r="P396" s="317"/>
      <c r="Q396" s="317"/>
      <c r="R396" s="317"/>
      <c r="S396" s="317"/>
      <c r="T396" s="318"/>
      <c r="U396" s="37" t="s">
        <v>67</v>
      </c>
      <c r="V396" s="309">
        <f>IFERROR(V389/H389,"0")+IFERROR(V390/H390,"0")+IFERROR(V391/H391,"0")+IFERROR(V392/H392,"0")+IFERROR(V393/H393,"0")+IFERROR(V394/H394,"0")+IFERROR(V395/H395,"0")</f>
        <v>28.571428571428569</v>
      </c>
      <c r="W396" s="309">
        <f>IFERROR(W389/H389,"0")+IFERROR(W390/H390,"0")+IFERROR(W391/H391,"0")+IFERROR(W392/H392,"0")+IFERROR(W393/H393,"0")+IFERROR(W394/H394,"0")+IFERROR(W395/H395,"0")</f>
        <v>29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0.1757</v>
      </c>
      <c r="Y396" s="310"/>
      <c r="Z396" s="310"/>
    </row>
    <row r="397" spans="1:53" x14ac:dyDescent="0.2">
      <c r="A397" s="323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4"/>
      <c r="N397" s="316" t="s">
        <v>66</v>
      </c>
      <c r="O397" s="317"/>
      <c r="P397" s="317"/>
      <c r="Q397" s="317"/>
      <c r="R397" s="317"/>
      <c r="S397" s="317"/>
      <c r="T397" s="318"/>
      <c r="U397" s="37" t="s">
        <v>65</v>
      </c>
      <c r="V397" s="309">
        <f>IFERROR(SUM(V389:V395),"0")</f>
        <v>85</v>
      </c>
      <c r="W397" s="309">
        <f>IFERROR(SUM(W389:W395),"0")</f>
        <v>86.100000000000009</v>
      </c>
      <c r="X397" s="37"/>
      <c r="Y397" s="310"/>
      <c r="Z397" s="310"/>
    </row>
    <row r="398" spans="1:53" ht="14.25" customHeight="1" x14ac:dyDescent="0.25">
      <c r="A398" s="335" t="s">
        <v>90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3"/>
      <c r="Z398" s="303"/>
    </row>
    <row r="399" spans="1:53" ht="27" customHeight="1" x14ac:dyDescent="0.25">
      <c r="A399" s="54" t="s">
        <v>561</v>
      </c>
      <c r="B399" s="54" t="s">
        <v>562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65</v>
      </c>
      <c r="V399" s="307">
        <v>78</v>
      </c>
      <c r="W399" s="308">
        <f>IFERROR(IF(V399="",0,CEILING((V399/$H399),1)*$H399),"")</f>
        <v>78</v>
      </c>
      <c r="X399" s="36">
        <f>IFERROR(IF(W399=0,"",ROUNDUP(W399/H399,0)*0.00673),"")</f>
        <v>0.40379999999999999</v>
      </c>
      <c r="Y399" s="56"/>
      <c r="Z399" s="57"/>
      <c r="AD399" s="58"/>
      <c r="BA399" s="271" t="s">
        <v>1</v>
      </c>
    </row>
    <row r="400" spans="1:53" x14ac:dyDescent="0.2">
      <c r="A400" s="322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4"/>
      <c r="N400" s="316" t="s">
        <v>66</v>
      </c>
      <c r="O400" s="317"/>
      <c r="P400" s="317"/>
      <c r="Q400" s="317"/>
      <c r="R400" s="317"/>
      <c r="S400" s="317"/>
      <c r="T400" s="318"/>
      <c r="U400" s="37" t="s">
        <v>67</v>
      </c>
      <c r="V400" s="309">
        <f>IFERROR(V399/H399,"0")</f>
        <v>60</v>
      </c>
      <c r="W400" s="309">
        <f>IFERROR(W399/H399,"0")</f>
        <v>60</v>
      </c>
      <c r="X400" s="309">
        <f>IFERROR(IF(X399="",0,X399),"0")</f>
        <v>0.40379999999999999</v>
      </c>
      <c r="Y400" s="310"/>
      <c r="Z400" s="310"/>
    </row>
    <row r="401" spans="1:53" x14ac:dyDescent="0.2">
      <c r="A401" s="323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16" t="s">
        <v>66</v>
      </c>
      <c r="O401" s="317"/>
      <c r="P401" s="317"/>
      <c r="Q401" s="317"/>
      <c r="R401" s="317"/>
      <c r="S401" s="317"/>
      <c r="T401" s="318"/>
      <c r="U401" s="37" t="s">
        <v>65</v>
      </c>
      <c r="V401" s="309">
        <f>IFERROR(SUM(V399:V399),"0")</f>
        <v>78</v>
      </c>
      <c r="W401" s="309">
        <f>IFERROR(SUM(W399:W399),"0")</f>
        <v>78</v>
      </c>
      <c r="X401" s="37"/>
      <c r="Y401" s="310"/>
      <c r="Z401" s="310"/>
    </row>
    <row r="402" spans="1:53" ht="27.75" customHeight="1" x14ac:dyDescent="0.2">
      <c r="A402" s="363" t="s">
        <v>563</v>
      </c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48"/>
      <c r="Z402" s="48"/>
    </row>
    <row r="403" spans="1:53" ht="16.5" customHeight="1" x14ac:dyDescent="0.25">
      <c r="A403" s="360" t="s">
        <v>563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2"/>
      <c r="Z403" s="302"/>
    </row>
    <row r="404" spans="1:53" ht="14.25" customHeight="1" x14ac:dyDescent="0.25">
      <c r="A404" s="335" t="s">
        <v>103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23"/>
      <c r="Y404" s="303"/>
      <c r="Z404" s="303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5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100</v>
      </c>
      <c r="W406" s="308">
        <f t="shared" si="18"/>
        <v>100.32000000000001</v>
      </c>
      <c r="X406" s="36">
        <f>IFERROR(IF(W406=0,"",ROUNDUP(W406/H406,0)*0.01196),"")</f>
        <v>0.22724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39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52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100</v>
      </c>
      <c r="W408" s="308">
        <f t="shared" si="18"/>
        <v>100.32000000000001</v>
      </c>
      <c r="X408" s="36">
        <f>IFERROR(IF(W408=0,"",ROUNDUP(W408/H408,0)*0.01196),"")</f>
        <v>0.22724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18</v>
      </c>
      <c r="W409" s="308">
        <f t="shared" si="18"/>
        <v>18</v>
      </c>
      <c r="X409" s="36">
        <f>IFERROR(IF(W409=0,"",ROUNDUP(W409/H409,0)*0.00937),"")</f>
        <v>4.6850000000000003E-2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4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3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24</v>
      </c>
      <c r="W413" s="308">
        <f t="shared" si="18"/>
        <v>25.2</v>
      </c>
      <c r="X413" s="36">
        <f>IFERROR(IF(W413=0,"",ROUNDUP(W413/H413,0)*0.00937),"")</f>
        <v>6.5589999999999996E-2</v>
      </c>
      <c r="Y413" s="56"/>
      <c r="Z413" s="57"/>
      <c r="AD413" s="58"/>
      <c r="BA413" s="280" t="s">
        <v>1</v>
      </c>
    </row>
    <row r="414" spans="1:53" x14ac:dyDescent="0.2">
      <c r="A414" s="322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4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49.54545454545454</v>
      </c>
      <c r="W414" s="309">
        <f>IFERROR(W405/H405,"0")+IFERROR(W406/H406,"0")+IFERROR(W407/H407,"0")+IFERROR(W408/H408,"0")+IFERROR(W409/H409,"0")+IFERROR(W410/H410,"0")+IFERROR(W411/H411,"0")+IFERROR(W412/H412,"0")+IFERROR(W413/H413,"0")</f>
        <v>50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0.56692000000000009</v>
      </c>
      <c r="Y414" s="310"/>
      <c r="Z414" s="310"/>
    </row>
    <row r="415" spans="1:53" x14ac:dyDescent="0.2">
      <c r="A415" s="323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4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9">
        <f>IFERROR(SUM(V405:V413),"0")</f>
        <v>242</v>
      </c>
      <c r="W415" s="309">
        <f>IFERROR(SUM(W405:W413),"0")</f>
        <v>243.84</v>
      </c>
      <c r="X415" s="37"/>
      <c r="Y415" s="310"/>
      <c r="Z415" s="310"/>
    </row>
    <row r="416" spans="1:53" ht="14.25" customHeight="1" x14ac:dyDescent="0.25">
      <c r="A416" s="335" t="s">
        <v>95</v>
      </c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3"/>
      <c r="M416" s="323"/>
      <c r="N416" s="323"/>
      <c r="O416" s="323"/>
      <c r="P416" s="323"/>
      <c r="Q416" s="323"/>
      <c r="R416" s="323"/>
      <c r="S416" s="323"/>
      <c r="T416" s="323"/>
      <c r="U416" s="323"/>
      <c r="V416" s="323"/>
      <c r="W416" s="323"/>
      <c r="X416" s="323"/>
      <c r="Y416" s="303"/>
      <c r="Z416" s="303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65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16" t="s">
        <v>66</v>
      </c>
      <c r="O419" s="317"/>
      <c r="P419" s="317"/>
      <c r="Q419" s="317"/>
      <c r="R419" s="317"/>
      <c r="S419" s="317"/>
      <c r="T419" s="318"/>
      <c r="U419" s="37" t="s">
        <v>67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16" t="s">
        <v>66</v>
      </c>
      <c r="O420" s="317"/>
      <c r="P420" s="317"/>
      <c r="Q420" s="317"/>
      <c r="R420" s="317"/>
      <c r="S420" s="317"/>
      <c r="T420" s="318"/>
      <c r="U420" s="37" t="s">
        <v>65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35" t="s">
        <v>60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3"/>
      <c r="Z421" s="303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4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50</v>
      </c>
      <c r="W422" s="308">
        <f t="shared" ref="W422:W427" si="19"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65</v>
      </c>
      <c r="V424" s="307">
        <v>150</v>
      </c>
      <c r="W424" s="308">
        <f t="shared" si="19"/>
        <v>153.12</v>
      </c>
      <c r="X424" s="36">
        <f>IFERROR(IF(W424=0,"",ROUNDUP(W424/H424,0)*0.01196),"")</f>
        <v>0.34683999999999998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585" t="s">
        <v>594</v>
      </c>
      <c r="O425" s="312"/>
      <c r="P425" s="312"/>
      <c r="Q425" s="312"/>
      <c r="R425" s="313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389" t="s">
        <v>597</v>
      </c>
      <c r="O426" s="312"/>
      <c r="P426" s="312"/>
      <c r="Q426" s="312"/>
      <c r="R426" s="313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471" t="s">
        <v>600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9">
        <f>IFERROR(V422/H422,"0")+IFERROR(V423/H423,"0")+IFERROR(V424/H424,"0")+IFERROR(V425/H425,"0")+IFERROR(V426/H426,"0")+IFERROR(V427/H427,"0")</f>
        <v>37.878787878787875</v>
      </c>
      <c r="W428" s="309">
        <f>IFERROR(W422/H422,"0")+IFERROR(W423/H423,"0")+IFERROR(W424/H424,"0")+IFERROR(W425/H425,"0")+IFERROR(W426/H426,"0")+IFERROR(W427/H427,"0")</f>
        <v>39</v>
      </c>
      <c r="X428" s="309">
        <f>IFERROR(IF(X422="",0,X422),"0")+IFERROR(IF(X423="",0,X423),"0")+IFERROR(IF(X424="",0,X424),"0")+IFERROR(IF(X425="",0,X425),"0")+IFERROR(IF(X426="",0,X426),"0")+IFERROR(IF(X427="",0,X427),"0")</f>
        <v>0.46643999999999997</v>
      </c>
      <c r="Y428" s="310"/>
      <c r="Z428" s="310"/>
    </row>
    <row r="429" spans="1:53" x14ac:dyDescent="0.2">
      <c r="A429" s="323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4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9">
        <f>IFERROR(SUM(V422:V427),"0")</f>
        <v>200</v>
      </c>
      <c r="W429" s="309">
        <f>IFERROR(SUM(W422:W427),"0")</f>
        <v>205.92000000000002</v>
      </c>
      <c r="X429" s="37"/>
      <c r="Y429" s="310"/>
      <c r="Z429" s="310"/>
    </row>
    <row r="430" spans="1:53" ht="14.25" customHeight="1" x14ac:dyDescent="0.25">
      <c r="A430" s="335" t="s">
        <v>68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303"/>
      <c r="Z430" s="303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16" t="s">
        <v>66</v>
      </c>
      <c r="O433" s="317"/>
      <c r="P433" s="317"/>
      <c r="Q433" s="317"/>
      <c r="R433" s="317"/>
      <c r="S433" s="317"/>
      <c r="T433" s="318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16" t="s">
        <v>66</v>
      </c>
      <c r="O434" s="317"/>
      <c r="P434" s="317"/>
      <c r="Q434" s="317"/>
      <c r="R434" s="317"/>
      <c r="S434" s="317"/>
      <c r="T434" s="318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3" t="s">
        <v>605</v>
      </c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4"/>
      <c r="W435" s="364"/>
      <c r="X435" s="364"/>
      <c r="Y435" s="48"/>
      <c r="Z435" s="48"/>
    </row>
    <row r="436" spans="1:53" ht="16.5" customHeight="1" x14ac:dyDescent="0.25">
      <c r="A436" s="360" t="s">
        <v>606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2"/>
      <c r="Z436" s="302"/>
    </row>
    <row r="437" spans="1:53" ht="14.25" customHeight="1" x14ac:dyDescent="0.25">
      <c r="A437" s="335" t="s">
        <v>103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03"/>
      <c r="Z437" s="303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609</v>
      </c>
      <c r="O438" s="312"/>
      <c r="P438" s="312"/>
      <c r="Q438" s="312"/>
      <c r="R438" s="313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611" t="s">
        <v>612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40</v>
      </c>
      <c r="W439" s="308">
        <f>IFERROR(IF(V439="",0,CEILING((V439/$H439),1)*$H439),"")</f>
        <v>48</v>
      </c>
      <c r="X439" s="36">
        <f>IFERROR(IF(W439=0,"",ROUNDUP(W439/H439,0)*0.02175),"")</f>
        <v>8.6999999999999994E-2</v>
      </c>
      <c r="Y439" s="56"/>
      <c r="Z439" s="57"/>
      <c r="AD439" s="58"/>
      <c r="BA439" s="292" t="s">
        <v>1</v>
      </c>
    </row>
    <row r="440" spans="1:53" x14ac:dyDescent="0.2">
      <c r="A440" s="322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9">
        <f>IFERROR(V438/H438,"0")+IFERROR(V439/H439,"0")</f>
        <v>3.3333333333333335</v>
      </c>
      <c r="W440" s="309">
        <f>IFERROR(W438/H438,"0")+IFERROR(W439/H439,"0")</f>
        <v>4</v>
      </c>
      <c r="X440" s="309">
        <f>IFERROR(IF(X438="",0,X438),"0")+IFERROR(IF(X439="",0,X439),"0")</f>
        <v>8.6999999999999994E-2</v>
      </c>
      <c r="Y440" s="310"/>
      <c r="Z440" s="310"/>
    </row>
    <row r="441" spans="1:53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9">
        <f>IFERROR(SUM(V438:V439),"0")</f>
        <v>40</v>
      </c>
      <c r="W441" s="309">
        <f>IFERROR(SUM(W438:W439),"0")</f>
        <v>48</v>
      </c>
      <c r="X441" s="37"/>
      <c r="Y441" s="310"/>
      <c r="Z441" s="310"/>
    </row>
    <row r="442" spans="1:53" ht="14.25" customHeight="1" x14ac:dyDescent="0.25">
      <c r="A442" s="335" t="s">
        <v>95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3"/>
      <c r="Z442" s="303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477" t="s">
        <v>615</v>
      </c>
      <c r="O443" s="312"/>
      <c r="P443" s="312"/>
      <c r="Q443" s="312"/>
      <c r="R443" s="313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399" t="s">
        <v>618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4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60</v>
      </c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3"/>
      <c r="N447" s="323"/>
      <c r="O447" s="323"/>
      <c r="P447" s="323"/>
      <c r="Q447" s="323"/>
      <c r="R447" s="323"/>
      <c r="S447" s="323"/>
      <c r="T447" s="323"/>
      <c r="U447" s="323"/>
      <c r="V447" s="323"/>
      <c r="W447" s="323"/>
      <c r="X447" s="323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515" t="s">
        <v>621</v>
      </c>
      <c r="O448" s="312"/>
      <c r="P448" s="312"/>
      <c r="Q448" s="312"/>
      <c r="R448" s="313"/>
      <c r="S448" s="34"/>
      <c r="T448" s="34"/>
      <c r="U448" s="35" t="s">
        <v>65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463" t="s">
        <v>624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4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35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3"/>
      <c r="Z452" s="303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393" t="s">
        <v>627</v>
      </c>
      <c r="O453" s="312"/>
      <c r="P453" s="312"/>
      <c r="Q453" s="312"/>
      <c r="R453" s="313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629" t="s">
        <v>630</v>
      </c>
      <c r="O454" s="312"/>
      <c r="P454" s="312"/>
      <c r="Q454" s="312"/>
      <c r="R454" s="313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4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60" t="s">
        <v>631</v>
      </c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3"/>
      <c r="N457" s="323"/>
      <c r="O457" s="323"/>
      <c r="P457" s="323"/>
      <c r="Q457" s="323"/>
      <c r="R457" s="323"/>
      <c r="S457" s="323"/>
      <c r="T457" s="323"/>
      <c r="U457" s="323"/>
      <c r="V457" s="323"/>
      <c r="W457" s="323"/>
      <c r="X457" s="323"/>
      <c r="Y457" s="302"/>
      <c r="Z457" s="302"/>
    </row>
    <row r="458" spans="1:53" ht="14.25" customHeight="1" x14ac:dyDescent="0.25">
      <c r="A458" s="335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3"/>
      <c r="Z458" s="303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400</v>
      </c>
      <c r="W459" s="308">
        <f>IFERROR(IF(V459="",0,CEILING((V459/$H459),1)*$H459),"")</f>
        <v>405.59999999999997</v>
      </c>
      <c r="X459" s="36">
        <f>IFERROR(IF(W459=0,"",ROUNDUP(W459/H459,0)*0.02175),"")</f>
        <v>1.131</v>
      </c>
      <c r="Y459" s="56"/>
      <c r="Z459" s="57"/>
      <c r="AD459" s="58"/>
      <c r="BA459" s="299" t="s">
        <v>1</v>
      </c>
    </row>
    <row r="460" spans="1:53" x14ac:dyDescent="0.2">
      <c r="A460" s="322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4"/>
      <c r="N460" s="316" t="s">
        <v>66</v>
      </c>
      <c r="O460" s="317"/>
      <c r="P460" s="317"/>
      <c r="Q460" s="317"/>
      <c r="R460" s="317"/>
      <c r="S460" s="317"/>
      <c r="T460" s="318"/>
      <c r="U460" s="37" t="s">
        <v>67</v>
      </c>
      <c r="V460" s="309">
        <f>IFERROR(V459/H459,"0")</f>
        <v>51.282051282051285</v>
      </c>
      <c r="W460" s="309">
        <f>IFERROR(W459/H459,"0")</f>
        <v>52</v>
      </c>
      <c r="X460" s="309">
        <f>IFERROR(IF(X459="",0,X459),"0")</f>
        <v>1.131</v>
      </c>
      <c r="Y460" s="310"/>
      <c r="Z460" s="310"/>
    </row>
    <row r="461" spans="1:53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4"/>
      <c r="N461" s="316" t="s">
        <v>66</v>
      </c>
      <c r="O461" s="317"/>
      <c r="P461" s="317"/>
      <c r="Q461" s="317"/>
      <c r="R461" s="317"/>
      <c r="S461" s="317"/>
      <c r="T461" s="318"/>
      <c r="U461" s="37" t="s">
        <v>65</v>
      </c>
      <c r="V461" s="309">
        <f>IFERROR(SUM(V459:V459),"0")</f>
        <v>400</v>
      </c>
      <c r="W461" s="309">
        <f>IFERROR(SUM(W459:W459),"0")</f>
        <v>405.59999999999997</v>
      </c>
      <c r="X461" s="37"/>
      <c r="Y461" s="310"/>
      <c r="Z461" s="310"/>
    </row>
    <row r="462" spans="1:53" ht="15" customHeight="1" x14ac:dyDescent="0.2">
      <c r="A462" s="52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69"/>
      <c r="N462" s="348" t="s">
        <v>634</v>
      </c>
      <c r="O462" s="349"/>
      <c r="P462" s="349"/>
      <c r="Q462" s="349"/>
      <c r="R462" s="349"/>
      <c r="S462" s="349"/>
      <c r="T462" s="350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10437.5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10542.160000000002</v>
      </c>
      <c r="X462" s="37"/>
      <c r="Y462" s="310"/>
      <c r="Z462" s="310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69"/>
      <c r="N463" s="348" t="s">
        <v>635</v>
      </c>
      <c r="O463" s="349"/>
      <c r="P463" s="349"/>
      <c r="Q463" s="349"/>
      <c r="R463" s="349"/>
      <c r="S463" s="349"/>
      <c r="T463" s="350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11042.39869347766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11153.381999999998</v>
      </c>
      <c r="X463" s="37"/>
      <c r="Y463" s="310"/>
      <c r="Z463" s="310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69"/>
      <c r="N464" s="348" t="s">
        <v>636</v>
      </c>
      <c r="O464" s="349"/>
      <c r="P464" s="349"/>
      <c r="Q464" s="349"/>
      <c r="R464" s="349"/>
      <c r="S464" s="349"/>
      <c r="T464" s="350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20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20</v>
      </c>
      <c r="X464" s="37"/>
      <c r="Y464" s="310"/>
      <c r="Z464" s="310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69"/>
      <c r="N465" s="348" t="s">
        <v>638</v>
      </c>
      <c r="O465" s="349"/>
      <c r="P465" s="349"/>
      <c r="Q465" s="349"/>
      <c r="R465" s="349"/>
      <c r="S465" s="349"/>
      <c r="T465" s="350"/>
      <c r="U465" s="37" t="s">
        <v>65</v>
      </c>
      <c r="V465" s="309">
        <f>GrossWeightTotal+PalletQtyTotal*25</f>
        <v>11542.39869347766</v>
      </c>
      <c r="W465" s="309">
        <f>GrossWeightTotalR+PalletQtyTotalR*25</f>
        <v>11653.381999999998</v>
      </c>
      <c r="X465" s="37"/>
      <c r="Y465" s="310"/>
      <c r="Z465" s="310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69"/>
      <c r="N466" s="348" t="s">
        <v>639</v>
      </c>
      <c r="O466" s="349"/>
      <c r="P466" s="349"/>
      <c r="Q466" s="349"/>
      <c r="R466" s="349"/>
      <c r="S466" s="349"/>
      <c r="T466" s="350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1974.2139682369564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1991</v>
      </c>
      <c r="X466" s="37"/>
      <c r="Y466" s="310"/>
      <c r="Z466" s="310"/>
    </row>
    <row r="467" spans="1:29" ht="14.25" customHeight="1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69"/>
      <c r="N467" s="348" t="s">
        <v>640</v>
      </c>
      <c r="O467" s="349"/>
      <c r="P467" s="349"/>
      <c r="Q467" s="349"/>
      <c r="R467" s="349"/>
      <c r="S467" s="349"/>
      <c r="T467" s="350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21.974709999999995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19" t="s">
        <v>93</v>
      </c>
      <c r="D469" s="320"/>
      <c r="E469" s="320"/>
      <c r="F469" s="321"/>
      <c r="G469" s="319" t="s">
        <v>232</v>
      </c>
      <c r="H469" s="320"/>
      <c r="I469" s="320"/>
      <c r="J469" s="320"/>
      <c r="K469" s="320"/>
      <c r="L469" s="320"/>
      <c r="M469" s="321"/>
      <c r="N469" s="319" t="s">
        <v>426</v>
      </c>
      <c r="O469" s="321"/>
      <c r="P469" s="319" t="s">
        <v>476</v>
      </c>
      <c r="Q469" s="321"/>
      <c r="R469" s="304" t="s">
        <v>563</v>
      </c>
      <c r="S469" s="319" t="s">
        <v>605</v>
      </c>
      <c r="T469" s="321"/>
      <c r="U469" s="305"/>
      <c r="Z469" s="52"/>
      <c r="AC469" s="305"/>
    </row>
    <row r="470" spans="1:29" ht="14.25" customHeight="1" thickTop="1" x14ac:dyDescent="0.2">
      <c r="A470" s="456" t="s">
        <v>643</v>
      </c>
      <c r="B470" s="319" t="s">
        <v>59</v>
      </c>
      <c r="C470" s="319" t="s">
        <v>94</v>
      </c>
      <c r="D470" s="319" t="s">
        <v>102</v>
      </c>
      <c r="E470" s="319" t="s">
        <v>93</v>
      </c>
      <c r="F470" s="319" t="s">
        <v>224</v>
      </c>
      <c r="G470" s="319" t="s">
        <v>233</v>
      </c>
      <c r="H470" s="319" t="s">
        <v>240</v>
      </c>
      <c r="I470" s="319" t="s">
        <v>257</v>
      </c>
      <c r="J470" s="319" t="s">
        <v>317</v>
      </c>
      <c r="K470" s="305"/>
      <c r="L470" s="319" t="s">
        <v>397</v>
      </c>
      <c r="M470" s="319" t="s">
        <v>415</v>
      </c>
      <c r="N470" s="319" t="s">
        <v>427</v>
      </c>
      <c r="O470" s="319" t="s">
        <v>453</v>
      </c>
      <c r="P470" s="319" t="s">
        <v>477</v>
      </c>
      <c r="Q470" s="319" t="s">
        <v>541</v>
      </c>
      <c r="R470" s="319" t="s">
        <v>563</v>
      </c>
      <c r="S470" s="319" t="s">
        <v>606</v>
      </c>
      <c r="T470" s="319" t="s">
        <v>631</v>
      </c>
      <c r="U470" s="305"/>
      <c r="Z470" s="52"/>
      <c r="AC470" s="305"/>
    </row>
    <row r="471" spans="1:29" ht="13.5" customHeight="1" thickBot="1" x14ac:dyDescent="0.25">
      <c r="A471" s="457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91.800000000000011</v>
      </c>
      <c r="D472" s="46">
        <f>IFERROR(W55*1,"0")+IFERROR(W56*1,"0")+IFERROR(W57*1,"0")+IFERROR(W58*1,"0")</f>
        <v>610.20000000000005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1003.0999999999999</v>
      </c>
      <c r="F472" s="46">
        <f>IFERROR(W124*1,"0")+IFERROR(W125*1,"0")+IFERROR(W126*1,"0")</f>
        <v>428.40000000000003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140.69999999999999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1715.3999999999999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269.39999999999998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220.68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4720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275.02</v>
      </c>
      <c r="Q472" s="46">
        <f>IFERROR(W384*1,"0")+IFERROR(W385*1,"0")+IFERROR(W389*1,"0")+IFERROR(W390*1,"0")+IFERROR(W391*1,"0")+IFERROR(W392*1,"0")+IFERROR(W393*1,"0")+IFERROR(W394*1,"0")+IFERROR(W395*1,"0")+IFERROR(W399*1,"0")</f>
        <v>164.10000000000002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449.76</v>
      </c>
      <c r="S472" s="46">
        <f>IFERROR(W438*1,"0")+IFERROR(W439*1,"0")+IFERROR(W443*1,"0")+IFERROR(W444*1,"0")+IFERROR(W448*1,"0")+IFERROR(W449*1,"0")+IFERROR(W453*1,"0")+IFERROR(W454*1,"0")</f>
        <v>48</v>
      </c>
      <c r="T472" s="46">
        <f>IFERROR(W459*1,"0")</f>
        <v>405.59999999999997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D395:E395"/>
    <mergeCell ref="A375:M376"/>
    <mergeCell ref="A440:M441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212:T212"/>
    <mergeCell ref="A312:X312"/>
    <mergeCell ref="A370:X370"/>
    <mergeCell ref="D178:E178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D406:E406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2023-11-23T09:59:52Z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